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jan\Desktop\ildkp\"/>
    </mc:Choice>
  </mc:AlternateContent>
  <bookViews>
    <workbookView xWindow="0" yWindow="0" windowWidth="17970" windowHeight="6150" activeTab="3"/>
  </bookViews>
  <sheets>
    <sheet name="emrat" sheetId="1" r:id="rId1"/>
    <sheet name="Fillimi" sheetId="3" r:id="rId2"/>
    <sheet name="Sheet6" sheetId="17" r:id="rId3"/>
    <sheet name="2011_0" sheetId="4" r:id="rId4"/>
    <sheet name="2011_2" sheetId="5" r:id="rId5"/>
    <sheet name="2012_0" sheetId="14" r:id="rId6"/>
    <sheet name="2012_2" sheetId="7" r:id="rId7"/>
    <sheet name="2013_0" sheetId="15" r:id="rId8"/>
    <sheet name="2013_2" sheetId="8" r:id="rId9"/>
    <sheet name="2014_0" sheetId="16" r:id="rId10"/>
    <sheet name="2014_2" sheetId="11" r:id="rId11"/>
  </sheets>
  <definedNames>
    <definedName name="_xlnm._FilterDatabase" localSheetId="1" hidden="1">Fillimi!$B$1:$P$55</definedName>
  </definedNames>
  <calcPr calcId="152511"/>
</workbook>
</file>

<file path=xl/calcChain.xml><?xml version="1.0" encoding="utf-8"?>
<calcChain xmlns="http://schemas.openxmlformats.org/spreadsheetml/2006/main">
  <c r="C304" i="3" l="1"/>
  <c r="C306" i="3"/>
  <c r="C308" i="3"/>
  <c r="C310" i="3"/>
  <c r="C312" i="3"/>
  <c r="C58" i="3"/>
  <c r="C60" i="3"/>
  <c r="C62" i="3"/>
  <c r="C64" i="3"/>
  <c r="C66" i="3"/>
  <c r="B638" i="16"/>
  <c r="B630" i="16"/>
  <c r="B622" i="16"/>
  <c r="B614" i="16"/>
  <c r="B606" i="16"/>
  <c r="B598" i="16"/>
  <c r="B590" i="16"/>
  <c r="B582" i="16"/>
  <c r="B574" i="16"/>
  <c r="B566" i="16"/>
  <c r="B558" i="16"/>
  <c r="B550" i="16"/>
  <c r="B542" i="16"/>
  <c r="B534" i="16"/>
  <c r="B526" i="16"/>
  <c r="B518" i="16"/>
  <c r="B510" i="16"/>
  <c r="B502" i="16"/>
  <c r="B494" i="16"/>
  <c r="B486" i="16"/>
  <c r="B478" i="16"/>
  <c r="B470" i="16"/>
  <c r="B462" i="16"/>
  <c r="B454" i="16"/>
  <c r="B446" i="16"/>
  <c r="B438" i="16"/>
  <c r="B430" i="16"/>
  <c r="B422" i="16"/>
  <c r="B414" i="16"/>
  <c r="B406" i="16"/>
  <c r="B398" i="16"/>
  <c r="B390" i="16"/>
  <c r="B382" i="16"/>
  <c r="B374" i="16"/>
  <c r="B366" i="16"/>
  <c r="B358" i="16"/>
  <c r="B350" i="16"/>
  <c r="B342" i="16"/>
  <c r="B334" i="16"/>
  <c r="B326" i="16"/>
  <c r="B318" i="16"/>
  <c r="B310" i="16"/>
  <c r="B302" i="16"/>
  <c r="B294" i="16"/>
  <c r="B286" i="16"/>
  <c r="B278" i="16"/>
  <c r="B270" i="16"/>
  <c r="B262" i="16"/>
  <c r="B254" i="16"/>
  <c r="B246" i="16"/>
  <c r="B238" i="16"/>
  <c r="B230" i="16"/>
  <c r="B222" i="16"/>
  <c r="B214" i="16"/>
  <c r="B206" i="16"/>
  <c r="B198" i="16"/>
  <c r="B190" i="16"/>
  <c r="B184" i="16"/>
  <c r="B179" i="16"/>
  <c r="B171" i="16"/>
  <c r="B163" i="16"/>
  <c r="B155" i="16"/>
  <c r="B147" i="16"/>
  <c r="B139" i="16"/>
  <c r="B133" i="16"/>
  <c r="B127" i="16"/>
  <c r="B123" i="16"/>
  <c r="B117" i="16"/>
  <c r="B109" i="16"/>
  <c r="B101" i="16"/>
  <c r="B93" i="16"/>
  <c r="B85" i="16"/>
  <c r="B77" i="16"/>
  <c r="B69" i="16"/>
  <c r="B61" i="16"/>
  <c r="B53" i="16"/>
  <c r="B45" i="16"/>
  <c r="B37" i="16"/>
  <c r="B29" i="16"/>
  <c r="B21" i="16"/>
  <c r="B13" i="16"/>
  <c r="B5" i="16"/>
  <c r="B680" i="15"/>
  <c r="B669" i="15"/>
  <c r="B661" i="15"/>
  <c r="B653" i="15"/>
  <c r="B644" i="15"/>
  <c r="B636" i="15"/>
  <c r="B628" i="15"/>
  <c r="B619" i="15"/>
  <c r="B611" i="15"/>
  <c r="B603" i="15"/>
  <c r="B595" i="15"/>
  <c r="B585" i="15"/>
  <c r="B577" i="15"/>
  <c r="B569" i="15"/>
  <c r="B561" i="15"/>
  <c r="B553" i="15"/>
  <c r="B544" i="15"/>
  <c r="B535" i="15"/>
  <c r="B527" i="15"/>
  <c r="B519" i="15"/>
  <c r="B509" i="15"/>
  <c r="B496" i="15"/>
  <c r="B484" i="15"/>
  <c r="B476" i="15"/>
  <c r="B468" i="15"/>
  <c r="B460" i="15"/>
  <c r="B452" i="15"/>
  <c r="B444" i="15"/>
  <c r="B435" i="15"/>
  <c r="B426" i="15"/>
  <c r="B417" i="15"/>
  <c r="B408" i="15"/>
  <c r="B400" i="15"/>
  <c r="B392" i="15"/>
  <c r="B384" i="15"/>
  <c r="B375" i="15"/>
  <c r="B367" i="15"/>
  <c r="B359" i="15"/>
  <c r="B351" i="15"/>
  <c r="B343" i="15"/>
  <c r="B335" i="15"/>
  <c r="B327" i="15"/>
  <c r="B319" i="15"/>
  <c r="B311" i="15"/>
  <c r="B302" i="15"/>
  <c r="B636" i="16"/>
  <c r="B628" i="16"/>
  <c r="B620" i="16"/>
  <c r="B612" i="16"/>
  <c r="B604" i="16"/>
  <c r="B596" i="16"/>
  <c r="B588" i="16"/>
  <c r="B580" i="16"/>
  <c r="B572" i="16"/>
  <c r="B564" i="16"/>
  <c r="B556" i="16"/>
  <c r="B548" i="16"/>
  <c r="B540" i="16"/>
  <c r="B532" i="16"/>
  <c r="B524" i="16"/>
  <c r="B516" i="16"/>
  <c r="B508" i="16"/>
  <c r="B500" i="16"/>
  <c r="B492" i="16"/>
  <c r="B484" i="16"/>
  <c r="B476" i="16"/>
  <c r="B468" i="16"/>
  <c r="B460" i="16"/>
  <c r="B452" i="16"/>
  <c r="B444" i="16"/>
  <c r="B436" i="16"/>
  <c r="B428" i="16"/>
  <c r="B420" i="16"/>
  <c r="B412" i="16"/>
  <c r="B404" i="16"/>
  <c r="B396" i="16"/>
  <c r="B388" i="16"/>
  <c r="B380" i="16"/>
  <c r="B372" i="16"/>
  <c r="B364" i="16"/>
  <c r="B356" i="16"/>
  <c r="B348" i="16"/>
  <c r="B340" i="16"/>
  <c r="B332" i="16"/>
  <c r="B324" i="16"/>
  <c r="B316" i="16"/>
  <c r="B308" i="16"/>
  <c r="B300" i="16"/>
  <c r="B292" i="16"/>
  <c r="B284" i="16"/>
  <c r="B276" i="16"/>
  <c r="B268" i="16"/>
  <c r="B260" i="16"/>
  <c r="B252" i="16"/>
  <c r="B244" i="16"/>
  <c r="B236" i="16"/>
  <c r="B228" i="16"/>
  <c r="B220" i="16"/>
  <c r="B212" i="16"/>
  <c r="B204" i="16"/>
  <c r="B196" i="16"/>
  <c r="B189" i="16"/>
  <c r="B183" i="16"/>
  <c r="B177" i="16"/>
  <c r="B169" i="16"/>
  <c r="B161" i="16"/>
  <c r="B153" i="16"/>
  <c r="B145" i="16"/>
  <c r="B137" i="16"/>
  <c r="B131" i="16"/>
  <c r="B126" i="16"/>
  <c r="B122" i="16"/>
  <c r="B115" i="16"/>
  <c r="B107" i="16"/>
  <c r="B99" i="16"/>
  <c r="B91" i="16"/>
  <c r="B83" i="16"/>
  <c r="B75" i="16"/>
  <c r="B67" i="16"/>
  <c r="B59" i="16"/>
  <c r="B51" i="16"/>
  <c r="B43" i="16"/>
  <c r="B35" i="16"/>
  <c r="B27" i="16"/>
  <c r="B19" i="16"/>
  <c r="B11" i="16"/>
  <c r="B3" i="16"/>
  <c r="B677" i="15"/>
  <c r="B667" i="15"/>
  <c r="B659" i="15"/>
  <c r="B650" i="15"/>
  <c r="B642" i="15"/>
  <c r="B634" i="15"/>
  <c r="B626" i="15"/>
  <c r="B617" i="15"/>
  <c r="B609" i="15"/>
  <c r="B601" i="15"/>
  <c r="B593" i="15"/>
  <c r="B583" i="15"/>
  <c r="B575" i="15"/>
  <c r="B567" i="15"/>
  <c r="B559" i="15"/>
  <c r="B550" i="15"/>
  <c r="B542" i="15"/>
  <c r="B533" i="15"/>
  <c r="B525" i="15"/>
  <c r="B517" i="15"/>
  <c r="B506" i="15"/>
  <c r="B493" i="15"/>
  <c r="B482" i="15"/>
  <c r="B474" i="15"/>
  <c r="B466" i="15"/>
  <c r="B458" i="15"/>
  <c r="B450" i="15"/>
  <c r="B442" i="15"/>
  <c r="B433" i="15"/>
  <c r="B424" i="15"/>
  <c r="B415" i="15"/>
  <c r="B406" i="15"/>
  <c r="B398" i="15"/>
  <c r="B390" i="15"/>
  <c r="B381" i="15"/>
  <c r="B373" i="15"/>
  <c r="B365" i="15"/>
  <c r="B357" i="15"/>
  <c r="B349" i="15"/>
  <c r="B341" i="15"/>
  <c r="B333" i="15"/>
  <c r="B325" i="15"/>
  <c r="B317" i="15"/>
  <c r="B634" i="16"/>
  <c r="B626" i="16"/>
  <c r="B618" i="16"/>
  <c r="B610" i="16"/>
  <c r="B602" i="16"/>
  <c r="B594" i="16"/>
  <c r="B586" i="16"/>
  <c r="B578" i="16"/>
  <c r="B570" i="16"/>
  <c r="B562" i="16"/>
  <c r="B554" i="16"/>
  <c r="B546" i="16"/>
  <c r="B538" i="16"/>
  <c r="B530" i="16"/>
  <c r="B522" i="16"/>
  <c r="B514" i="16"/>
  <c r="B506" i="16"/>
  <c r="B498" i="16"/>
  <c r="B490" i="16"/>
  <c r="B482" i="16"/>
  <c r="B474" i="16"/>
  <c r="B466" i="16"/>
  <c r="B458" i="16"/>
  <c r="B450" i="16"/>
  <c r="B442" i="16"/>
  <c r="B434" i="16"/>
  <c r="B426" i="16"/>
  <c r="B418" i="16"/>
  <c r="B410" i="16"/>
  <c r="B402" i="16"/>
  <c r="B394" i="16"/>
  <c r="B386" i="16"/>
  <c r="B378" i="16"/>
  <c r="B370" i="16"/>
  <c r="B362" i="16"/>
  <c r="B354" i="16"/>
  <c r="B346" i="16"/>
  <c r="B338" i="16"/>
  <c r="B330" i="16"/>
  <c r="B322" i="16"/>
  <c r="B314" i="16"/>
  <c r="B306" i="16"/>
  <c r="B298" i="16"/>
  <c r="B290" i="16"/>
  <c r="B282" i="16"/>
  <c r="B274" i="16"/>
  <c r="B266" i="16"/>
  <c r="B258" i="16"/>
  <c r="B250" i="16"/>
  <c r="B242" i="16"/>
  <c r="B234" i="16"/>
  <c r="B226" i="16"/>
  <c r="B218" i="16"/>
  <c r="B210" i="16"/>
  <c r="B202" i="16"/>
  <c r="B194" i="16"/>
  <c r="B188" i="16"/>
  <c r="B182" i="16"/>
  <c r="B175" i="16"/>
  <c r="B167" i="16"/>
  <c r="B159" i="16"/>
  <c r="B151" i="16"/>
  <c r="B143" i="16"/>
  <c r="B135" i="16"/>
  <c r="B129" i="16"/>
  <c r="B125" i="16"/>
  <c r="B121" i="16"/>
  <c r="B113" i="16"/>
  <c r="B105" i="16"/>
  <c r="B97" i="16"/>
  <c r="B89" i="16"/>
  <c r="B81" i="16"/>
  <c r="B73" i="16"/>
  <c r="B65" i="16"/>
  <c r="B57" i="16"/>
  <c r="B49" i="16"/>
  <c r="B41" i="16"/>
  <c r="B33" i="16"/>
  <c r="B25" i="16"/>
  <c r="B17" i="16"/>
  <c r="B9" i="16"/>
  <c r="B1" i="16"/>
  <c r="B674" i="15"/>
  <c r="B665" i="15"/>
  <c r="B657" i="15"/>
  <c r="B648" i="15"/>
  <c r="B640" i="15"/>
  <c r="B632" i="15"/>
  <c r="B623" i="15"/>
  <c r="B615" i="15"/>
  <c r="B607" i="15"/>
  <c r="B599" i="15"/>
  <c r="B591" i="15"/>
  <c r="B581" i="15"/>
  <c r="B573" i="15"/>
  <c r="B565" i="15"/>
  <c r="B557" i="15"/>
  <c r="B548" i="15"/>
  <c r="B540" i="15"/>
  <c r="B531" i="15"/>
  <c r="B523" i="15"/>
  <c r="B515" i="15"/>
  <c r="B503" i="15"/>
  <c r="B490" i="15"/>
  <c r="B480" i="15"/>
  <c r="B472" i="15"/>
  <c r="B464" i="15"/>
  <c r="B456" i="15"/>
  <c r="B448" i="15"/>
  <c r="B439" i="15"/>
  <c r="B430" i="15"/>
  <c r="B421" i="15"/>
  <c r="B413" i="15"/>
  <c r="B404" i="15"/>
  <c r="B396" i="15"/>
  <c r="B388" i="15"/>
  <c r="B379" i="15"/>
  <c r="B371" i="15"/>
  <c r="B363" i="15"/>
  <c r="B355" i="15"/>
  <c r="B347" i="15"/>
  <c r="B339" i="15"/>
  <c r="B331" i="15"/>
  <c r="B323" i="15"/>
  <c r="B315" i="15"/>
  <c r="B307" i="15"/>
  <c r="B298" i="15"/>
  <c r="B632" i="16"/>
  <c r="B600" i="16"/>
  <c r="B568" i="16"/>
  <c r="B536" i="16"/>
  <c r="B504" i="16"/>
  <c r="B472" i="16"/>
  <c r="B440" i="16"/>
  <c r="B408" i="16"/>
  <c r="B376" i="16"/>
  <c r="B344" i="16"/>
  <c r="B312" i="16"/>
  <c r="B280" i="16"/>
  <c r="B248" i="16"/>
  <c r="B216" i="16"/>
  <c r="B186" i="16"/>
  <c r="B157" i="16"/>
  <c r="B128" i="16"/>
  <c r="B103" i="16"/>
  <c r="B71" i="16"/>
  <c r="B39" i="16"/>
  <c r="B7" i="16"/>
  <c r="B655" i="15"/>
  <c r="B621" i="15"/>
  <c r="B588" i="15"/>
  <c r="B555" i="15"/>
  <c r="B521" i="15"/>
  <c r="B478" i="15"/>
  <c r="B446" i="15"/>
  <c r="B410" i="15"/>
  <c r="B377" i="15"/>
  <c r="B345" i="15"/>
  <c r="B313" i="15"/>
  <c r="B296" i="15"/>
  <c r="B288" i="15"/>
  <c r="B280" i="15"/>
  <c r="B272" i="15"/>
  <c r="B263" i="15"/>
  <c r="B255" i="15"/>
  <c r="B247" i="15"/>
  <c r="B239" i="15"/>
  <c r="B231" i="15"/>
  <c r="B223" i="15"/>
  <c r="B215" i="15"/>
  <c r="B207" i="15"/>
  <c r="B199" i="15"/>
  <c r="B191" i="15"/>
  <c r="B183" i="15"/>
  <c r="B175" i="15"/>
  <c r="B167" i="15"/>
  <c r="B159" i="15"/>
  <c r="B151" i="15"/>
  <c r="B143" i="15"/>
  <c r="B135" i="15"/>
  <c r="B127" i="15"/>
  <c r="B119" i="15"/>
  <c r="B111" i="15"/>
  <c r="B103" i="15"/>
  <c r="B95" i="15"/>
  <c r="B87" i="15"/>
  <c r="B79" i="15"/>
  <c r="B71" i="15"/>
  <c r="B60" i="15"/>
  <c r="B51" i="15"/>
  <c r="B43" i="15"/>
  <c r="B35" i="15"/>
  <c r="B27" i="15"/>
  <c r="B19" i="15"/>
  <c r="B11" i="15"/>
  <c r="B3" i="15"/>
  <c r="C746" i="14"/>
  <c r="C736" i="14"/>
  <c r="C725" i="14"/>
  <c r="C716" i="14"/>
  <c r="C704" i="14"/>
  <c r="C693" i="14"/>
  <c r="C684" i="14"/>
  <c r="C675" i="14"/>
  <c r="C665" i="14"/>
  <c r="C655" i="14"/>
  <c r="C644" i="14"/>
  <c r="C633" i="14"/>
  <c r="C622" i="14"/>
  <c r="C611" i="14"/>
  <c r="C601" i="14"/>
  <c r="C591" i="14"/>
  <c r="C582" i="14"/>
  <c r="C573" i="14"/>
  <c r="C564" i="14"/>
  <c r="C555" i="14"/>
  <c r="C544" i="14"/>
  <c r="C532" i="14"/>
  <c r="C520" i="14"/>
  <c r="C512" i="14"/>
  <c r="C504" i="14"/>
  <c r="C496" i="14"/>
  <c r="C488" i="14"/>
  <c r="C480" i="14"/>
  <c r="C470" i="14"/>
  <c r="C460" i="14"/>
  <c r="C450" i="14"/>
  <c r="C440" i="14"/>
  <c r="C429" i="14"/>
  <c r="C419" i="14"/>
  <c r="C410" i="14"/>
  <c r="C402" i="14"/>
  <c r="C392" i="14"/>
  <c r="C384" i="14"/>
  <c r="C376" i="14"/>
  <c r="C366" i="14"/>
  <c r="C357" i="14"/>
  <c r="C349" i="14"/>
  <c r="C340" i="14"/>
  <c r="C332" i="14"/>
  <c r="C323" i="14"/>
  <c r="C315" i="14"/>
  <c r="C306" i="14"/>
  <c r="C298" i="14"/>
  <c r="C289" i="14"/>
  <c r="C279" i="14"/>
  <c r="C268" i="14"/>
  <c r="C259" i="14"/>
  <c r="C251" i="14"/>
  <c r="C243" i="14"/>
  <c r="C232" i="14"/>
  <c r="C224" i="14"/>
  <c r="C216" i="14"/>
  <c r="C207" i="14"/>
  <c r="C197" i="14"/>
  <c r="B624" i="16"/>
  <c r="B592" i="16"/>
  <c r="B560" i="16"/>
  <c r="B528" i="16"/>
  <c r="B496" i="16"/>
  <c r="B464" i="16"/>
  <c r="B432" i="16"/>
  <c r="B400" i="16"/>
  <c r="B368" i="16"/>
  <c r="B336" i="16"/>
  <c r="B304" i="16"/>
  <c r="B272" i="16"/>
  <c r="B240" i="16"/>
  <c r="B208" i="16"/>
  <c r="B181" i="16"/>
  <c r="B149" i="16"/>
  <c r="B124" i="16"/>
  <c r="B95" i="16"/>
  <c r="B63" i="16"/>
  <c r="B31" i="16"/>
  <c r="B683" i="15"/>
  <c r="B646" i="15"/>
  <c r="B613" i="15"/>
  <c r="B579" i="15"/>
  <c r="B546" i="15"/>
  <c r="B512" i="15"/>
  <c r="B470" i="15"/>
  <c r="B437" i="15"/>
  <c r="B402" i="15"/>
  <c r="B369" i="15"/>
  <c r="B337" i="15"/>
  <c r="B309" i="15"/>
  <c r="B294" i="15"/>
  <c r="B286" i="15"/>
  <c r="B278" i="15"/>
  <c r="B269" i="15"/>
  <c r="B261" i="15"/>
  <c r="B253" i="15"/>
  <c r="B245" i="15"/>
  <c r="B237" i="15"/>
  <c r="B229" i="15"/>
  <c r="B221" i="15"/>
  <c r="B213" i="15"/>
  <c r="B205" i="15"/>
  <c r="B197" i="15"/>
  <c r="B189" i="15"/>
  <c r="B181" i="15"/>
  <c r="B173" i="15"/>
  <c r="B165" i="15"/>
  <c r="B157" i="15"/>
  <c r="B149" i="15"/>
  <c r="B141" i="15"/>
  <c r="B133" i="15"/>
  <c r="B125" i="15"/>
  <c r="B117" i="15"/>
  <c r="B109" i="15"/>
  <c r="B101" i="15"/>
  <c r="B93" i="15"/>
  <c r="B85" i="15"/>
  <c r="B77" i="15"/>
  <c r="B69" i="15"/>
  <c r="B58" i="15"/>
  <c r="B49" i="15"/>
  <c r="B41" i="15"/>
  <c r="B33" i="15"/>
  <c r="B25" i="15"/>
  <c r="B17" i="15"/>
  <c r="B9" i="15"/>
  <c r="B1" i="15"/>
  <c r="C743" i="14"/>
  <c r="C733" i="14"/>
  <c r="C723" i="14"/>
  <c r="C713" i="14"/>
  <c r="C701" i="14"/>
  <c r="C691" i="14"/>
  <c r="C682" i="14"/>
  <c r="C673" i="14"/>
  <c r="C662" i="14"/>
  <c r="C652" i="14"/>
  <c r="C642" i="14"/>
  <c r="C630" i="14"/>
  <c r="C620" i="14"/>
  <c r="C609" i="14"/>
  <c r="C598" i="14"/>
  <c r="C589" i="14"/>
  <c r="C580" i="14"/>
  <c r="C571" i="14"/>
  <c r="C561" i="14"/>
  <c r="C553" i="14"/>
  <c r="C541" i="14"/>
  <c r="C529" i="14"/>
  <c r="C518" i="14"/>
  <c r="C510" i="14"/>
  <c r="C502" i="14"/>
  <c r="C494" i="14"/>
  <c r="C486" i="14"/>
  <c r="C477" i="14"/>
  <c r="C467" i="14"/>
  <c r="C457" i="14"/>
  <c r="C447" i="14"/>
  <c r="C437" i="14"/>
  <c r="C426" i="14"/>
  <c r="C416" i="14"/>
  <c r="C408" i="14"/>
  <c r="C400" i="14"/>
  <c r="C390" i="14"/>
  <c r="C382" i="14"/>
  <c r="C373" i="14"/>
  <c r="C364" i="14"/>
  <c r="C355" i="14"/>
  <c r="C347" i="14"/>
  <c r="C338" i="14"/>
  <c r="C330" i="14"/>
  <c r="C321" i="14"/>
  <c r="C313" i="14"/>
  <c r="C304" i="14"/>
  <c r="C296" i="14"/>
  <c r="C287" i="14"/>
  <c r="C276" i="14"/>
  <c r="C265" i="14"/>
  <c r="C257" i="14"/>
  <c r="C249" i="14"/>
  <c r="C240" i="14"/>
  <c r="C230" i="14"/>
  <c r="C222" i="14"/>
  <c r="C213" i="14"/>
  <c r="C204" i="14"/>
  <c r="B616" i="16"/>
  <c r="B584" i="16"/>
  <c r="B552" i="16"/>
  <c r="B520" i="16"/>
  <c r="B488" i="16"/>
  <c r="B456" i="16"/>
  <c r="B424" i="16"/>
  <c r="B392" i="16"/>
  <c r="B360" i="16"/>
  <c r="B328" i="16"/>
  <c r="B296" i="16"/>
  <c r="B264" i="16"/>
  <c r="B232" i="16"/>
  <c r="B200" i="16"/>
  <c r="B173" i="16"/>
  <c r="B141" i="16"/>
  <c r="B119" i="16"/>
  <c r="B87" i="16"/>
  <c r="B55" i="16"/>
  <c r="B23" i="16"/>
  <c r="B671" i="15"/>
  <c r="B638" i="15"/>
  <c r="B605" i="15"/>
  <c r="B571" i="15"/>
  <c r="B537" i="15"/>
  <c r="B499" i="15"/>
  <c r="B462" i="15"/>
  <c r="B428" i="15"/>
  <c r="B394" i="15"/>
  <c r="B361" i="15"/>
  <c r="B329" i="15"/>
  <c r="B304" i="15"/>
  <c r="B292" i="15"/>
  <c r="B284" i="15"/>
  <c r="B276" i="15"/>
  <c r="B267" i="15"/>
  <c r="B259" i="15"/>
  <c r="B251" i="15"/>
  <c r="B243" i="15"/>
  <c r="B235" i="15"/>
  <c r="B227" i="15"/>
  <c r="B219" i="15"/>
  <c r="B211" i="15"/>
  <c r="B203" i="15"/>
  <c r="B195" i="15"/>
  <c r="B187" i="15"/>
  <c r="B179" i="15"/>
  <c r="B171" i="15"/>
  <c r="B163" i="15"/>
  <c r="B155" i="15"/>
  <c r="B147" i="15"/>
  <c r="B139" i="15"/>
  <c r="B131" i="15"/>
  <c r="B123" i="15"/>
  <c r="B115" i="15"/>
  <c r="B107" i="15"/>
  <c r="B99" i="15"/>
  <c r="B91" i="15"/>
  <c r="B83" i="15"/>
  <c r="B75" i="15"/>
  <c r="B64" i="15"/>
  <c r="B55" i="15"/>
  <c r="B47" i="15"/>
  <c r="B39" i="15"/>
  <c r="B31" i="15"/>
  <c r="B23" i="15"/>
  <c r="B15" i="15"/>
  <c r="B7" i="15"/>
  <c r="C752" i="14"/>
  <c r="C740" i="14"/>
  <c r="C731" i="14"/>
  <c r="C721" i="14"/>
  <c r="C710" i="14"/>
  <c r="C698" i="14"/>
  <c r="C688" i="14"/>
  <c r="C680" i="14"/>
  <c r="C671" i="14"/>
  <c r="C660" i="14"/>
  <c r="C650" i="14"/>
  <c r="C638" i="14"/>
  <c r="C627" i="14"/>
  <c r="C617" i="14"/>
  <c r="C606" i="14"/>
  <c r="C595" i="14"/>
  <c r="C586" i="14"/>
  <c r="C578" i="14"/>
  <c r="C569" i="14"/>
  <c r="C559" i="14"/>
  <c r="C550" i="14"/>
  <c r="C538" i="14"/>
  <c r="C526" i="14"/>
  <c r="C516" i="14"/>
  <c r="C508" i="14"/>
  <c r="C500" i="14"/>
  <c r="C492" i="14"/>
  <c r="C484" i="14"/>
  <c r="C475" i="14"/>
  <c r="C465" i="14"/>
  <c r="C455" i="14"/>
  <c r="C444" i="14"/>
  <c r="C434" i="14"/>
  <c r="C424" i="14"/>
  <c r="C414" i="14"/>
  <c r="C406" i="14"/>
  <c r="C397" i="14"/>
  <c r="C388" i="14"/>
  <c r="C380" i="14"/>
  <c r="C371" i="14"/>
  <c r="C362" i="14"/>
  <c r="C353" i="14"/>
  <c r="C345" i="14"/>
  <c r="C336" i="14"/>
  <c r="C327" i="14"/>
  <c r="C319" i="14"/>
  <c r="C310" i="14"/>
  <c r="C302" i="14"/>
  <c r="C294" i="14"/>
  <c r="C284" i="14"/>
  <c r="C273" i="14"/>
  <c r="C263" i="14"/>
  <c r="C255" i="14"/>
  <c r="C247" i="14"/>
  <c r="C237" i="14"/>
  <c r="C228" i="14"/>
  <c r="C220" i="14"/>
  <c r="C211" i="14"/>
  <c r="C202" i="14"/>
  <c r="B608" i="16"/>
  <c r="B480" i="16"/>
  <c r="B352" i="16"/>
  <c r="B224" i="16"/>
  <c r="B111" i="16"/>
  <c r="B663" i="15"/>
  <c r="B529" i="15"/>
  <c r="B386" i="15"/>
  <c r="B290" i="15"/>
  <c r="B257" i="15"/>
  <c r="B225" i="15"/>
  <c r="B193" i="15"/>
  <c r="B161" i="15"/>
  <c r="B129" i="15"/>
  <c r="B97" i="15"/>
  <c r="B62" i="15"/>
  <c r="B29" i="15"/>
  <c r="C749" i="14"/>
  <c r="C707" i="14"/>
  <c r="C668" i="14"/>
  <c r="C625" i="14"/>
  <c r="C584" i="14"/>
  <c r="C547" i="14"/>
  <c r="C506" i="14"/>
  <c r="C472" i="14"/>
  <c r="C431" i="14"/>
  <c r="C395" i="14"/>
  <c r="C359" i="14"/>
  <c r="C325" i="14"/>
  <c r="C291" i="14"/>
  <c r="C253" i="14"/>
  <c r="C218" i="14"/>
  <c r="C191" i="14"/>
  <c r="C183" i="14"/>
  <c r="C175" i="14"/>
  <c r="C167" i="14"/>
  <c r="C159" i="14"/>
  <c r="C151" i="14"/>
  <c r="C143" i="14"/>
  <c r="C135" i="14"/>
  <c r="C126" i="14"/>
  <c r="C118" i="14"/>
  <c r="C110" i="14"/>
  <c r="C102" i="14"/>
  <c r="C94" i="14"/>
  <c r="C86" i="14"/>
  <c r="C78" i="14"/>
  <c r="C69" i="14"/>
  <c r="C60" i="14"/>
  <c r="C52" i="14"/>
  <c r="C44" i="14"/>
  <c r="C35" i="14"/>
  <c r="C25" i="14"/>
  <c r="C15" i="14"/>
  <c r="C6" i="14"/>
  <c r="B576" i="16"/>
  <c r="B192" i="16"/>
  <c r="B630" i="15"/>
  <c r="B353" i="15"/>
  <c r="B249" i="15"/>
  <c r="B153" i="15"/>
  <c r="B53" i="15"/>
  <c r="B21" i="15"/>
  <c r="C657" i="14"/>
  <c r="C535" i="14"/>
  <c r="C421" i="14"/>
  <c r="C317" i="14"/>
  <c r="C209" i="14"/>
  <c r="C165" i="14"/>
  <c r="C141" i="14"/>
  <c r="C124" i="14"/>
  <c r="C108" i="14"/>
  <c r="C84" i="14"/>
  <c r="C58" i="14"/>
  <c r="C32" i="14"/>
  <c r="C4" i="14"/>
  <c r="B544" i="16"/>
  <c r="B416" i="16"/>
  <c r="B288" i="16"/>
  <c r="B165" i="16"/>
  <c r="B47" i="16"/>
  <c r="B597" i="15"/>
  <c r="B454" i="15"/>
  <c r="B321" i="15"/>
  <c r="B274" i="15"/>
  <c r="B241" i="15"/>
  <c r="B209" i="15"/>
  <c r="B177" i="15"/>
  <c r="B145" i="15"/>
  <c r="B113" i="15"/>
  <c r="B81" i="15"/>
  <c r="B45" i="15"/>
  <c r="B13" i="15"/>
  <c r="C728" i="14"/>
  <c r="C686" i="14"/>
  <c r="C647" i="14"/>
  <c r="C604" i="14"/>
  <c r="C567" i="14"/>
  <c r="C523" i="14"/>
  <c r="C490" i="14"/>
  <c r="C453" i="14"/>
  <c r="C412" i="14"/>
  <c r="C378" i="14"/>
  <c r="C343" i="14"/>
  <c r="C308" i="14"/>
  <c r="C270" i="14"/>
  <c r="C234" i="14"/>
  <c r="C200" i="14"/>
  <c r="C187" i="14"/>
  <c r="C179" i="14"/>
  <c r="C171" i="14"/>
  <c r="C163" i="14"/>
  <c r="C155" i="14"/>
  <c r="C147" i="14"/>
  <c r="C139" i="14"/>
  <c r="C130" i="14"/>
  <c r="C122" i="14"/>
  <c r="C114" i="14"/>
  <c r="C106" i="14"/>
  <c r="C98" i="14"/>
  <c r="C90" i="14"/>
  <c r="C82" i="14"/>
  <c r="C73" i="14"/>
  <c r="C65" i="14"/>
  <c r="C56" i="14"/>
  <c r="C48" i="14"/>
  <c r="C40" i="14"/>
  <c r="C30" i="14"/>
  <c r="C20" i="14"/>
  <c r="C11" i="14"/>
  <c r="C1" i="14"/>
  <c r="B448" i="16"/>
  <c r="B217" i="15"/>
  <c r="B121" i="15"/>
  <c r="C696" i="14"/>
  <c r="C575" i="14"/>
  <c r="C463" i="14"/>
  <c r="C351" i="14"/>
  <c r="C245" i="14"/>
  <c r="C181" i="14"/>
  <c r="C157" i="14"/>
  <c r="C132" i="14"/>
  <c r="C100" i="14"/>
  <c r="C67" i="14"/>
  <c r="C42" i="14"/>
  <c r="C13" i="14"/>
  <c r="B512" i="16"/>
  <c r="B384" i="16"/>
  <c r="B256" i="16"/>
  <c r="B134" i="16"/>
  <c r="B15" i="16"/>
  <c r="B563" i="15"/>
  <c r="B419" i="15"/>
  <c r="B300" i="15"/>
  <c r="B265" i="15"/>
  <c r="B233" i="15"/>
  <c r="B201" i="15"/>
  <c r="B169" i="15"/>
  <c r="B137" i="15"/>
  <c r="B105" i="15"/>
  <c r="B73" i="15"/>
  <c r="B37" i="15"/>
  <c r="B5" i="15"/>
  <c r="C719" i="14"/>
  <c r="C678" i="14"/>
  <c r="C635" i="14"/>
  <c r="C593" i="14"/>
  <c r="C557" i="14"/>
  <c r="C514" i="14"/>
  <c r="C482" i="14"/>
  <c r="C442" i="14"/>
  <c r="C404" i="14"/>
  <c r="C369" i="14"/>
  <c r="C334" i="14"/>
  <c r="C300" i="14"/>
  <c r="C261" i="14"/>
  <c r="C226" i="14"/>
  <c r="C194" i="14"/>
  <c r="C185" i="14"/>
  <c r="C177" i="14"/>
  <c r="C169" i="14"/>
  <c r="C161" i="14"/>
  <c r="C153" i="14"/>
  <c r="C145" i="14"/>
  <c r="C137" i="14"/>
  <c r="C128" i="14"/>
  <c r="C120" i="14"/>
  <c r="C112" i="14"/>
  <c r="C104" i="14"/>
  <c r="C96" i="14"/>
  <c r="C88" i="14"/>
  <c r="C80" i="14"/>
  <c r="C71" i="14"/>
  <c r="C62" i="14"/>
  <c r="C54" i="14"/>
  <c r="C46" i="14"/>
  <c r="C37" i="14"/>
  <c r="C28" i="14"/>
  <c r="C18" i="14"/>
  <c r="C9" i="14"/>
  <c r="B320" i="16"/>
  <c r="B79" i="16"/>
  <c r="B487" i="15"/>
  <c r="B282" i="15"/>
  <c r="B185" i="15"/>
  <c r="B89" i="15"/>
  <c r="C738" i="14"/>
  <c r="C614" i="14"/>
  <c r="C498" i="14"/>
  <c r="C386" i="14"/>
  <c r="C282" i="14"/>
  <c r="C189" i="14"/>
  <c r="C173" i="14"/>
  <c r="C149" i="14"/>
  <c r="C116" i="14"/>
  <c r="C92" i="14"/>
  <c r="C76" i="14"/>
  <c r="C50" i="14"/>
  <c r="C23" i="14"/>
  <c r="B563" i="8"/>
  <c r="B651" i="11" l="1"/>
  <c r="B619" i="11"/>
  <c r="B587" i="11"/>
  <c r="B555" i="11"/>
  <c r="B523" i="11"/>
  <c r="B491" i="11"/>
  <c r="B459" i="11"/>
  <c r="B427" i="11"/>
  <c r="B395" i="11"/>
  <c r="B363" i="11"/>
  <c r="B331" i="11"/>
  <c r="B299" i="11"/>
  <c r="B267" i="11"/>
  <c r="B235" i="11"/>
  <c r="B203" i="11"/>
  <c r="B171" i="11"/>
  <c r="B139" i="11"/>
  <c r="B107" i="11"/>
  <c r="B75" i="11"/>
  <c r="B43" i="11"/>
  <c r="B11" i="11"/>
  <c r="B625" i="11"/>
  <c r="B593" i="11"/>
  <c r="B561" i="11"/>
  <c r="B529" i="11"/>
  <c r="B497" i="11"/>
  <c r="B465" i="11"/>
  <c r="B433" i="11"/>
  <c r="B401" i="11"/>
  <c r="B369" i="11"/>
  <c r="B337" i="11"/>
  <c r="B305" i="11"/>
  <c r="B273" i="11"/>
  <c r="B241" i="11"/>
  <c r="B209" i="11"/>
  <c r="B177" i="11"/>
  <c r="B145" i="11"/>
  <c r="B113" i="11"/>
  <c r="B81" i="11"/>
  <c r="B49" i="11"/>
  <c r="B17" i="11"/>
  <c r="B639" i="11"/>
  <c r="B607" i="11"/>
  <c r="B575" i="11"/>
  <c r="B543" i="11"/>
  <c r="B511" i="11"/>
  <c r="B479" i="11"/>
  <c r="B447" i="11"/>
  <c r="B415" i="11"/>
  <c r="B383" i="11"/>
  <c r="B351" i="11"/>
  <c r="B319" i="11"/>
  <c r="B287" i="11"/>
  <c r="B255" i="11"/>
  <c r="B223" i="11"/>
  <c r="B191" i="11"/>
  <c r="B159" i="11"/>
  <c r="B127" i="11"/>
  <c r="B95" i="11"/>
  <c r="B63" i="11"/>
  <c r="B31" i="11"/>
  <c r="B557" i="11"/>
  <c r="B429" i="11"/>
  <c r="B301" i="11"/>
  <c r="B173" i="11"/>
  <c r="B45" i="11"/>
  <c r="B645" i="11"/>
  <c r="B643" i="11"/>
  <c r="B635" i="11"/>
  <c r="B603" i="11"/>
  <c r="B571" i="11"/>
  <c r="B539" i="11"/>
  <c r="B507" i="11"/>
  <c r="B475" i="11"/>
  <c r="B443" i="11"/>
  <c r="B411" i="11"/>
  <c r="B379" i="11"/>
  <c r="B347" i="11"/>
  <c r="B315" i="11"/>
  <c r="B283" i="11"/>
  <c r="B251" i="11"/>
  <c r="B219" i="11"/>
  <c r="B187" i="11"/>
  <c r="B155" i="11"/>
  <c r="B123" i="11"/>
  <c r="B91" i="11"/>
  <c r="B59" i="11"/>
  <c r="B27" i="11"/>
  <c r="B641" i="11"/>
  <c r="B609" i="11"/>
  <c r="B577" i="11"/>
  <c r="B545" i="11"/>
  <c r="B513" i="11"/>
  <c r="B481" i="11"/>
  <c r="B449" i="11"/>
  <c r="B417" i="11"/>
  <c r="B385" i="11"/>
  <c r="B353" i="11"/>
  <c r="B321" i="11"/>
  <c r="B289" i="11"/>
  <c r="B257" i="11"/>
  <c r="B225" i="11"/>
  <c r="B193" i="11"/>
  <c r="B161" i="11"/>
  <c r="B129" i="11"/>
  <c r="B97" i="11"/>
  <c r="B65" i="11"/>
  <c r="B33" i="11"/>
  <c r="B1" i="11"/>
  <c r="B623" i="11"/>
  <c r="B591" i="11"/>
  <c r="B559" i="11"/>
  <c r="B527" i="11"/>
  <c r="B495" i="11"/>
  <c r="B463" i="11"/>
  <c r="B431" i="11"/>
  <c r="B399" i="11"/>
  <c r="B367" i="11"/>
  <c r="B335" i="11"/>
  <c r="B303" i="11"/>
  <c r="B271" i="11"/>
  <c r="B239" i="11"/>
  <c r="B207" i="11"/>
  <c r="B175" i="11"/>
  <c r="B143" i="11"/>
  <c r="B111" i="11"/>
  <c r="B79" i="11"/>
  <c r="B47" i="11"/>
  <c r="B15" i="11"/>
  <c r="B621" i="11"/>
  <c r="B493" i="11"/>
  <c r="B365" i="11"/>
  <c r="B237" i="11"/>
  <c r="B109" i="11"/>
  <c r="B627" i="11"/>
  <c r="B595" i="11"/>
  <c r="B563" i="11"/>
  <c r="B531" i="11"/>
  <c r="B499" i="11"/>
  <c r="B467" i="11"/>
  <c r="B435" i="11"/>
  <c r="B403" i="11"/>
  <c r="B371" i="11"/>
  <c r="B339" i="11"/>
  <c r="B307" i="11"/>
  <c r="B275" i="11"/>
  <c r="B243" i="11"/>
  <c r="B211" i="11"/>
  <c r="B179" i="11"/>
  <c r="B147" i="11"/>
  <c r="B115" i="11"/>
  <c r="B83" i="11"/>
  <c r="B51" i="11"/>
  <c r="B19" i="11"/>
  <c r="B633" i="11"/>
  <c r="B601" i="11"/>
  <c r="B569" i="11"/>
  <c r="B537" i="11"/>
  <c r="B505" i="11"/>
  <c r="B473" i="11"/>
  <c r="B441" i="11"/>
  <c r="B409" i="11"/>
  <c r="B377" i="11"/>
  <c r="B345" i="11"/>
  <c r="B313" i="11"/>
  <c r="B281" i="11"/>
  <c r="B249" i="11"/>
  <c r="B217" i="11"/>
  <c r="B185" i="11"/>
  <c r="B153" i="11"/>
  <c r="B121" i="11"/>
  <c r="B89" i="11"/>
  <c r="B57" i="11"/>
  <c r="B25" i="11"/>
  <c r="B647" i="11"/>
  <c r="B615" i="11"/>
  <c r="B583" i="11"/>
  <c r="B551" i="11"/>
  <c r="B519" i="11"/>
  <c r="B487" i="11"/>
  <c r="B455" i="11"/>
  <c r="B423" i="11"/>
  <c r="B391" i="11"/>
  <c r="B359" i="11"/>
  <c r="B327" i="11"/>
  <c r="B295" i="11"/>
  <c r="B263" i="11"/>
  <c r="B231" i="11"/>
  <c r="B199" i="11"/>
  <c r="B167" i="11"/>
  <c r="B135" i="11"/>
  <c r="B103" i="11"/>
  <c r="B71" i="11"/>
  <c r="B39" i="11"/>
  <c r="B7" i="11"/>
  <c r="B589" i="11"/>
  <c r="B461" i="11"/>
  <c r="B333" i="11"/>
  <c r="B205" i="11"/>
  <c r="B77" i="11"/>
  <c r="B549" i="11"/>
  <c r="B611" i="11"/>
  <c r="B483" i="11"/>
  <c r="B355" i="11"/>
  <c r="B227" i="11"/>
  <c r="B99" i="11"/>
  <c r="B585" i="11"/>
  <c r="B457" i="11"/>
  <c r="B329" i="11"/>
  <c r="B201" i="11"/>
  <c r="B73" i="11"/>
  <c r="B567" i="11"/>
  <c r="B439" i="11"/>
  <c r="B311" i="11"/>
  <c r="B183" i="11"/>
  <c r="B55" i="11"/>
  <c r="B269" i="11"/>
  <c r="B485" i="11"/>
  <c r="B357" i="11"/>
  <c r="B229" i="11"/>
  <c r="B101" i="11"/>
  <c r="B573" i="11"/>
  <c r="B317" i="11"/>
  <c r="B61" i="11"/>
  <c r="B623" i="8"/>
  <c r="B591" i="8"/>
  <c r="B559" i="8"/>
  <c r="B527" i="8"/>
  <c r="B495" i="8"/>
  <c r="B463" i="8"/>
  <c r="B431" i="8"/>
  <c r="B399" i="8"/>
  <c r="B367" i="8"/>
  <c r="B335" i="8"/>
  <c r="B303" i="8"/>
  <c r="B271" i="8"/>
  <c r="B239" i="8"/>
  <c r="B207" i="8"/>
  <c r="B175" i="8"/>
  <c r="B143" i="8"/>
  <c r="B111" i="8"/>
  <c r="B79" i="8"/>
  <c r="B47" i="8"/>
  <c r="B15" i="8"/>
  <c r="C637" i="7"/>
  <c r="C605" i="7"/>
  <c r="C573" i="7"/>
  <c r="C541" i="7"/>
  <c r="C509" i="7"/>
  <c r="C477" i="7"/>
  <c r="C445" i="7"/>
  <c r="C413" i="7"/>
  <c r="C381" i="7"/>
  <c r="C349" i="7"/>
  <c r="C317" i="7"/>
  <c r="C285" i="7"/>
  <c r="C253" i="7"/>
  <c r="C221" i="7"/>
  <c r="B579" i="11"/>
  <c r="B451" i="11"/>
  <c r="B323" i="11"/>
  <c r="B195" i="11"/>
  <c r="B67" i="11"/>
  <c r="B553" i="11"/>
  <c r="B425" i="11"/>
  <c r="B297" i="11"/>
  <c r="B169" i="11"/>
  <c r="B41" i="11"/>
  <c r="B535" i="11"/>
  <c r="B407" i="11"/>
  <c r="B279" i="11"/>
  <c r="B151" i="11"/>
  <c r="B23" i="11"/>
  <c r="B653" i="11"/>
  <c r="B141" i="11"/>
  <c r="B613" i="11"/>
  <c r="B453" i="11"/>
  <c r="B325" i="11"/>
  <c r="B197" i="11"/>
  <c r="B69" i="11"/>
  <c r="B509" i="11"/>
  <c r="B253" i="11"/>
  <c r="B647" i="8"/>
  <c r="B615" i="8"/>
  <c r="B583" i="8"/>
  <c r="B551" i="8"/>
  <c r="B519" i="8"/>
  <c r="B487" i="8"/>
  <c r="B455" i="8"/>
  <c r="B423" i="8"/>
  <c r="B391" i="8"/>
  <c r="B359" i="8"/>
  <c r="B327" i="8"/>
  <c r="B295" i="8"/>
  <c r="B263" i="8"/>
  <c r="B231" i="8"/>
  <c r="B199" i="8"/>
  <c r="B167" i="8"/>
  <c r="B135" i="8"/>
  <c r="B103" i="8"/>
  <c r="B71" i="8"/>
  <c r="B39" i="8"/>
  <c r="B7" i="8"/>
  <c r="C629" i="7"/>
  <c r="C597" i="7"/>
  <c r="C565" i="7"/>
  <c r="C533" i="7"/>
  <c r="C501" i="7"/>
  <c r="C469" i="7"/>
  <c r="C437" i="7"/>
  <c r="C405" i="7"/>
  <c r="C373" i="7"/>
  <c r="C341" i="7"/>
  <c r="C309" i="7"/>
  <c r="C277" i="7"/>
  <c r="C245" i="7"/>
  <c r="C213" i="7"/>
  <c r="C181" i="7"/>
  <c r="C149" i="7"/>
  <c r="C117" i="7"/>
  <c r="C85" i="7"/>
  <c r="C53" i="7"/>
  <c r="C21" i="7"/>
  <c r="B413" i="11"/>
  <c r="B515" i="11"/>
  <c r="B387" i="11"/>
  <c r="B259" i="11"/>
  <c r="B131" i="11"/>
  <c r="B3" i="11"/>
  <c r="B617" i="11"/>
  <c r="B489" i="11"/>
  <c r="B361" i="11"/>
  <c r="B233" i="11"/>
  <c r="B105" i="11"/>
  <c r="B599" i="11"/>
  <c r="B471" i="11"/>
  <c r="B343" i="11"/>
  <c r="B215" i="11"/>
  <c r="B87" i="11"/>
  <c r="B397" i="11"/>
  <c r="B517" i="11"/>
  <c r="B389" i="11"/>
  <c r="B261" i="11"/>
  <c r="B133" i="11"/>
  <c r="B5" i="11"/>
  <c r="B637" i="11"/>
  <c r="B381" i="11"/>
  <c r="B125" i="11"/>
  <c r="B631" i="8"/>
  <c r="B599" i="8"/>
  <c r="B567" i="8"/>
  <c r="B535" i="8"/>
  <c r="B503" i="8"/>
  <c r="B471" i="8"/>
  <c r="B439" i="8"/>
  <c r="B407" i="8"/>
  <c r="B375" i="8"/>
  <c r="B343" i="8"/>
  <c r="B311" i="8"/>
  <c r="B279" i="8"/>
  <c r="B247" i="8"/>
  <c r="B215" i="8"/>
  <c r="B183" i="8"/>
  <c r="B151" i="8"/>
  <c r="B119" i="8"/>
  <c r="B87" i="8"/>
  <c r="B55" i="8"/>
  <c r="B23" i="8"/>
  <c r="C645" i="7"/>
  <c r="C613" i="7"/>
  <c r="C581" i="7"/>
  <c r="C549" i="7"/>
  <c r="C517" i="7"/>
  <c r="C485" i="7"/>
  <c r="C453" i="7"/>
  <c r="C421" i="7"/>
  <c r="C389" i="7"/>
  <c r="C357" i="7"/>
  <c r="C325" i="7"/>
  <c r="C293" i="7"/>
  <c r="C261" i="7"/>
  <c r="C229" i="7"/>
  <c r="C197" i="7"/>
  <c r="C165" i="7"/>
  <c r="C133" i="7"/>
  <c r="C101" i="7"/>
  <c r="C69" i="7"/>
  <c r="C37" i="7"/>
  <c r="C5" i="7"/>
  <c r="B541" i="11"/>
  <c r="B285" i="11"/>
  <c r="B547" i="11"/>
  <c r="B35" i="11"/>
  <c r="B521" i="11"/>
  <c r="B9" i="11"/>
  <c r="B503" i="11"/>
  <c r="B13" i="11"/>
  <c r="B581" i="11"/>
  <c r="B37" i="11"/>
  <c r="B639" i="8"/>
  <c r="B511" i="8"/>
  <c r="B383" i="8"/>
  <c r="B255" i="8"/>
  <c r="B127" i="8"/>
  <c r="C653" i="7"/>
  <c r="C525" i="7"/>
  <c r="C397" i="7"/>
  <c r="C269" i="7"/>
  <c r="C173" i="7"/>
  <c r="C109" i="7"/>
  <c r="C45" i="7"/>
  <c r="B605" i="11"/>
  <c r="B157" i="11"/>
  <c r="B635" i="8"/>
  <c r="B603" i="8"/>
  <c r="B571" i="8"/>
  <c r="B539" i="8"/>
  <c r="B507" i="8"/>
  <c r="B475" i="8"/>
  <c r="B443" i="8"/>
  <c r="B411" i="8"/>
  <c r="B379" i="8"/>
  <c r="B347" i="8"/>
  <c r="B315" i="8"/>
  <c r="B283" i="8"/>
  <c r="B251" i="8"/>
  <c r="B219" i="8"/>
  <c r="B187" i="8"/>
  <c r="B155" i="8"/>
  <c r="B123" i="8"/>
  <c r="B91" i="8"/>
  <c r="B59" i="8"/>
  <c r="B27" i="8"/>
  <c r="C649" i="7"/>
  <c r="C617" i="7"/>
  <c r="C585" i="7"/>
  <c r="C553" i="7"/>
  <c r="C521" i="7"/>
  <c r="C489" i="7"/>
  <c r="C457" i="7"/>
  <c r="C425" i="7"/>
  <c r="C393" i="7"/>
  <c r="C361" i="7"/>
  <c r="C329" i="7"/>
  <c r="C297" i="7"/>
  <c r="C265" i="7"/>
  <c r="C233" i="7"/>
  <c r="C201" i="7"/>
  <c r="C169" i="7"/>
  <c r="C137" i="7"/>
  <c r="C105" i="7"/>
  <c r="C73" i="7"/>
  <c r="C41" i="7"/>
  <c r="C9" i="7"/>
  <c r="B629" i="11"/>
  <c r="B117" i="11"/>
  <c r="B597" i="8"/>
  <c r="B533" i="8"/>
  <c r="B469" i="8"/>
  <c r="B405" i="8"/>
  <c r="B341" i="8"/>
  <c r="B277" i="8"/>
  <c r="B213" i="8"/>
  <c r="B149" i="8"/>
  <c r="B85" i="8"/>
  <c r="B21" i="8"/>
  <c r="B419" i="11"/>
  <c r="B393" i="11"/>
  <c r="B375" i="11"/>
  <c r="B421" i="11"/>
  <c r="B607" i="8"/>
  <c r="B479" i="8"/>
  <c r="B351" i="8"/>
  <c r="B223" i="8"/>
  <c r="B95" i="8"/>
  <c r="C621" i="7"/>
  <c r="C493" i="7"/>
  <c r="C365" i="7"/>
  <c r="C237" i="7"/>
  <c r="C157" i="7"/>
  <c r="C93" i="7"/>
  <c r="C29" i="7"/>
  <c r="B477" i="11"/>
  <c r="B93" i="11"/>
  <c r="B627" i="8"/>
  <c r="B595" i="8"/>
  <c r="B531" i="8"/>
  <c r="B499" i="8"/>
  <c r="B467" i="8"/>
  <c r="B435" i="8"/>
  <c r="B403" i="8"/>
  <c r="B371" i="8"/>
  <c r="B339" i="8"/>
  <c r="B307" i="8"/>
  <c r="B275" i="8"/>
  <c r="B243" i="8"/>
  <c r="B211" i="8"/>
  <c r="B179" i="8"/>
  <c r="B147" i="8"/>
  <c r="B115" i="8"/>
  <c r="B83" i="8"/>
  <c r="B51" i="8"/>
  <c r="B19" i="8"/>
  <c r="C641" i="7"/>
  <c r="C609" i="7"/>
  <c r="C577" i="7"/>
  <c r="C545" i="7"/>
  <c r="C513" i="7"/>
  <c r="C481" i="7"/>
  <c r="C449" i="7"/>
  <c r="C417" i="7"/>
  <c r="C385" i="7"/>
  <c r="C353" i="7"/>
  <c r="C321" i="7"/>
  <c r="C289" i="7"/>
  <c r="C257" i="7"/>
  <c r="C225" i="7"/>
  <c r="C193" i="7"/>
  <c r="C161" i="7"/>
  <c r="C129" i="7"/>
  <c r="C97" i="7"/>
  <c r="C65" i="7"/>
  <c r="C33" i="7"/>
  <c r="C1" i="7"/>
  <c r="B501" i="11"/>
  <c r="B645" i="8"/>
  <c r="B581" i="8"/>
  <c r="B517" i="8"/>
  <c r="B453" i="8"/>
  <c r="B389" i="8"/>
  <c r="B325" i="8"/>
  <c r="B261" i="8"/>
  <c r="B197" i="8"/>
  <c r="B133" i="8"/>
  <c r="B69" i="8"/>
  <c r="B5" i="8"/>
  <c r="C595" i="7"/>
  <c r="C531" i="7"/>
  <c r="C467" i="7"/>
  <c r="C403" i="7"/>
  <c r="C339" i="7"/>
  <c r="C275" i="7"/>
  <c r="C211" i="7"/>
  <c r="C147" i="7"/>
  <c r="C83" i="7"/>
  <c r="B163" i="11"/>
  <c r="B649" i="11"/>
  <c r="B137" i="11"/>
  <c r="B631" i="11"/>
  <c r="B119" i="11"/>
  <c r="B525" i="11"/>
  <c r="B165" i="11"/>
  <c r="B189" i="11"/>
  <c r="B543" i="8"/>
  <c r="B415" i="8"/>
  <c r="B287" i="8"/>
  <c r="B159" i="8"/>
  <c r="B31" i="8"/>
  <c r="C557" i="7"/>
  <c r="C429" i="7"/>
  <c r="C301" i="7"/>
  <c r="C189" i="7"/>
  <c r="C125" i="7"/>
  <c r="C61" i="7"/>
  <c r="B221" i="11"/>
  <c r="B643" i="8"/>
  <c r="B611" i="8"/>
  <c r="B579" i="8"/>
  <c r="B547" i="8"/>
  <c r="B515" i="8"/>
  <c r="B483" i="8"/>
  <c r="B451" i="8"/>
  <c r="B419" i="8"/>
  <c r="B387" i="8"/>
  <c r="B355" i="8"/>
  <c r="B323" i="8"/>
  <c r="B291" i="8"/>
  <c r="B259" i="8"/>
  <c r="B227" i="8"/>
  <c r="B195" i="8"/>
  <c r="B163" i="8"/>
  <c r="B131" i="8"/>
  <c r="B99" i="8"/>
  <c r="B67" i="8"/>
  <c r="B35" i="8"/>
  <c r="B3" i="8"/>
  <c r="C625" i="7"/>
  <c r="C593" i="7"/>
  <c r="C561" i="7"/>
  <c r="C529" i="7"/>
  <c r="C497" i="7"/>
  <c r="C465" i="7"/>
  <c r="C433" i="7"/>
  <c r="C401" i="7"/>
  <c r="C369" i="7"/>
  <c r="C337" i="7"/>
  <c r="C305" i="7"/>
  <c r="C273" i="7"/>
  <c r="C241" i="7"/>
  <c r="C209" i="7"/>
  <c r="C177" i="7"/>
  <c r="C145" i="7"/>
  <c r="C113" i="7"/>
  <c r="C81" i="7"/>
  <c r="C49" i="7"/>
  <c r="C17" i="7"/>
  <c r="B245" i="11"/>
  <c r="B613" i="8"/>
  <c r="B549" i="8"/>
  <c r="B485" i="8"/>
  <c r="B421" i="8"/>
  <c r="B357" i="8"/>
  <c r="B293" i="8"/>
  <c r="B229" i="8"/>
  <c r="B165" i="8"/>
  <c r="B101" i="8"/>
  <c r="B37" i="8"/>
  <c r="C627" i="7"/>
  <c r="C563" i="7"/>
  <c r="C499" i="7"/>
  <c r="C435" i="7"/>
  <c r="C371" i="7"/>
  <c r="C307" i="7"/>
  <c r="C243" i="7"/>
  <c r="C179" i="7"/>
  <c r="C115" i="7"/>
  <c r="C51" i="7"/>
  <c r="B291" i="11"/>
  <c r="B247" i="11"/>
  <c r="B293" i="11"/>
  <c r="B191" i="8"/>
  <c r="C333" i="7"/>
  <c r="C13" i="7"/>
  <c r="B587" i="8"/>
  <c r="B459" i="8"/>
  <c r="B331" i="8"/>
  <c r="B203" i="8"/>
  <c r="B75" i="8"/>
  <c r="C601" i="7"/>
  <c r="C473" i="7"/>
  <c r="C345" i="7"/>
  <c r="C217" i="7"/>
  <c r="C89" i="7"/>
  <c r="B373" i="11"/>
  <c r="B565" i="8"/>
  <c r="B309" i="8"/>
  <c r="B53" i="8"/>
  <c r="C547" i="7"/>
  <c r="C419" i="7"/>
  <c r="C291" i="7"/>
  <c r="C163" i="7"/>
  <c r="C35" i="7"/>
  <c r="C637" i="5"/>
  <c r="C605" i="5"/>
  <c r="C573" i="5"/>
  <c r="C541" i="5"/>
  <c r="C509" i="5"/>
  <c r="C477" i="5"/>
  <c r="C445" i="5"/>
  <c r="C413" i="5"/>
  <c r="C381" i="5"/>
  <c r="C349" i="5"/>
  <c r="C317" i="5"/>
  <c r="C285" i="5"/>
  <c r="B181" i="11"/>
  <c r="B605" i="8"/>
  <c r="B541" i="8"/>
  <c r="B477" i="8"/>
  <c r="B413" i="8"/>
  <c r="B349" i="8"/>
  <c r="B285" i="8"/>
  <c r="B221" i="8"/>
  <c r="B157" i="8"/>
  <c r="B93" i="8"/>
  <c r="B29" i="8"/>
  <c r="C619" i="7"/>
  <c r="C555" i="7"/>
  <c r="C491" i="7"/>
  <c r="C427" i="7"/>
  <c r="C363" i="7"/>
  <c r="C299" i="7"/>
  <c r="C235" i="7"/>
  <c r="C171" i="7"/>
  <c r="C107" i="7"/>
  <c r="C43" i="7"/>
  <c r="C649" i="5"/>
  <c r="C617" i="5"/>
  <c r="C585" i="5"/>
  <c r="C553" i="5"/>
  <c r="C521" i="5"/>
  <c r="C489" i="5"/>
  <c r="C457" i="5"/>
  <c r="C425" i="5"/>
  <c r="C393" i="5"/>
  <c r="C361" i="5"/>
  <c r="C329" i="5"/>
  <c r="C297" i="5"/>
  <c r="B533" i="11"/>
  <c r="B21" i="11"/>
  <c r="B575" i="8"/>
  <c r="B63" i="8"/>
  <c r="C205" i="7"/>
  <c r="B349" i="11"/>
  <c r="B555" i="8"/>
  <c r="B427" i="8"/>
  <c r="B299" i="8"/>
  <c r="B171" i="8"/>
  <c r="B43" i="8"/>
  <c r="C569" i="7"/>
  <c r="C441" i="7"/>
  <c r="C313" i="7"/>
  <c r="C185" i="7"/>
  <c r="C57" i="7"/>
  <c r="B501" i="8"/>
  <c r="B245" i="8"/>
  <c r="C643" i="7"/>
  <c r="C515" i="7"/>
  <c r="C387" i="7"/>
  <c r="C259" i="7"/>
  <c r="C131" i="7"/>
  <c r="C19" i="7"/>
  <c r="C629" i="5"/>
  <c r="C597" i="5"/>
  <c r="C565" i="5"/>
  <c r="C533" i="5"/>
  <c r="C501" i="5"/>
  <c r="C469" i="5"/>
  <c r="C437" i="5"/>
  <c r="C405" i="5"/>
  <c r="C373" i="5"/>
  <c r="C341" i="5"/>
  <c r="C309" i="5"/>
  <c r="B565" i="11"/>
  <c r="B53" i="11"/>
  <c r="B653" i="8"/>
  <c r="B589" i="8"/>
  <c r="B525" i="8"/>
  <c r="B461" i="8"/>
  <c r="B397" i="8"/>
  <c r="B333" i="8"/>
  <c r="B269" i="8"/>
  <c r="B205" i="8"/>
  <c r="B141" i="8"/>
  <c r="B77" i="8"/>
  <c r="B13" i="8"/>
  <c r="C603" i="7"/>
  <c r="C539" i="7"/>
  <c r="C475" i="7"/>
  <c r="C411" i="7"/>
  <c r="C347" i="7"/>
  <c r="C283" i="7"/>
  <c r="C219" i="7"/>
  <c r="C155" i="7"/>
  <c r="C91" i="7"/>
  <c r="C27" i="7"/>
  <c r="C641" i="5"/>
  <c r="C609" i="5"/>
  <c r="C577" i="5"/>
  <c r="C545" i="5"/>
  <c r="C513" i="5"/>
  <c r="C481" i="5"/>
  <c r="C449" i="5"/>
  <c r="C417" i="5"/>
  <c r="C385" i="5"/>
  <c r="B265" i="11"/>
  <c r="B447" i="8"/>
  <c r="C589" i="7"/>
  <c r="C141" i="7"/>
  <c r="B29" i="11"/>
  <c r="B651" i="8"/>
  <c r="B523" i="8"/>
  <c r="B395" i="8"/>
  <c r="B267" i="8"/>
  <c r="B139" i="8"/>
  <c r="B11" i="8"/>
  <c r="C537" i="7"/>
  <c r="C409" i="7"/>
  <c r="C281" i="7"/>
  <c r="C153" i="7"/>
  <c r="C25" i="7"/>
  <c r="B437" i="8"/>
  <c r="B181" i="8"/>
  <c r="C611" i="7"/>
  <c r="C483" i="7"/>
  <c r="C355" i="7"/>
  <c r="C227" i="7"/>
  <c r="C99" i="7"/>
  <c r="C3" i="7"/>
  <c r="C653" i="5"/>
  <c r="C621" i="5"/>
  <c r="C589" i="5"/>
  <c r="C557" i="5"/>
  <c r="C525" i="5"/>
  <c r="C493" i="5"/>
  <c r="C461" i="5"/>
  <c r="C429" i="5"/>
  <c r="C397" i="5"/>
  <c r="C365" i="5"/>
  <c r="C333" i="5"/>
  <c r="C301" i="5"/>
  <c r="B437" i="11"/>
  <c r="B637" i="8"/>
  <c r="B573" i="8"/>
  <c r="B509" i="8"/>
  <c r="B445" i="8"/>
  <c r="B381" i="8"/>
  <c r="B317" i="8"/>
  <c r="B253" i="8"/>
  <c r="B189" i="8"/>
  <c r="B125" i="8"/>
  <c r="B61" i="8"/>
  <c r="C651" i="7"/>
  <c r="C587" i="7"/>
  <c r="C523" i="7"/>
  <c r="C459" i="7"/>
  <c r="C395" i="7"/>
  <c r="C331" i="7"/>
  <c r="C267" i="7"/>
  <c r="C203" i="7"/>
  <c r="C139" i="7"/>
  <c r="C75" i="7"/>
  <c r="C11" i="7"/>
  <c r="C633" i="5"/>
  <c r="C601" i="5"/>
  <c r="C569" i="5"/>
  <c r="C537" i="5"/>
  <c r="C505" i="5"/>
  <c r="C473" i="5"/>
  <c r="C441" i="5"/>
  <c r="C409" i="5"/>
  <c r="C377" i="5"/>
  <c r="B235" i="8"/>
  <c r="C377" i="7"/>
  <c r="B117" i="8"/>
  <c r="C195" i="7"/>
  <c r="C581" i="5"/>
  <c r="C453" i="5"/>
  <c r="C325" i="5"/>
  <c r="B429" i="8"/>
  <c r="B173" i="8"/>
  <c r="C571" i="7"/>
  <c r="C315" i="7"/>
  <c r="C59" i="7"/>
  <c r="C561" i="5"/>
  <c r="C433" i="5"/>
  <c r="C345" i="5"/>
  <c r="C305" i="5"/>
  <c r="B405" i="11"/>
  <c r="B529" i="8"/>
  <c r="B401" i="8"/>
  <c r="B273" i="8"/>
  <c r="B145" i="8"/>
  <c r="B17" i="8"/>
  <c r="C543" i="7"/>
  <c r="C415" i="7"/>
  <c r="C287" i="7"/>
  <c r="C159" i="7"/>
  <c r="C31" i="7"/>
  <c r="C611" i="5"/>
  <c r="C547" i="5"/>
  <c r="C483" i="5"/>
  <c r="C419" i="5"/>
  <c r="C355" i="5"/>
  <c r="C291" i="5"/>
  <c r="C251" i="5"/>
  <c r="C219" i="5"/>
  <c r="C187" i="5"/>
  <c r="C155" i="5"/>
  <c r="C123" i="5"/>
  <c r="C91" i="5"/>
  <c r="C59" i="5"/>
  <c r="C27" i="5"/>
  <c r="C648" i="4"/>
  <c r="C616" i="4"/>
  <c r="C584" i="4"/>
  <c r="C552" i="4"/>
  <c r="C520" i="4"/>
  <c r="C488" i="4"/>
  <c r="C457" i="4"/>
  <c r="C425" i="4"/>
  <c r="C393" i="4"/>
  <c r="C361" i="4"/>
  <c r="C329" i="4"/>
  <c r="C297" i="4"/>
  <c r="C265" i="4"/>
  <c r="C233" i="4"/>
  <c r="C201" i="4"/>
  <c r="C169" i="4"/>
  <c r="C137" i="4"/>
  <c r="C105" i="4"/>
  <c r="C73" i="4"/>
  <c r="C41" i="4"/>
  <c r="C9" i="4"/>
  <c r="C634" i="3"/>
  <c r="C602" i="3"/>
  <c r="C570" i="3"/>
  <c r="C538" i="3"/>
  <c r="C506" i="3"/>
  <c r="B545" i="8"/>
  <c r="B417" i="8"/>
  <c r="B289" i="8"/>
  <c r="B161" i="8"/>
  <c r="B33" i="8"/>
  <c r="C559" i="7"/>
  <c r="C431" i="7"/>
  <c r="C303" i="7"/>
  <c r="C175" i="7"/>
  <c r="C47" i="7"/>
  <c r="C603" i="5"/>
  <c r="C539" i="5"/>
  <c r="C475" i="5"/>
  <c r="C411" i="5"/>
  <c r="C347" i="5"/>
  <c r="C283" i="5"/>
  <c r="C247" i="5"/>
  <c r="C215" i="5"/>
  <c r="C183" i="5"/>
  <c r="C151" i="5"/>
  <c r="C119" i="5"/>
  <c r="C87" i="5"/>
  <c r="C55" i="5"/>
  <c r="C23" i="5"/>
  <c r="C644" i="4"/>
  <c r="C612" i="4"/>
  <c r="C580" i="4"/>
  <c r="C548" i="4"/>
  <c r="C516" i="4"/>
  <c r="C484" i="4"/>
  <c r="C453" i="4"/>
  <c r="C421" i="4"/>
  <c r="C389" i="4"/>
  <c r="C357" i="4"/>
  <c r="C325" i="4"/>
  <c r="C293" i="4"/>
  <c r="C261" i="4"/>
  <c r="B601" i="8"/>
  <c r="B473" i="8"/>
  <c r="B345" i="8"/>
  <c r="B217" i="8"/>
  <c r="B89" i="8"/>
  <c r="C615" i="7"/>
  <c r="C487" i="7"/>
  <c r="C359" i="7"/>
  <c r="C231" i="7"/>
  <c r="C103" i="7"/>
  <c r="C647" i="5"/>
  <c r="C583" i="5"/>
  <c r="C519" i="5"/>
  <c r="C455" i="5"/>
  <c r="C391" i="5"/>
  <c r="C327" i="5"/>
  <c r="C269" i="5"/>
  <c r="C237" i="5"/>
  <c r="C205" i="5"/>
  <c r="C173" i="5"/>
  <c r="C141" i="5"/>
  <c r="C109" i="5"/>
  <c r="C77" i="5"/>
  <c r="C45" i="5"/>
  <c r="C13" i="5"/>
  <c r="C634" i="4"/>
  <c r="C602" i="4"/>
  <c r="C570" i="4"/>
  <c r="C538" i="4"/>
  <c r="C506" i="4"/>
  <c r="C474" i="4"/>
  <c r="C443" i="4"/>
  <c r="C411" i="4"/>
  <c r="C379" i="4"/>
  <c r="C347" i="4"/>
  <c r="C315" i="4"/>
  <c r="C283" i="4"/>
  <c r="C251" i="4"/>
  <c r="C219" i="4"/>
  <c r="C187" i="4"/>
  <c r="C155" i="4"/>
  <c r="C123" i="4"/>
  <c r="C59" i="4"/>
  <c r="C27" i="4"/>
  <c r="C652" i="3"/>
  <c r="C620" i="3"/>
  <c r="C588" i="3"/>
  <c r="C556" i="3"/>
  <c r="C524" i="3"/>
  <c r="B469" i="11"/>
  <c r="B585" i="8"/>
  <c r="B73" i="8"/>
  <c r="C215" i="7"/>
  <c r="C639" i="5"/>
  <c r="C383" i="5"/>
  <c r="C201" i="5"/>
  <c r="C73" i="5"/>
  <c r="C598" i="4"/>
  <c r="C470" i="4"/>
  <c r="C343" i="4"/>
  <c r="C237" i="4"/>
  <c r="C173" i="4"/>
  <c r="C109" i="4"/>
  <c r="C45" i="4"/>
  <c r="C638" i="3"/>
  <c r="C574" i="3"/>
  <c r="C510" i="3"/>
  <c r="C468" i="3"/>
  <c r="C436" i="3"/>
  <c r="C404" i="3"/>
  <c r="C372" i="3"/>
  <c r="C340" i="3"/>
  <c r="B319" i="8"/>
  <c r="B619" i="8"/>
  <c r="B107" i="8"/>
  <c r="C249" i="7"/>
  <c r="C579" i="7"/>
  <c r="C67" i="7"/>
  <c r="C549" i="5"/>
  <c r="C421" i="5"/>
  <c r="C293" i="5"/>
  <c r="B621" i="8"/>
  <c r="B365" i="8"/>
  <c r="B109" i="8"/>
  <c r="C507" i="7"/>
  <c r="C251" i="7"/>
  <c r="C529" i="5"/>
  <c r="C401" i="5"/>
  <c r="C337" i="5"/>
  <c r="C289" i="5"/>
  <c r="B277" i="11"/>
  <c r="B625" i="8"/>
  <c r="B497" i="8"/>
  <c r="B369" i="8"/>
  <c r="B241" i="8"/>
  <c r="B113" i="8"/>
  <c r="C639" i="7"/>
  <c r="C511" i="7"/>
  <c r="C383" i="7"/>
  <c r="C255" i="7"/>
  <c r="C127" i="7"/>
  <c r="C595" i="5"/>
  <c r="C531" i="5"/>
  <c r="C467" i="5"/>
  <c r="C403" i="5"/>
  <c r="C339" i="5"/>
  <c r="C277" i="5"/>
  <c r="C243" i="5"/>
  <c r="C211" i="5"/>
  <c r="C179" i="5"/>
  <c r="C147" i="5"/>
  <c r="C115" i="5"/>
  <c r="C83" i="5"/>
  <c r="C51" i="5"/>
  <c r="C19" i="5"/>
  <c r="C640" i="4"/>
  <c r="C608" i="4"/>
  <c r="C576" i="4"/>
  <c r="C544" i="4"/>
  <c r="C512" i="4"/>
  <c r="C480" i="4"/>
  <c r="C449" i="4"/>
  <c r="C417" i="4"/>
  <c r="C385" i="4"/>
  <c r="C353" i="4"/>
  <c r="C321" i="4"/>
  <c r="C289" i="4"/>
  <c r="C257" i="4"/>
  <c r="C225" i="4"/>
  <c r="C193" i="4"/>
  <c r="C161" i="4"/>
  <c r="C129" i="4"/>
  <c r="C97" i="4"/>
  <c r="C65" i="4"/>
  <c r="C33" i="4"/>
  <c r="C1" i="4"/>
  <c r="C626" i="3"/>
  <c r="C594" i="3"/>
  <c r="C562" i="3"/>
  <c r="C530" i="3"/>
  <c r="C498" i="3"/>
  <c r="B641" i="8"/>
  <c r="B513" i="8"/>
  <c r="B385" i="8"/>
  <c r="B257" i="8"/>
  <c r="B129" i="8"/>
  <c r="B1" i="8"/>
  <c r="C527" i="7"/>
  <c r="C399" i="7"/>
  <c r="C271" i="7"/>
  <c r="C143" i="7"/>
  <c r="C15" i="7"/>
  <c r="C651" i="5"/>
  <c r="C587" i="5"/>
  <c r="C523" i="5"/>
  <c r="C459" i="5"/>
  <c r="C395" i="5"/>
  <c r="C331" i="5"/>
  <c r="C271" i="5"/>
  <c r="C239" i="5"/>
  <c r="C207" i="5"/>
  <c r="C175" i="5"/>
  <c r="C143" i="5"/>
  <c r="C111" i="5"/>
  <c r="C79" i="5"/>
  <c r="C47" i="5"/>
  <c r="C15" i="5"/>
  <c r="C636" i="4"/>
  <c r="C604" i="4"/>
  <c r="C572" i="4"/>
  <c r="C540" i="4"/>
  <c r="C508" i="4"/>
  <c r="C476" i="4"/>
  <c r="C445" i="4"/>
  <c r="C413" i="4"/>
  <c r="C381" i="4"/>
  <c r="C349" i="4"/>
  <c r="C317" i="4"/>
  <c r="C285" i="4"/>
  <c r="B213" i="11"/>
  <c r="B569" i="8"/>
  <c r="B441" i="8"/>
  <c r="B313" i="8"/>
  <c r="B185" i="8"/>
  <c r="B57" i="8"/>
  <c r="C583" i="7"/>
  <c r="C455" i="7"/>
  <c r="C327" i="7"/>
  <c r="C199" i="7"/>
  <c r="C71" i="7"/>
  <c r="C631" i="5"/>
  <c r="C567" i="5"/>
  <c r="C503" i="5"/>
  <c r="C439" i="5"/>
  <c r="C375" i="5"/>
  <c r="C311" i="5"/>
  <c r="C261" i="5"/>
  <c r="C229" i="5"/>
  <c r="C197" i="5"/>
  <c r="C165" i="5"/>
  <c r="C133" i="5"/>
  <c r="C101" i="5"/>
  <c r="C69" i="5"/>
  <c r="C37" i="5"/>
  <c r="C5" i="5"/>
  <c r="C626" i="4"/>
  <c r="C594" i="4"/>
  <c r="C562" i="4"/>
  <c r="C530" i="4"/>
  <c r="C498" i="4"/>
  <c r="C466" i="4"/>
  <c r="C435" i="4"/>
  <c r="C403" i="4"/>
  <c r="C371" i="4"/>
  <c r="C339" i="4"/>
  <c r="C307" i="4"/>
  <c r="C275" i="4"/>
  <c r="C243" i="4"/>
  <c r="C211" i="4"/>
  <c r="C179" i="4"/>
  <c r="C147" i="4"/>
  <c r="C115" i="4"/>
  <c r="C83" i="4"/>
  <c r="C51" i="4"/>
  <c r="C19" i="4"/>
  <c r="C644" i="3"/>
  <c r="C612" i="3"/>
  <c r="C580" i="3"/>
  <c r="C548" i="3"/>
  <c r="C516" i="3"/>
  <c r="B457" i="8"/>
  <c r="C599" i="7"/>
  <c r="C87" i="7"/>
  <c r="C575" i="5"/>
  <c r="C319" i="5"/>
  <c r="C169" i="5"/>
  <c r="C41" i="5"/>
  <c r="C566" i="4"/>
  <c r="C439" i="4"/>
  <c r="C311" i="4"/>
  <c r="C221" i="4"/>
  <c r="C157" i="4"/>
  <c r="C93" i="4"/>
  <c r="C29" i="4"/>
  <c r="C622" i="3"/>
  <c r="C558" i="3"/>
  <c r="C494" i="3"/>
  <c r="C460" i="3"/>
  <c r="C428" i="3"/>
  <c r="C396" i="3"/>
  <c r="C364" i="3"/>
  <c r="C332" i="3"/>
  <c r="C300" i="3"/>
  <c r="C268" i="3"/>
  <c r="C236" i="3"/>
  <c r="C204" i="3"/>
  <c r="C172" i="3"/>
  <c r="C140" i="3"/>
  <c r="C108" i="3"/>
  <c r="B425" i="8"/>
  <c r="C567" i="7"/>
  <c r="B445" i="11"/>
  <c r="C77" i="7"/>
  <c r="B363" i="8"/>
  <c r="C505" i="7"/>
  <c r="B373" i="8"/>
  <c r="C323" i="7"/>
  <c r="C613" i="5"/>
  <c r="C485" i="5"/>
  <c r="C357" i="5"/>
  <c r="B493" i="8"/>
  <c r="B237" i="8"/>
  <c r="C635" i="7"/>
  <c r="C379" i="7"/>
  <c r="C123" i="7"/>
  <c r="C593" i="5"/>
  <c r="C465" i="5"/>
  <c r="C353" i="5"/>
  <c r="C313" i="5"/>
  <c r="C273" i="5"/>
  <c r="B85" i="11"/>
  <c r="B561" i="8"/>
  <c r="B433" i="8"/>
  <c r="B305" i="8"/>
  <c r="B177" i="8"/>
  <c r="B49" i="8"/>
  <c r="C575" i="7"/>
  <c r="C447" i="7"/>
  <c r="C319" i="7"/>
  <c r="C191" i="7"/>
  <c r="C63" i="7"/>
  <c r="C627" i="5"/>
  <c r="C563" i="5"/>
  <c r="C499" i="5"/>
  <c r="C435" i="5"/>
  <c r="C371" i="5"/>
  <c r="C307" i="5"/>
  <c r="C259" i="5"/>
  <c r="C227" i="5"/>
  <c r="C195" i="5"/>
  <c r="C163" i="5"/>
  <c r="C131" i="5"/>
  <c r="C99" i="5"/>
  <c r="C67" i="5"/>
  <c r="C35" i="5"/>
  <c r="C3" i="5"/>
  <c r="C624" i="4"/>
  <c r="C592" i="4"/>
  <c r="C560" i="4"/>
  <c r="C528" i="4"/>
  <c r="C496" i="4"/>
  <c r="C464" i="4"/>
  <c r="C433" i="4"/>
  <c r="C401" i="4"/>
  <c r="C369" i="4"/>
  <c r="C337" i="4"/>
  <c r="C305" i="4"/>
  <c r="C273" i="4"/>
  <c r="C241" i="4"/>
  <c r="C209" i="4"/>
  <c r="C177" i="4"/>
  <c r="C145" i="4"/>
  <c r="C113" i="4"/>
  <c r="C81" i="4"/>
  <c r="C49" i="4"/>
  <c r="C17" i="4"/>
  <c r="C642" i="3"/>
  <c r="C610" i="3"/>
  <c r="C578" i="3"/>
  <c r="C546" i="3"/>
  <c r="C514" i="3"/>
  <c r="B341" i="11"/>
  <c r="B577" i="8"/>
  <c r="B449" i="8"/>
  <c r="B321" i="8"/>
  <c r="B193" i="8"/>
  <c r="B65" i="8"/>
  <c r="C591" i="7"/>
  <c r="C463" i="7"/>
  <c r="C335" i="7"/>
  <c r="C207" i="7"/>
  <c r="C79" i="7"/>
  <c r="C619" i="5"/>
  <c r="C555" i="5"/>
  <c r="C491" i="5"/>
  <c r="C427" i="5"/>
  <c r="C363" i="5"/>
  <c r="C299" i="5"/>
  <c r="C255" i="5"/>
  <c r="C223" i="5"/>
  <c r="C191" i="5"/>
  <c r="C159" i="5"/>
  <c r="C127" i="5"/>
  <c r="C95" i="5"/>
  <c r="C63" i="5"/>
  <c r="C31" i="5"/>
  <c r="C652" i="4"/>
  <c r="C620" i="4"/>
  <c r="C588" i="4"/>
  <c r="C556" i="4"/>
  <c r="C524" i="4"/>
  <c r="C492" i="4"/>
  <c r="C461" i="4"/>
  <c r="C429" i="4"/>
  <c r="C397" i="4"/>
  <c r="C365" i="4"/>
  <c r="C333" i="4"/>
  <c r="C301" i="4"/>
  <c r="C269" i="4"/>
  <c r="B633" i="8"/>
  <c r="B505" i="8"/>
  <c r="B377" i="8"/>
  <c r="B249" i="8"/>
  <c r="B121" i="8"/>
  <c r="C647" i="7"/>
  <c r="C519" i="7"/>
  <c r="C391" i="7"/>
  <c r="C263" i="7"/>
  <c r="C135" i="7"/>
  <c r="C7" i="7"/>
  <c r="C599" i="5"/>
  <c r="C535" i="5"/>
  <c r="C471" i="5"/>
  <c r="C407" i="5"/>
  <c r="C343" i="5"/>
  <c r="C279" i="5"/>
  <c r="C245" i="5"/>
  <c r="C213" i="5"/>
  <c r="C181" i="5"/>
  <c r="C149" i="5"/>
  <c r="C117" i="5"/>
  <c r="C85" i="5"/>
  <c r="C53" i="5"/>
  <c r="C21" i="5"/>
  <c r="C642" i="4"/>
  <c r="C610" i="4"/>
  <c r="C578" i="4"/>
  <c r="C546" i="4"/>
  <c r="C514" i="4"/>
  <c r="C482" i="4"/>
  <c r="C451" i="4"/>
  <c r="C419" i="4"/>
  <c r="C387" i="4"/>
  <c r="C355" i="4"/>
  <c r="C323" i="4"/>
  <c r="C291" i="4"/>
  <c r="C259" i="4"/>
  <c r="C227" i="4"/>
  <c r="C195" i="4"/>
  <c r="C163" i="4"/>
  <c r="C131" i="4"/>
  <c r="C99" i="4"/>
  <c r="C67" i="4"/>
  <c r="C35" i="4"/>
  <c r="C3" i="4"/>
  <c r="C628" i="3"/>
  <c r="C596" i="3"/>
  <c r="C564" i="3"/>
  <c r="C532" i="3"/>
  <c r="C500" i="3"/>
  <c r="B201" i="8"/>
  <c r="C343" i="7"/>
  <c r="C447" i="5"/>
  <c r="C233" i="5"/>
  <c r="C105" i="5"/>
  <c r="C630" i="4"/>
  <c r="C502" i="4"/>
  <c r="C375" i="4"/>
  <c r="C253" i="4"/>
  <c r="C189" i="4"/>
  <c r="C125" i="4"/>
  <c r="C61" i="4"/>
  <c r="C654" i="3"/>
  <c r="C590" i="3"/>
  <c r="C526" i="3"/>
  <c r="C476" i="3"/>
  <c r="C444" i="3"/>
  <c r="C412" i="3"/>
  <c r="C380" i="3"/>
  <c r="C348" i="3"/>
  <c r="C316" i="3"/>
  <c r="C284" i="3"/>
  <c r="C252" i="3"/>
  <c r="C220" i="3"/>
  <c r="C188" i="3"/>
  <c r="C156" i="3"/>
  <c r="C124" i="3"/>
  <c r="C92" i="3"/>
  <c r="B169" i="8"/>
  <c r="C311" i="7"/>
  <c r="C633" i="7"/>
  <c r="B309" i="11"/>
  <c r="B301" i="8"/>
  <c r="C321" i="5"/>
  <c r="B209" i="8"/>
  <c r="C351" i="7"/>
  <c r="C451" i="5"/>
  <c r="C235" i="5"/>
  <c r="C107" i="5"/>
  <c r="C632" i="4"/>
  <c r="C504" i="4"/>
  <c r="C377" i="4"/>
  <c r="C249" i="4"/>
  <c r="C121" i="4"/>
  <c r="C650" i="3"/>
  <c r="C522" i="3"/>
  <c r="B225" i="8"/>
  <c r="C367" i="7"/>
  <c r="C443" i="5"/>
  <c r="C231" i="5"/>
  <c r="C103" i="5"/>
  <c r="C628" i="4"/>
  <c r="C500" i="4"/>
  <c r="C373" i="4"/>
  <c r="B537" i="8"/>
  <c r="B25" i="8"/>
  <c r="C167" i="7"/>
  <c r="C615" i="5"/>
  <c r="C359" i="5"/>
  <c r="C189" i="5"/>
  <c r="C61" i="5"/>
  <c r="C586" i="4"/>
  <c r="C459" i="4"/>
  <c r="C331" i="4"/>
  <c r="C203" i="4"/>
  <c r="C75" i="4"/>
  <c r="C604" i="3"/>
  <c r="C137" i="5"/>
  <c r="C279" i="4"/>
  <c r="C13" i="4"/>
  <c r="C452" i="3"/>
  <c r="C324" i="3"/>
  <c r="C260" i="3"/>
  <c r="C196" i="3"/>
  <c r="C132" i="3"/>
  <c r="C439" i="7"/>
  <c r="C431" i="5"/>
  <c r="C225" i="5"/>
  <c r="C97" i="5"/>
  <c r="C622" i="4"/>
  <c r="C494" i="4"/>
  <c r="C367" i="4"/>
  <c r="C247" i="4"/>
  <c r="C183" i="4"/>
  <c r="C119" i="4"/>
  <c r="C55" i="4"/>
  <c r="C648" i="3"/>
  <c r="C584" i="3"/>
  <c r="C520" i="3"/>
  <c r="C474" i="3"/>
  <c r="C442" i="3"/>
  <c r="C410" i="3"/>
  <c r="C378" i="3"/>
  <c r="C346" i="3"/>
  <c r="C314" i="3"/>
  <c r="C282" i="3"/>
  <c r="C250" i="3"/>
  <c r="C218" i="3"/>
  <c r="C186" i="3"/>
  <c r="C154" i="3"/>
  <c r="C122" i="3"/>
  <c r="B521" i="8"/>
  <c r="B9" i="8"/>
  <c r="C151" i="7"/>
  <c r="C607" i="5"/>
  <c r="C351" i="5"/>
  <c r="C185" i="5"/>
  <c r="C57" i="5"/>
  <c r="C582" i="4"/>
  <c r="C455" i="4"/>
  <c r="C327" i="4"/>
  <c r="C229" i="4"/>
  <c r="C165" i="4"/>
  <c r="C101" i="4"/>
  <c r="C37" i="4"/>
  <c r="C630" i="3"/>
  <c r="C566" i="3"/>
  <c r="C502" i="3"/>
  <c r="C464" i="3"/>
  <c r="C432" i="3"/>
  <c r="C400" i="3"/>
  <c r="C368" i="3"/>
  <c r="C336" i="3"/>
  <c r="C272" i="3"/>
  <c r="C240" i="3"/>
  <c r="C208" i="3"/>
  <c r="C176" i="3"/>
  <c r="C144" i="3"/>
  <c r="C112" i="3"/>
  <c r="C631" i="7"/>
  <c r="C591" i="5"/>
  <c r="C574" i="4"/>
  <c r="C159" i="4"/>
  <c r="C560" i="3"/>
  <c r="C398" i="3"/>
  <c r="C270" i="3"/>
  <c r="C142" i="3"/>
  <c r="C74" i="3"/>
  <c r="C40" i="3"/>
  <c r="C8" i="3"/>
  <c r="C275" i="5"/>
  <c r="C415" i="4"/>
  <c r="C79" i="4"/>
  <c r="C486" i="3"/>
  <c r="C358" i="3"/>
  <c r="C230" i="3"/>
  <c r="C102" i="3"/>
  <c r="C30" i="3"/>
  <c r="C113" i="5"/>
  <c r="C255" i="4"/>
  <c r="C446" i="3"/>
  <c r="C190" i="3"/>
  <c r="C52" i="3"/>
  <c r="B105" i="8"/>
  <c r="C606" i="4"/>
  <c r="C406" i="3"/>
  <c r="C150" i="3"/>
  <c r="C10" i="3"/>
  <c r="C517" i="5"/>
  <c r="C323" i="5"/>
  <c r="C441" i="4"/>
  <c r="C57" i="4"/>
  <c r="B481" i="8"/>
  <c r="C167" i="5"/>
  <c r="C309" i="4"/>
  <c r="C423" i="7"/>
  <c r="C125" i="5"/>
  <c r="C395" i="4"/>
  <c r="C11" i="4"/>
  <c r="C511" i="5"/>
  <c r="C542" i="3"/>
  <c r="C228" i="3"/>
  <c r="C55" i="7"/>
  <c r="C161" i="5"/>
  <c r="C303" i="4"/>
  <c r="C151" i="4"/>
  <c r="C552" i="3"/>
  <c r="C426" i="3"/>
  <c r="C330" i="3"/>
  <c r="C234" i="3"/>
  <c r="C106" i="3"/>
  <c r="C407" i="7"/>
  <c r="C249" i="5"/>
  <c r="C518" i="4"/>
  <c r="C197" i="4"/>
  <c r="C598" i="3"/>
  <c r="C416" i="3"/>
  <c r="C320" i="3"/>
  <c r="C224" i="3"/>
  <c r="C128" i="3"/>
  <c r="C177" i="5"/>
  <c r="C334" i="3"/>
  <c r="C17" i="5"/>
  <c r="C294" i="3"/>
  <c r="C46" i="3"/>
  <c r="C463" i="5"/>
  <c r="C528" i="3"/>
  <c r="C126" i="3"/>
  <c r="C47" i="4"/>
  <c r="C94" i="3"/>
  <c r="C461" i="7"/>
  <c r="C121" i="7"/>
  <c r="C645" i="5"/>
  <c r="B45" i="8"/>
  <c r="C625" i="5"/>
  <c r="C281" i="5"/>
  <c r="B597" i="11"/>
  <c r="B593" i="8"/>
  <c r="B81" i="8"/>
  <c r="C223" i="7"/>
  <c r="C643" i="5"/>
  <c r="C387" i="5"/>
  <c r="C203" i="5"/>
  <c r="C75" i="5"/>
  <c r="C600" i="4"/>
  <c r="C472" i="4"/>
  <c r="C345" i="4"/>
  <c r="C217" i="4"/>
  <c r="C89" i="4"/>
  <c r="C618" i="3"/>
  <c r="C490" i="3"/>
  <c r="B609" i="8"/>
  <c r="B97" i="8"/>
  <c r="C239" i="7"/>
  <c r="C635" i="5"/>
  <c r="C379" i="5"/>
  <c r="C199" i="5"/>
  <c r="C71" i="5"/>
  <c r="C596" i="4"/>
  <c r="C468" i="4"/>
  <c r="C341" i="4"/>
  <c r="B409" i="8"/>
  <c r="C551" i="7"/>
  <c r="C39" i="7"/>
  <c r="C551" i="5"/>
  <c r="C295" i="5"/>
  <c r="C157" i="5"/>
  <c r="C29" i="5"/>
  <c r="C554" i="4"/>
  <c r="C427" i="4"/>
  <c r="C299" i="4"/>
  <c r="C171" i="4"/>
  <c r="C43" i="4"/>
  <c r="C572" i="3"/>
  <c r="B329" i="8"/>
  <c r="C9" i="5"/>
  <c r="C205" i="4"/>
  <c r="C606" i="3"/>
  <c r="C420" i="3"/>
  <c r="C244" i="3"/>
  <c r="C180" i="3"/>
  <c r="C116" i="3"/>
  <c r="B553" i="8"/>
  <c r="C183" i="7"/>
  <c r="C623" i="5"/>
  <c r="C367" i="5"/>
  <c r="C193" i="5"/>
  <c r="C65" i="5"/>
  <c r="C590" i="4"/>
  <c r="C463" i="4"/>
  <c r="C335" i="4"/>
  <c r="C231" i="4"/>
  <c r="C167" i="4"/>
  <c r="C103" i="4"/>
  <c r="C39" i="4"/>
  <c r="C632" i="3"/>
  <c r="C568" i="3"/>
  <c r="C504" i="3"/>
  <c r="C466" i="3"/>
  <c r="C402" i="3"/>
  <c r="C370" i="3"/>
  <c r="C338" i="3"/>
  <c r="C274" i="3"/>
  <c r="C242" i="3"/>
  <c r="C210" i="3"/>
  <c r="C178" i="3"/>
  <c r="C146" i="3"/>
  <c r="C114" i="3"/>
  <c r="B393" i="8"/>
  <c r="C535" i="7"/>
  <c r="C23" i="7"/>
  <c r="C543" i="5"/>
  <c r="C287" i="5"/>
  <c r="C153" i="5"/>
  <c r="C25" i="5"/>
  <c r="C550" i="4"/>
  <c r="C423" i="4"/>
  <c r="C295" i="4"/>
  <c r="C213" i="4"/>
  <c r="C149" i="4"/>
  <c r="C85" i="4"/>
  <c r="C21" i="4"/>
  <c r="C614" i="3"/>
  <c r="C550" i="3"/>
  <c r="C488" i="3"/>
  <c r="C456" i="3"/>
  <c r="C424" i="3"/>
  <c r="C392" i="3"/>
  <c r="C360" i="3"/>
  <c r="C328" i="3"/>
  <c r="C296" i="3"/>
  <c r="C264" i="3"/>
  <c r="C232" i="3"/>
  <c r="C200" i="3"/>
  <c r="C168" i="3"/>
  <c r="C136" i="3"/>
  <c r="C104" i="3"/>
  <c r="C119" i="7"/>
  <c r="C335" i="5"/>
  <c r="C447" i="4"/>
  <c r="C95" i="4"/>
  <c r="C496" i="3"/>
  <c r="C366" i="3"/>
  <c r="C238" i="3"/>
  <c r="C110" i="3"/>
  <c r="C32" i="3"/>
  <c r="C145" i="5"/>
  <c r="C287" i="4"/>
  <c r="C15" i="4"/>
  <c r="C454" i="3"/>
  <c r="C326" i="3"/>
  <c r="C198" i="3"/>
  <c r="C88" i="3"/>
  <c r="C54" i="3"/>
  <c r="C22" i="3"/>
  <c r="B233" i="8"/>
  <c r="C638" i="4"/>
  <c r="C191" i="4"/>
  <c r="C592" i="3"/>
  <c r="C414" i="3"/>
  <c r="C286" i="3"/>
  <c r="C158" i="3"/>
  <c r="C78" i="3"/>
  <c r="C44" i="3"/>
  <c r="C12" i="3"/>
  <c r="C247" i="7"/>
  <c r="C399" i="5"/>
  <c r="C478" i="4"/>
  <c r="C111" i="4"/>
  <c r="C512" i="3"/>
  <c r="C374" i="3"/>
  <c r="C246" i="3"/>
  <c r="C118" i="3"/>
  <c r="C34" i="3"/>
  <c r="C1" i="3"/>
  <c r="C443" i="7"/>
  <c r="C497" i="5"/>
  <c r="B149" i="11"/>
  <c r="C607" i="7"/>
  <c r="C579" i="5"/>
  <c r="C43" i="5"/>
  <c r="C313" i="4"/>
  <c r="C586" i="3"/>
  <c r="C623" i="7"/>
  <c r="C315" i="5"/>
  <c r="C564" i="4"/>
  <c r="B281" i="8"/>
  <c r="C253" i="5"/>
  <c r="C522" i="4"/>
  <c r="C139" i="4"/>
  <c r="C471" i="7"/>
  <c r="C141" i="4"/>
  <c r="C292" i="3"/>
  <c r="C100" i="3"/>
  <c r="C303" i="5"/>
  <c r="C87" i="4"/>
  <c r="C616" i="3"/>
  <c r="C458" i="3"/>
  <c r="C362" i="3"/>
  <c r="C266" i="3"/>
  <c r="C170" i="3"/>
  <c r="C479" i="5"/>
  <c r="C646" i="4"/>
  <c r="C263" i="4"/>
  <c r="C69" i="4"/>
  <c r="C534" i="3"/>
  <c r="C448" i="3"/>
  <c r="C352" i="3"/>
  <c r="C256" i="3"/>
  <c r="C160" i="3"/>
  <c r="C31" i="4"/>
  <c r="C206" i="3"/>
  <c r="C24" i="3"/>
  <c r="C608" i="3"/>
  <c r="C166" i="3"/>
  <c r="C375" i="7"/>
  <c r="C127" i="4"/>
  <c r="C254" i="3"/>
  <c r="C36" i="3"/>
  <c r="C209" i="5"/>
  <c r="C342" i="3"/>
  <c r="B491" i="8"/>
  <c r="C451" i="7"/>
  <c r="C389" i="5"/>
  <c r="B557" i="8"/>
  <c r="C187" i="7"/>
  <c r="C369" i="5"/>
  <c r="B337" i="8"/>
  <c r="C479" i="7"/>
  <c r="C515" i="5"/>
  <c r="C267" i="5"/>
  <c r="C139" i="5"/>
  <c r="C11" i="5"/>
  <c r="C536" i="4"/>
  <c r="C409" i="4"/>
  <c r="C281" i="4"/>
  <c r="C153" i="4"/>
  <c r="C25" i="4"/>
  <c r="C554" i="3"/>
  <c r="B353" i="8"/>
  <c r="C495" i="7"/>
  <c r="C507" i="5"/>
  <c r="C263" i="5"/>
  <c r="C135" i="5"/>
  <c r="C7" i="5"/>
  <c r="C532" i="4"/>
  <c r="C405" i="4"/>
  <c r="C277" i="4"/>
  <c r="B153" i="8"/>
  <c r="C295" i="7"/>
  <c r="C423" i="5"/>
  <c r="C221" i="5"/>
  <c r="C93" i="5"/>
  <c r="C618" i="4"/>
  <c r="C490" i="4"/>
  <c r="C363" i="4"/>
  <c r="C235" i="4"/>
  <c r="C107" i="4"/>
  <c r="C636" i="3"/>
  <c r="C508" i="3"/>
  <c r="C265" i="5"/>
  <c r="C407" i="4"/>
  <c r="C77" i="4"/>
  <c r="C484" i="3"/>
  <c r="C356" i="3"/>
  <c r="C276" i="3"/>
  <c r="C212" i="3"/>
  <c r="C148" i="3"/>
  <c r="B41" i="8"/>
  <c r="C495" i="5"/>
  <c r="C257" i="5"/>
  <c r="C129" i="5"/>
  <c r="C1" i="5"/>
  <c r="C526" i="4"/>
  <c r="C399" i="4"/>
  <c r="C271" i="4"/>
  <c r="C199" i="4"/>
  <c r="C135" i="4"/>
  <c r="C71" i="4"/>
  <c r="C7" i="4"/>
  <c r="C600" i="3"/>
  <c r="C536" i="3"/>
  <c r="C482" i="3"/>
  <c r="C450" i="3"/>
  <c r="C418" i="3"/>
  <c r="C386" i="3"/>
  <c r="C354" i="3"/>
  <c r="C322" i="3"/>
  <c r="C290" i="3"/>
  <c r="C258" i="3"/>
  <c r="C226" i="3"/>
  <c r="C194" i="3"/>
  <c r="C162" i="3"/>
  <c r="C130" i="3"/>
  <c r="C98" i="3"/>
  <c r="B649" i="8"/>
  <c r="B137" i="8"/>
  <c r="C279" i="7"/>
  <c r="C415" i="5"/>
  <c r="C217" i="5"/>
  <c r="C89" i="5"/>
  <c r="C614" i="4"/>
  <c r="C486" i="4"/>
  <c r="C359" i="4"/>
  <c r="C245" i="4"/>
  <c r="C181" i="4"/>
  <c r="C117" i="4"/>
  <c r="C53" i="4"/>
  <c r="C646" i="3"/>
  <c r="C582" i="3"/>
  <c r="C518" i="3"/>
  <c r="C472" i="3"/>
  <c r="C440" i="3"/>
  <c r="C408" i="3"/>
  <c r="C376" i="3"/>
  <c r="C344" i="3"/>
  <c r="C280" i="3"/>
  <c r="C248" i="3"/>
  <c r="C216" i="3"/>
  <c r="C184" i="3"/>
  <c r="C152" i="3"/>
  <c r="C120" i="3"/>
  <c r="B489" i="8"/>
  <c r="C49" i="5"/>
  <c r="C223" i="4"/>
  <c r="C624" i="3"/>
  <c r="C430" i="3"/>
  <c r="C302" i="3"/>
  <c r="C174" i="3"/>
  <c r="C82" i="3"/>
  <c r="C48" i="3"/>
  <c r="C16" i="3"/>
  <c r="C503" i="7"/>
  <c r="C527" i="5"/>
  <c r="C542" i="4"/>
  <c r="C143" i="4"/>
  <c r="C544" i="3"/>
  <c r="C390" i="3"/>
  <c r="C262" i="3"/>
  <c r="C134" i="3"/>
  <c r="C72" i="3"/>
  <c r="C38" i="3"/>
  <c r="C6" i="3"/>
  <c r="C241" i="5"/>
  <c r="C383" i="4"/>
  <c r="C63" i="4"/>
  <c r="C478" i="3"/>
  <c r="C350" i="3"/>
  <c r="C222" i="3"/>
  <c r="C96" i="3"/>
  <c r="C28" i="3"/>
  <c r="B617" i="8"/>
  <c r="C81" i="5"/>
  <c r="C239" i="4"/>
  <c r="C640" i="3"/>
  <c r="C438" i="3"/>
  <c r="C182" i="3"/>
  <c r="C84" i="3"/>
  <c r="C50" i="3"/>
  <c r="C18" i="3"/>
  <c r="C656" i="3"/>
  <c r="C318" i="3"/>
  <c r="C86" i="3"/>
  <c r="C20" i="3"/>
  <c r="C175" i="4"/>
  <c r="C576" i="3"/>
  <c r="C278" i="3"/>
  <c r="C76" i="3"/>
  <c r="C42" i="3"/>
  <c r="B629" i="8"/>
  <c r="B465" i="8"/>
  <c r="C95" i="7"/>
  <c r="C171" i="5"/>
  <c r="C568" i="4"/>
  <c r="C185" i="4"/>
  <c r="C111" i="7"/>
  <c r="C571" i="5"/>
  <c r="C39" i="5"/>
  <c r="C437" i="4"/>
  <c r="C487" i="5"/>
  <c r="C650" i="4"/>
  <c r="C267" i="4"/>
  <c r="C540" i="3"/>
  <c r="C534" i="4"/>
  <c r="C388" i="3"/>
  <c r="C164" i="3"/>
  <c r="B297" i="8"/>
  <c r="C559" i="5"/>
  <c r="C33" i="5"/>
  <c r="C558" i="4"/>
  <c r="C215" i="4"/>
  <c r="C23" i="4"/>
  <c r="C492" i="3"/>
  <c r="C394" i="3"/>
  <c r="C298" i="3"/>
  <c r="C202" i="3"/>
  <c r="C138" i="3"/>
  <c r="B265" i="8"/>
  <c r="C121" i="5"/>
  <c r="C391" i="4"/>
  <c r="C133" i="4"/>
  <c r="C5" i="4"/>
  <c r="C480" i="3"/>
  <c r="C384" i="3"/>
  <c r="C288" i="3"/>
  <c r="C192" i="3"/>
  <c r="C319" i="4"/>
  <c r="C462" i="3"/>
  <c r="C90" i="3"/>
  <c r="B361" i="8"/>
  <c r="C207" i="4"/>
  <c r="C422" i="3"/>
  <c r="C80" i="3"/>
  <c r="C14" i="3"/>
  <c r="C510" i="4"/>
  <c r="C382" i="3"/>
  <c r="C70" i="3"/>
  <c r="C4" i="3"/>
  <c r="C351" i="4"/>
  <c r="C470" i="3"/>
  <c r="C214" i="3"/>
  <c r="C26" i="3"/>
</calcChain>
</file>

<file path=xl/sharedStrings.xml><?xml version="1.0" encoding="utf-8"?>
<sst xmlns="http://schemas.openxmlformats.org/spreadsheetml/2006/main" count="43759" uniqueCount="4447">
  <si>
    <t>Edi</t>
  </si>
  <si>
    <t>RAMA</t>
  </si>
  <si>
    <t>Deputet i Parlamentit - Këshilli i Ministrave</t>
  </si>
  <si>
    <t>Kuvendi i Shqipërisë - Këshilli i Ministrave</t>
  </si>
  <si>
    <t>Arben</t>
  </si>
  <si>
    <t>AHMETAJ</t>
  </si>
  <si>
    <t>Ambasador</t>
  </si>
  <si>
    <t>Ambasada Shqiptare në Danimarkë</t>
  </si>
  <si>
    <t>Bledar</t>
  </si>
  <si>
    <t>ÇUÇI</t>
  </si>
  <si>
    <t>Këshilli i Ministrave</t>
  </si>
  <si>
    <t>Damian</t>
  </si>
  <si>
    <t>GJIKNURI</t>
  </si>
  <si>
    <t>Ditmir</t>
  </si>
  <si>
    <t>BUSHATI</t>
  </si>
  <si>
    <t>Edmond</t>
  </si>
  <si>
    <t>HAXHINASTO</t>
  </si>
  <si>
    <t>Deputet i Parlamentit</t>
  </si>
  <si>
    <t>Kuvendi i Shqipërisë</t>
  </si>
  <si>
    <t>PANARITI</t>
  </si>
  <si>
    <t>Eglantina</t>
  </si>
  <si>
    <t>GJERMENI</t>
  </si>
  <si>
    <t>Erion</t>
  </si>
  <si>
    <t>VELIAJ</t>
  </si>
  <si>
    <t>Ilir</t>
  </si>
  <si>
    <t>BEQAJ</t>
  </si>
  <si>
    <t>Kryebashkiak</t>
  </si>
  <si>
    <t>Bashkia Ballsh</t>
  </si>
  <si>
    <t>Klajda</t>
  </si>
  <si>
    <t>GJOSHA</t>
  </si>
  <si>
    <t>Lefter</t>
  </si>
  <si>
    <t>KOKA</t>
  </si>
  <si>
    <t>Lindita</t>
  </si>
  <si>
    <t>NIKOLLA</t>
  </si>
  <si>
    <t>Milena</t>
  </si>
  <si>
    <t>HARITO</t>
  </si>
  <si>
    <t>Mimi</t>
  </si>
  <si>
    <t>KODHELI</t>
  </si>
  <si>
    <t>Mirela</t>
  </si>
  <si>
    <t>KUMBARO</t>
  </si>
  <si>
    <t>Nasip</t>
  </si>
  <si>
    <t>NAÇO</t>
  </si>
  <si>
    <t>Anëtar i Këshillit të Lartë të Drejtësisë - Këshilli i Ministrave</t>
  </si>
  <si>
    <t>Këshilli i Lartë i Drejtësisë - Këshilli i Ministrave</t>
  </si>
  <si>
    <t>Niko</t>
  </si>
  <si>
    <t>PELESHI</t>
  </si>
  <si>
    <t>Saimir</t>
  </si>
  <si>
    <t>TAHIRI</t>
  </si>
  <si>
    <t>Shkëlqim</t>
  </si>
  <si>
    <t>CANI</t>
  </si>
  <si>
    <t>Inspektor i Përgjithshëm ILDKPKI</t>
  </si>
  <si>
    <t>Inspektorati i Lartë i Deklarimit dhe Kontrollit të Pasurive dhe Konfliktit të Interesave</t>
  </si>
  <si>
    <t>Hysen</t>
  </si>
  <si>
    <t>OSMANAJ</t>
  </si>
  <si>
    <t>Anëtar i Këshillit të Lartë të Drejtësisë</t>
  </si>
  <si>
    <t>Këshilli i Lartë i Drejtësisë</t>
  </si>
  <si>
    <t>Klement</t>
  </si>
  <si>
    <t>ZGURI</t>
  </si>
  <si>
    <t>Anëtar i Komisionit Qëndror të Zgjedhjeve</t>
  </si>
  <si>
    <t>Komisioni Qëndror i Zgjedhjeve</t>
  </si>
  <si>
    <t>Lefterije</t>
  </si>
  <si>
    <t>LUZI</t>
  </si>
  <si>
    <t>Vera</t>
  </si>
  <si>
    <t>SHTJEFNI</t>
  </si>
  <si>
    <t>Adelina</t>
  </si>
  <si>
    <t>FARRICI</t>
  </si>
  <si>
    <t>Bashkia Burrel</t>
  </si>
  <si>
    <t>Adriatik</t>
  </si>
  <si>
    <t>ZOTKAJ</t>
  </si>
  <si>
    <t>Bashkia Poliçan</t>
  </si>
  <si>
    <t>Agron</t>
  </si>
  <si>
    <t>AGALLIU</t>
  </si>
  <si>
    <t>Kryetar Komune</t>
  </si>
  <si>
    <t>Komuna Golem</t>
  </si>
  <si>
    <t>DEMUSHI</t>
  </si>
  <si>
    <t>Bashkia Bajram Curri</t>
  </si>
  <si>
    <t>Artan</t>
  </si>
  <si>
    <t>SHKËMBI</t>
  </si>
  <si>
    <t>Anëtar i Këshillit të Lartë të Drejtësisë - Gjyqtar</t>
  </si>
  <si>
    <t>Këshilli i Lartë i Drejtësisë - Gjykata e Lartë</t>
  </si>
  <si>
    <t>Artur</t>
  </si>
  <si>
    <t>BARDHI</t>
  </si>
  <si>
    <t>Bashkia Laç</t>
  </si>
  <si>
    <t>Baftjar</t>
  </si>
  <si>
    <t>ZEQAJ</t>
  </si>
  <si>
    <t>Bashkia Fier</t>
  </si>
  <si>
    <t>Bardhyl</t>
  </si>
  <si>
    <t>GJYZELI</t>
  </si>
  <si>
    <t>Bashkia Kuçovë</t>
  </si>
  <si>
    <t>Besnik</t>
  </si>
  <si>
    <t>ABEDINI</t>
  </si>
  <si>
    <t>FUCIA</t>
  </si>
  <si>
    <t>Komuna Ksamil</t>
  </si>
  <si>
    <t>Dashnor</t>
  </si>
  <si>
    <t>ALIKO</t>
  </si>
  <si>
    <t>Komuna Lazarat</t>
  </si>
  <si>
    <t>Dhurim</t>
  </si>
  <si>
    <t>ALINANI</t>
  </si>
  <si>
    <t>Bashkia Delvinë</t>
  </si>
  <si>
    <t>Dritan</t>
  </si>
  <si>
    <t>BICI</t>
  </si>
  <si>
    <t>Bashkia Gramsh</t>
  </si>
  <si>
    <t>Elvis</t>
  </si>
  <si>
    <t>ROSHI</t>
  </si>
  <si>
    <t>Fadil</t>
  </si>
  <si>
    <t>NASUFI</t>
  </si>
  <si>
    <t>Bashkia Berat</t>
  </si>
  <si>
    <t>Fatbardh</t>
  </si>
  <si>
    <t>PLAKU</t>
  </si>
  <si>
    <t>Komuna Farkë</t>
  </si>
  <si>
    <t>Fatos</t>
  </si>
  <si>
    <t>TUSHE</t>
  </si>
  <si>
    <t>Bashkia Lushnje</t>
  </si>
  <si>
    <t>Fiqiri</t>
  </si>
  <si>
    <t>ISMAILI</t>
  </si>
  <si>
    <t>Bashkia Vorë</t>
  </si>
  <si>
    <t>Flamur</t>
  </si>
  <si>
    <t>BIME</t>
  </si>
  <si>
    <t>Bashkia Gjirokastër</t>
  </si>
  <si>
    <t>Fredi</t>
  </si>
  <si>
    <t>KOKONESHI</t>
  </si>
  <si>
    <t>Bashkia Divjakë</t>
  </si>
  <si>
    <t>Gëzim</t>
  </si>
  <si>
    <t>ÇAPOJ</t>
  </si>
  <si>
    <t>Bashkia Orikum</t>
  </si>
  <si>
    <t>Gilberto</t>
  </si>
  <si>
    <t>JAÇE</t>
  </si>
  <si>
    <t>Bashkia Përmet</t>
  </si>
  <si>
    <t>Gjon</t>
  </si>
  <si>
    <t>Bashkia Fushë-Krujë</t>
  </si>
  <si>
    <t>Hasan</t>
  </si>
  <si>
    <t>HALILAJ</t>
  </si>
  <si>
    <t>Bashkia Kukës</t>
  </si>
  <si>
    <t>ÇELA</t>
  </si>
  <si>
    <t>Ambasada Shqiptare në Zvicër</t>
  </si>
  <si>
    <t>KROSI</t>
  </si>
  <si>
    <t>RRUSHI</t>
  </si>
  <si>
    <t>Ambasada Shqiptare në Belgjikë</t>
  </si>
  <si>
    <t>Jorgo</t>
  </si>
  <si>
    <t>GORO</t>
  </si>
  <si>
    <t>Bashkia Himarë</t>
  </si>
  <si>
    <t>Kujtim</t>
  </si>
  <si>
    <t>QEFALIA</t>
  </si>
  <si>
    <t>Komuna Dajt</t>
  </si>
  <si>
    <t>Liman</t>
  </si>
  <si>
    <t>MORINA</t>
  </si>
  <si>
    <t>Bashkia Krumë-Has</t>
  </si>
  <si>
    <t>Lorenc</t>
  </si>
  <si>
    <t>LUKA</t>
  </si>
  <si>
    <t>Bashkia Shkodër</t>
  </si>
  <si>
    <t>Lulzim</t>
  </si>
  <si>
    <t>BASHA</t>
  </si>
  <si>
    <t>Bashkia Tiranë</t>
  </si>
  <si>
    <t>Ndue</t>
  </si>
  <si>
    <t>KOLA</t>
  </si>
  <si>
    <t>Bashkia Rrëshen</t>
  </si>
  <si>
    <t>Nesim</t>
  </si>
  <si>
    <t>SPAHIU</t>
  </si>
  <si>
    <t>Bashkia Çorovodë</t>
  </si>
  <si>
    <t>Qazim</t>
  </si>
  <si>
    <t>SEJDINI</t>
  </si>
  <si>
    <t>Bashkia Elbasan</t>
  </si>
  <si>
    <t>Rajmonda</t>
  </si>
  <si>
    <t>BALILAJ</t>
  </si>
  <si>
    <t>Bashkia Patos</t>
  </si>
  <si>
    <t>Sotiraq</t>
  </si>
  <si>
    <t>FILO</t>
  </si>
  <si>
    <t>Bashkia Korçë</t>
  </si>
  <si>
    <t>Stefan</t>
  </si>
  <si>
    <t>ÇIPA</t>
  </si>
  <si>
    <t>Bashkia Sarandë</t>
  </si>
  <si>
    <t>Syrja</t>
  </si>
  <si>
    <t>ORMËNAJ</t>
  </si>
  <si>
    <t>Bashkia Ura-Vajgurore</t>
  </si>
  <si>
    <t>Shefki</t>
  </si>
  <si>
    <t>ÇOTA</t>
  </si>
  <si>
    <t>Bashkia Librazhd</t>
  </si>
  <si>
    <t>Shkëlzen</t>
  </si>
  <si>
    <t>HOXHA</t>
  </si>
  <si>
    <t>Bashkia Krujë</t>
  </si>
  <si>
    <t>Shpëtim</t>
  </si>
  <si>
    <t>GJIKA</t>
  </si>
  <si>
    <t>Bashkia Vlorë</t>
  </si>
  <si>
    <t>Tërmet</t>
  </si>
  <si>
    <t>PEÇI</t>
  </si>
  <si>
    <t>Bashkia Tepelenë</t>
  </si>
  <si>
    <t>Vangjush</t>
  </si>
  <si>
    <t>DAKO</t>
  </si>
  <si>
    <t>Bashkia Durrës</t>
  </si>
  <si>
    <t>Viktor</t>
  </si>
  <si>
    <t>TUSHAJ</t>
  </si>
  <si>
    <t>Bashkia Lezhë</t>
  </si>
  <si>
    <t>Ylli</t>
  </si>
  <si>
    <t>KUPI</t>
  </si>
  <si>
    <t>Komuna Petrelë</t>
  </si>
  <si>
    <t>Xhelal</t>
  </si>
  <si>
    <t>MZIU</t>
  </si>
  <si>
    <t>Bashkia Kamzë</t>
  </si>
  <si>
    <t>Admir</t>
  </si>
  <si>
    <t>THANZA</t>
  </si>
  <si>
    <t>Gjyqtar</t>
  </si>
  <si>
    <t>Gjykata e Lartë</t>
  </si>
  <si>
    <t>Aleksandër</t>
  </si>
  <si>
    <t>MUSKAJ</t>
  </si>
  <si>
    <t>Andi</t>
  </si>
  <si>
    <t>ÇELIKU</t>
  </si>
  <si>
    <t>Ardian</t>
  </si>
  <si>
    <t>DVORANI</t>
  </si>
  <si>
    <t>NUNI</t>
  </si>
  <si>
    <t>Arjana</t>
  </si>
  <si>
    <t>FULLANI</t>
  </si>
  <si>
    <t>BROCI</t>
  </si>
  <si>
    <t>Drejtor i Përgjithshëm i Policisë së Shtetit</t>
  </si>
  <si>
    <t>Policia e Shtetit</t>
  </si>
  <si>
    <t>ZENELI</t>
  </si>
  <si>
    <t>ISLAMAJ</t>
  </si>
  <si>
    <t>Ambasada Shqiptare në Portugali</t>
  </si>
  <si>
    <t>Evelina</t>
  </si>
  <si>
    <t>QIRJAKO</t>
  </si>
  <si>
    <t>Guxim</t>
  </si>
  <si>
    <t>ZENELAJ</t>
  </si>
  <si>
    <t>Majlinda</t>
  </si>
  <si>
    <t>ANDREA</t>
  </si>
  <si>
    <t>Medi</t>
  </si>
  <si>
    <t>FANA</t>
  </si>
  <si>
    <t>SELIMI</t>
  </si>
  <si>
    <t>Tom</t>
  </si>
  <si>
    <t>NDRECA</t>
  </si>
  <si>
    <t>Xhezair</t>
  </si>
  <si>
    <t>ZAGANJORI</t>
  </si>
  <si>
    <t>Anëtar i Këshillit të Lartë të Drejtësisë - Kryetar i Gjykatës së Lartë</t>
  </si>
  <si>
    <t>LLALLA</t>
  </si>
  <si>
    <t>Prokuror i Përgjithshëm</t>
  </si>
  <si>
    <t>Prokuroria e Përgjithshme</t>
  </si>
  <si>
    <t>DIDI</t>
  </si>
  <si>
    <t>LAME</t>
  </si>
  <si>
    <t>Bashkia Pogradec</t>
  </si>
  <si>
    <t>Brisida</t>
  </si>
  <si>
    <t>SHEHAJ</t>
  </si>
  <si>
    <t>Drejtor i Përgjithshëm i Tatimeve</t>
  </si>
  <si>
    <t>Drejtoria e Përgjithshme e Tatimeve</t>
  </si>
  <si>
    <t>Bujar</t>
  </si>
  <si>
    <t>LESKAJ</t>
  </si>
  <si>
    <t>Kryetar i Kontrollit të Lartë të Shtetit</t>
  </si>
  <si>
    <t>Kontrolli i Lartë i Shtetit</t>
  </si>
  <si>
    <t>NISHANI</t>
  </si>
  <si>
    <t>Anëtar i Këshillit të Lartë të Drejtësisë - President i Republikës</t>
  </si>
  <si>
    <t>Këshilli i Lartë i Drejtësisë - Presidencë</t>
  </si>
  <si>
    <t>Elisa</t>
  </si>
  <si>
    <t>SPIROPALI</t>
  </si>
  <si>
    <t>Drejtor i Përgjithshme i Doganave</t>
  </si>
  <si>
    <t>Drejtoria e Përgjithshme e Doganave</t>
  </si>
  <si>
    <t>Igli</t>
  </si>
  <si>
    <t>TOTOZANI</t>
  </si>
  <si>
    <t>Avokat i Popullit</t>
  </si>
  <si>
    <t>Avokati i Popullit</t>
  </si>
  <si>
    <t>Visho</t>
  </si>
  <si>
    <t>AJAZI</t>
  </si>
  <si>
    <t>Drejtor i Shërbimit Informativ të Shtetit</t>
  </si>
  <si>
    <t>Shërbimi Informativ i Shtetit</t>
  </si>
  <si>
    <t>Tritan</t>
  </si>
  <si>
    <t>HAMITAJ</t>
  </si>
  <si>
    <t>Sokol</t>
  </si>
  <si>
    <t>ÇOMO</t>
  </si>
  <si>
    <t>Lulëzim</t>
  </si>
  <si>
    <t>LELÇAJ</t>
  </si>
  <si>
    <t>MUSTAFAJ</t>
  </si>
  <si>
    <t>Bashkia Mamurras</t>
  </si>
  <si>
    <t>SALIKO</t>
  </si>
  <si>
    <t>Gjin</t>
  </si>
  <si>
    <t>GJONI</t>
  </si>
  <si>
    <t>KAPLLANI</t>
  </si>
  <si>
    <t>ÇEFA</t>
  </si>
  <si>
    <t>Bashkia Kavajë</t>
  </si>
  <si>
    <t>HALLUNAJ</t>
  </si>
  <si>
    <t>CAKA</t>
  </si>
  <si>
    <t>Astrit</t>
  </si>
  <si>
    <t>HAXHIALUSHI</t>
  </si>
  <si>
    <t>RISTA</t>
  </si>
  <si>
    <t>DUKA</t>
  </si>
  <si>
    <t>Aldo</t>
  </si>
  <si>
    <t>BUMÇI</t>
  </si>
  <si>
    <t>Eduard</t>
  </si>
  <si>
    <t>HALIMI</t>
  </si>
  <si>
    <t>NOKA</t>
  </si>
  <si>
    <t>Fatmir</t>
  </si>
  <si>
    <t>MEDIU</t>
  </si>
  <si>
    <t>Genci</t>
  </si>
  <si>
    <t>RULI</t>
  </si>
  <si>
    <t>Genc</t>
  </si>
  <si>
    <t>POLLO</t>
  </si>
  <si>
    <t>BREGU</t>
  </si>
  <si>
    <t>Ridvan</t>
  </si>
  <si>
    <t>BODE</t>
  </si>
  <si>
    <t>Sali</t>
  </si>
  <si>
    <t>BERISHA</t>
  </si>
  <si>
    <t>Myqerem</t>
  </si>
  <si>
    <t>TAFAJ</t>
  </si>
  <si>
    <t>Oerd</t>
  </si>
  <si>
    <t>BYLYKBASHI</t>
  </si>
  <si>
    <t>Alban</t>
  </si>
  <si>
    <t>Albana</t>
  </si>
  <si>
    <t>VOKSHI</t>
  </si>
  <si>
    <t>Albina</t>
  </si>
  <si>
    <t>DEDA</t>
  </si>
  <si>
    <t>Alfred</t>
  </si>
  <si>
    <t>PEZA</t>
  </si>
  <si>
    <t>Anastas</t>
  </si>
  <si>
    <t>ANGJELI</t>
  </si>
  <si>
    <t>Andrea</t>
  </si>
  <si>
    <t>MARTO</t>
  </si>
  <si>
    <t>Anduel</t>
  </si>
  <si>
    <t>XHINDI</t>
  </si>
  <si>
    <t>Aqif</t>
  </si>
  <si>
    <t>RAKIPI</t>
  </si>
  <si>
    <t>ÇUKO</t>
  </si>
  <si>
    <t>IMAMI</t>
  </si>
  <si>
    <t>NDOKA</t>
  </si>
  <si>
    <t>RISTANI</t>
  </si>
  <si>
    <t>Ardjan</t>
  </si>
  <si>
    <t>TURKU</t>
  </si>
  <si>
    <t>Armando</t>
  </si>
  <si>
    <t>PRENGA</t>
  </si>
  <si>
    <t>SUBASHI</t>
  </si>
  <si>
    <t>Arta</t>
  </si>
  <si>
    <t>DADE</t>
  </si>
  <si>
    <t>GAÇI</t>
  </si>
  <si>
    <t>Drejtor i Përgjithshëm i ALUIZNI-t</t>
  </si>
  <si>
    <t>ALUIZNI</t>
  </si>
  <si>
    <t>BUSHI</t>
  </si>
  <si>
    <t>PATOZI</t>
  </si>
  <si>
    <t>Bashkim</t>
  </si>
  <si>
    <t>FINO</t>
  </si>
  <si>
    <t>Bedri</t>
  </si>
  <si>
    <t>MIHAJ</t>
  </si>
  <si>
    <t>Ben</t>
  </si>
  <si>
    <t>BLUSHI</t>
  </si>
  <si>
    <t>BARAJ</t>
  </si>
  <si>
    <t>Agim</t>
  </si>
  <si>
    <t>ISAKU</t>
  </si>
  <si>
    <t>Ambasada Shqiptare në Sllovaki</t>
  </si>
  <si>
    <t>CICI</t>
  </si>
  <si>
    <t>Ardiana</t>
  </si>
  <si>
    <t>HOBDARI</t>
  </si>
  <si>
    <t>Ambasada Shqiptare pranë Këshillit të Europës në Strasburg</t>
  </si>
  <si>
    <t>KUKO</t>
  </si>
  <si>
    <t>Ambasada Shqiptare në NATO</t>
  </si>
  <si>
    <t>Behar</t>
  </si>
  <si>
    <t>BEJKO</t>
  </si>
  <si>
    <t>Ambasada Shqiptare në Emiratet e Bashkuara Arabe</t>
  </si>
  <si>
    <t>Besiana</t>
  </si>
  <si>
    <t>KADARE</t>
  </si>
  <si>
    <t>Ambasada Shqiptare në UNESCO</t>
  </si>
  <si>
    <t>DIDA</t>
  </si>
  <si>
    <t>Ambasada Shqiptare në Japoni</t>
  </si>
  <si>
    <t>DERVISHI</t>
  </si>
  <si>
    <t>Ambasada Shqiptare në Greqi</t>
  </si>
  <si>
    <t>TOLA</t>
  </si>
  <si>
    <t>Ambasada Shqiptare në Francë</t>
  </si>
  <si>
    <t>TRAKO</t>
  </si>
  <si>
    <t>Ermal</t>
  </si>
  <si>
    <t>DREDHA</t>
  </si>
  <si>
    <t>Konsull</t>
  </si>
  <si>
    <t>Protokolli i Shtetit</t>
  </si>
  <si>
    <t>ERMAL</t>
  </si>
  <si>
    <t>MUÇA</t>
  </si>
  <si>
    <t>Konsullata e Shqipërisë në Turqi</t>
  </si>
  <si>
    <t>KERCIKU</t>
  </si>
  <si>
    <t>Ambasada Shqiptare në Indi</t>
  </si>
  <si>
    <t>Ferit</t>
  </si>
  <si>
    <t>Ambasada Shqiptare në OKB</t>
  </si>
  <si>
    <t>Filloreta</t>
  </si>
  <si>
    <t>KODRA</t>
  </si>
  <si>
    <t>GASHI</t>
  </si>
  <si>
    <t>Ambasada Shqiptare në Bosnje Hercegovinë</t>
  </si>
  <si>
    <t>PECANI</t>
  </si>
  <si>
    <t>Ambasada Shqiptare në Pragë</t>
  </si>
  <si>
    <t>MUÇAJ</t>
  </si>
  <si>
    <t>Ambasada Shqiptare në Turqi</t>
  </si>
  <si>
    <t>Gilbert</t>
  </si>
  <si>
    <t>GALANXHI</t>
  </si>
  <si>
    <t>Ambasada Shqiptare në SHBA</t>
  </si>
  <si>
    <t>Idriz</t>
  </si>
  <si>
    <t>KONJARI</t>
  </si>
  <si>
    <t>Ambasada Shqiptare në Kuala</t>
  </si>
  <si>
    <t>Bashkia Peshkopi</t>
  </si>
  <si>
    <t>TEPELENA</t>
  </si>
  <si>
    <t>Kastriot</t>
  </si>
  <si>
    <t>ROBO</t>
  </si>
  <si>
    <t>Ambasada Shqiptare në Madrid</t>
  </si>
  <si>
    <t>Ambasada Shqiptare në Kuvajt</t>
  </si>
  <si>
    <t>XHANI</t>
  </si>
  <si>
    <t>Ambasada Shqiptare në Pekin</t>
  </si>
  <si>
    <t>Leonard</t>
  </si>
  <si>
    <t>DEMI</t>
  </si>
  <si>
    <t>Mal</t>
  </si>
  <si>
    <t>Ambasada Shqiptare në Mbretërinë e Bashkuar</t>
  </si>
  <si>
    <t>Mimoza</t>
  </si>
  <si>
    <t>Ambasada Shqiptare në Bashkimin Europian</t>
  </si>
  <si>
    <t>Mira</t>
  </si>
  <si>
    <t>Ambasada Shqiptare në Hungari</t>
  </si>
  <si>
    <t>Neritan</t>
  </si>
  <si>
    <t>CEKA</t>
  </si>
  <si>
    <t>Ambasada Shqiptare në Itali</t>
  </si>
  <si>
    <t>Nuri</t>
  </si>
  <si>
    <t>DOMI</t>
  </si>
  <si>
    <t>Ambasada Shqiptare në Egjipt</t>
  </si>
  <si>
    <t>Pëllumb</t>
  </si>
  <si>
    <t>QAZIMI</t>
  </si>
  <si>
    <t>Ambasada Shqiptare në Kroaci</t>
  </si>
  <si>
    <t>Qemal</t>
  </si>
  <si>
    <t>MINXHOZI</t>
  </si>
  <si>
    <t>Ambasada Shqiptare në Kosovë</t>
  </si>
  <si>
    <t>Riza</t>
  </si>
  <si>
    <t>PODA</t>
  </si>
  <si>
    <t>Konsullata e Shqipërisë në Greqi</t>
  </si>
  <si>
    <t>Roland</t>
  </si>
  <si>
    <t>BIMO</t>
  </si>
  <si>
    <t>Ambasada Shqiptare në Vienë</t>
  </si>
  <si>
    <t>BALA</t>
  </si>
  <si>
    <t>Konsullata e Shqipërisë në Arabinë Saudite</t>
  </si>
  <si>
    <t>Sami</t>
  </si>
  <si>
    <t>SHIBA</t>
  </si>
  <si>
    <t>Ambasada Shqiptare në Rumani</t>
  </si>
  <si>
    <t>Shpresa</t>
  </si>
  <si>
    <t>KURETA</t>
  </si>
  <si>
    <t>Ambasada Shqiptare në Poloni</t>
  </si>
  <si>
    <t>GJOKA</t>
  </si>
  <si>
    <t>Ambasada Shqiptare në Federatën Ruse</t>
  </si>
  <si>
    <t>Spiro</t>
  </si>
  <si>
    <t>KOÇI</t>
  </si>
  <si>
    <t>Tatjana</t>
  </si>
  <si>
    <t>GJONAJ</t>
  </si>
  <si>
    <t>Ambasada Shqiptare në Brazil</t>
  </si>
  <si>
    <t>Tonin</t>
  </si>
  <si>
    <t>BECI</t>
  </si>
  <si>
    <t>Ambasada Shqiptare në Mal të Zi</t>
  </si>
  <si>
    <t>Valter</t>
  </si>
  <si>
    <t>IBRAHIMI</t>
  </si>
  <si>
    <t>Ambasada Shqiptare në Gjermani</t>
  </si>
  <si>
    <t>Mark</t>
  </si>
  <si>
    <t>FRROKU</t>
  </si>
  <si>
    <t>DOSHI</t>
  </si>
  <si>
    <t>SELAMI</t>
  </si>
  <si>
    <t>Dashamir</t>
  </si>
  <si>
    <t>Monika</t>
  </si>
  <si>
    <t>KRYEMADHI</t>
  </si>
  <si>
    <t>Spartak</t>
  </si>
  <si>
    <t>BRAHO</t>
  </si>
  <si>
    <t>Blerina</t>
  </si>
  <si>
    <t>GJYLAMETI</t>
  </si>
  <si>
    <t>Mhill</t>
  </si>
  <si>
    <t>FUFI</t>
  </si>
  <si>
    <t>Liljana</t>
  </si>
  <si>
    <t>ELMAZI</t>
  </si>
  <si>
    <t>DUSHAJ</t>
  </si>
  <si>
    <t>Komuna Kashar</t>
  </si>
  <si>
    <t>Blendi</t>
  </si>
  <si>
    <t>KLOSI</t>
  </si>
  <si>
    <t>DERVENI</t>
  </si>
  <si>
    <t>SHEHU</t>
  </si>
  <si>
    <t>ZIÇISHTI</t>
  </si>
  <si>
    <t>Xhemal</t>
  </si>
  <si>
    <t>Voltana</t>
  </si>
  <si>
    <t>ADEMI</t>
  </si>
  <si>
    <t>Vladimir</t>
  </si>
  <si>
    <t>KOSTA</t>
  </si>
  <si>
    <t>Vexhi</t>
  </si>
  <si>
    <t>MUÇMATAJ</t>
  </si>
  <si>
    <t>Vangjel</t>
  </si>
  <si>
    <t>DULE</t>
  </si>
  <si>
    <t>Valentina</t>
  </si>
  <si>
    <t>GANAJ</t>
  </si>
  <si>
    <t>QAFA</t>
  </si>
  <si>
    <t>Bashkia Fushë Arrëz</t>
  </si>
  <si>
    <t>Ali</t>
  </si>
  <si>
    <t>LAHO</t>
  </si>
  <si>
    <t>Bashkia Ersekë</t>
  </si>
  <si>
    <t>Altin</t>
  </si>
  <si>
    <t>Bashkia Libohovë</t>
  </si>
  <si>
    <t>Asqeri</t>
  </si>
  <si>
    <t>KUQJA</t>
  </si>
  <si>
    <t>Bashkia Belsh</t>
  </si>
  <si>
    <t>Bajazit</t>
  </si>
  <si>
    <t>KARRIQI</t>
  </si>
  <si>
    <t>Bashkia Përrenjas</t>
  </si>
  <si>
    <t>HUQI</t>
  </si>
  <si>
    <t>Bashkia Manëz</t>
  </si>
  <si>
    <t>GUDA</t>
  </si>
  <si>
    <t>Bashkia Leskovik</t>
  </si>
  <si>
    <t>Ferdinant</t>
  </si>
  <si>
    <t>ALIGJONI</t>
  </si>
  <si>
    <t>Bashkia Selenicë</t>
  </si>
  <si>
    <t>ÇAUSHI</t>
  </si>
  <si>
    <t>Bashkia Roskovec</t>
  </si>
  <si>
    <t>TOPÇIU</t>
  </si>
  <si>
    <t>Bashkia Maliq</t>
  </si>
  <si>
    <t>Gjok</t>
  </si>
  <si>
    <t>VUKA</t>
  </si>
  <si>
    <t>Bashkia Rubik</t>
  </si>
  <si>
    <t>MARKU</t>
  </si>
  <si>
    <t>Bashkia Vau- Dejes</t>
  </si>
  <si>
    <t>PJETRAJ</t>
  </si>
  <si>
    <t>Bashkia Peqin</t>
  </si>
  <si>
    <t>Indrit</t>
  </si>
  <si>
    <t>BUKA</t>
  </si>
  <si>
    <t>Bashkia Shijak</t>
  </si>
  <si>
    <t>NDONI</t>
  </si>
  <si>
    <t>Bashkia Këlcyrë</t>
  </si>
  <si>
    <t>MEÇI</t>
  </si>
  <si>
    <t>Bashkia Memaliaj</t>
  </si>
  <si>
    <t>Ndriçim</t>
  </si>
  <si>
    <t>DUSHKU</t>
  </si>
  <si>
    <t>Bashkia Rrogozhinë</t>
  </si>
  <si>
    <t>Ramadan</t>
  </si>
  <si>
    <t>LIKAJ</t>
  </si>
  <si>
    <t>Bashkia Koplik</t>
  </si>
  <si>
    <t>Ramazan</t>
  </si>
  <si>
    <t>MJESHTRI</t>
  </si>
  <si>
    <t>Bashkia Klos</t>
  </si>
  <si>
    <t>KETA</t>
  </si>
  <si>
    <t>Bashkia Bulqizë</t>
  </si>
  <si>
    <t>Servet</t>
  </si>
  <si>
    <t>DUZHA</t>
  </si>
  <si>
    <t>Bashkia Cërrik</t>
  </si>
  <si>
    <t>Sherif</t>
  </si>
  <si>
    <t>FORTUZI</t>
  </si>
  <si>
    <t>Bashkia Sukth</t>
  </si>
  <si>
    <t>MIZA</t>
  </si>
  <si>
    <t>Bashkia Bilisht</t>
  </si>
  <si>
    <t>Halim</t>
  </si>
  <si>
    <t>KOSOVA</t>
  </si>
  <si>
    <t>BUFI</t>
  </si>
  <si>
    <t>Miranda</t>
  </si>
  <si>
    <t>RIRA</t>
  </si>
  <si>
    <t>Altina</t>
  </si>
  <si>
    <t>XHOXHAJ</t>
  </si>
  <si>
    <t>Gjykata Kushtetuese</t>
  </si>
  <si>
    <t>DEDJA</t>
  </si>
  <si>
    <t>IMERAJ</t>
  </si>
  <si>
    <t>LULO</t>
  </si>
  <si>
    <t>BERBERI</t>
  </si>
  <si>
    <t>KRISTO</t>
  </si>
  <si>
    <t>Gani</t>
  </si>
  <si>
    <t>DIZDARI</t>
  </si>
  <si>
    <t>Vitore</t>
  </si>
  <si>
    <t>TUSHA</t>
  </si>
  <si>
    <t>Beqir</t>
  </si>
  <si>
    <t>ARIFAJ</t>
  </si>
  <si>
    <t>Bashkia Pukë</t>
  </si>
  <si>
    <t>Ermonela</t>
  </si>
  <si>
    <t>VALIKAJ</t>
  </si>
  <si>
    <t>BRAÇE</t>
  </si>
  <si>
    <t>Ervin</t>
  </si>
  <si>
    <t>Esmeralda</t>
  </si>
  <si>
    <t>SHKJAU</t>
  </si>
  <si>
    <t>Evis</t>
  </si>
  <si>
    <t>KUSHI</t>
  </si>
  <si>
    <t>TOÇI</t>
  </si>
  <si>
    <t>Fidel</t>
  </si>
  <si>
    <t>YLLI</t>
  </si>
  <si>
    <t>Florjon</t>
  </si>
  <si>
    <t>MIMA</t>
  </si>
  <si>
    <t>Gent</t>
  </si>
  <si>
    <t>STRAZIMIRI</t>
  </si>
  <si>
    <t>Gentian</t>
  </si>
  <si>
    <t>Gerti</t>
  </si>
  <si>
    <t>BOGDANI</t>
  </si>
  <si>
    <t>Gjergji</t>
  </si>
  <si>
    <t>PAPA</t>
  </si>
  <si>
    <t>Gjovalin</t>
  </si>
  <si>
    <t>BZHETAJ</t>
  </si>
  <si>
    <t>KADELI</t>
  </si>
  <si>
    <t>Gledjon</t>
  </si>
  <si>
    <t>REHOVICA</t>
  </si>
  <si>
    <t>Gramoz</t>
  </si>
  <si>
    <t>RUÇI</t>
  </si>
  <si>
    <t>Helidon</t>
  </si>
  <si>
    <t>CARA</t>
  </si>
  <si>
    <t>XHAKOLLI</t>
  </si>
  <si>
    <t>KLLOGJRI</t>
  </si>
  <si>
    <t>KAMBERI</t>
  </si>
  <si>
    <t>SHEHI</t>
  </si>
  <si>
    <t>PALOKA</t>
  </si>
  <si>
    <t>Koço</t>
  </si>
  <si>
    <t>KOKËDHIMA</t>
  </si>
  <si>
    <t>META</t>
  </si>
  <si>
    <t>XHAFAJ</t>
  </si>
  <si>
    <t>SPAHO</t>
  </si>
  <si>
    <t>SHALSI</t>
  </si>
  <si>
    <t>Eduart</t>
  </si>
  <si>
    <t>Eleina</t>
  </si>
  <si>
    <t>QIRICI</t>
  </si>
  <si>
    <t>Enkelejda</t>
  </si>
  <si>
    <t>SHKRELI</t>
  </si>
  <si>
    <t>SHTYLLA</t>
  </si>
  <si>
    <t>Mesila</t>
  </si>
  <si>
    <t>DODA</t>
  </si>
  <si>
    <t>HAFIZI</t>
  </si>
  <si>
    <t>Musa</t>
  </si>
  <si>
    <t>ULQINI</t>
  </si>
  <si>
    <t>Namik</t>
  </si>
  <si>
    <t>DOKLE</t>
  </si>
  <si>
    <t>KOPLIKU</t>
  </si>
  <si>
    <t>Nard</t>
  </si>
  <si>
    <t>Kejdi</t>
  </si>
  <si>
    <t>MEHMETAJ</t>
  </si>
  <si>
    <t>Klodiana</t>
  </si>
  <si>
    <t>Kozma</t>
  </si>
  <si>
    <t>DASHI</t>
  </si>
  <si>
    <t>Luan</t>
  </si>
  <si>
    <t>Luçjano</t>
  </si>
  <si>
    <t>BOÇI</t>
  </si>
  <si>
    <t>Luiza</t>
  </si>
  <si>
    <t>XHUVANI</t>
  </si>
  <si>
    <t>Ilirian</t>
  </si>
  <si>
    <t>PENDAVINJI</t>
  </si>
  <si>
    <t>Jorida</t>
  </si>
  <si>
    <t>TABAKU</t>
  </si>
  <si>
    <t>Jozefina</t>
  </si>
  <si>
    <t>TOPALLI</t>
  </si>
  <si>
    <t>ISLAMI</t>
  </si>
  <si>
    <t>Keltis</t>
  </si>
  <si>
    <t>KRUJA</t>
  </si>
  <si>
    <t>Olta</t>
  </si>
  <si>
    <t>XHAÇKA</t>
  </si>
  <si>
    <t>Omer</t>
  </si>
  <si>
    <t>MAMO</t>
  </si>
  <si>
    <t>Pandeli</t>
  </si>
  <si>
    <t>MAJKO</t>
  </si>
  <si>
    <t>Parid</t>
  </si>
  <si>
    <t>Paulin</t>
  </si>
  <si>
    <t>Sterkaj</t>
  </si>
  <si>
    <t>Përparim</t>
  </si>
  <si>
    <t>Petrit</t>
  </si>
  <si>
    <t>VASILI</t>
  </si>
  <si>
    <t>Piro</t>
  </si>
  <si>
    <t>KAPURANI</t>
  </si>
  <si>
    <t>LUTAJ</t>
  </si>
  <si>
    <t>Pjerin</t>
  </si>
  <si>
    <t>NDREU</t>
  </si>
  <si>
    <t>Rakip</t>
  </si>
  <si>
    <t>SULI</t>
  </si>
  <si>
    <t>Robert</t>
  </si>
  <si>
    <t>BITRI</t>
  </si>
  <si>
    <t>Sadri</t>
  </si>
  <si>
    <t>ABAZI</t>
  </si>
  <si>
    <t>Sherefedin</t>
  </si>
  <si>
    <t>IDRIZI</t>
  </si>
  <si>
    <t>Silva</t>
  </si>
  <si>
    <t>Tahir</t>
  </si>
  <si>
    <t>MUHEDINI</t>
  </si>
  <si>
    <t>Taulant</t>
  </si>
  <si>
    <t>BALLA</t>
  </si>
  <si>
    <t>Ulsi</t>
  </si>
  <si>
    <t>MANJA</t>
  </si>
  <si>
    <t>TAVO</t>
  </si>
  <si>
    <t>Vasilika</t>
  </si>
  <si>
    <t>HYSI</t>
  </si>
  <si>
    <t>Anila</t>
  </si>
  <si>
    <t>Erjeta</t>
  </si>
  <si>
    <t>ALHYSA</t>
  </si>
  <si>
    <t>Luljeta</t>
  </si>
  <si>
    <t>ARAPI</t>
  </si>
  <si>
    <t>Alaudin</t>
  </si>
  <si>
    <t>MALAJ</t>
  </si>
  <si>
    <t>Gjykata e Apelit</t>
  </si>
  <si>
    <t>ID</t>
  </si>
  <si>
    <t>Emri</t>
  </si>
  <si>
    <t>Mbiemri</t>
  </si>
  <si>
    <t>Pozicioni</t>
  </si>
  <si>
    <t>Vendi</t>
  </si>
  <si>
    <t>Viti</t>
  </si>
  <si>
    <t>*Të ardhura nga Paga dhe Shpërblimet*</t>
  </si>
  <si>
    <t>*Të ardhura nga Bonuse*</t>
  </si>
  <si>
    <t>*Të ardhura si Këshilltarë/Anëtarë Bordesh*</t>
  </si>
  <si>
    <t>*Të ardhura nga interesa bankare dhe të kredidhënies*</t>
  </si>
  <si>
    <t>*Të ardhura Qiradhënie*</t>
  </si>
  <si>
    <t>*Të ardhura nga Bizneset dhe Sipërmarrjet individuale*</t>
  </si>
  <si>
    <t>*Të ardhurat nga Ortakëri/Aksione*</t>
  </si>
  <si>
    <t>*Të ardhura nga Publikimet dhe e drejta e Autorit*</t>
  </si>
  <si>
    <t>*Të ardhura nga Çelje Trashëgimi*</t>
  </si>
  <si>
    <t>*Të ardhura të personave pjesë e Certifikatës Familjare*</t>
  </si>
  <si>
    <t>*Të Ardhura nga Detyrime të Shlyera nga të Tretë*</t>
  </si>
  <si>
    <t>*Të ardhura vjetore si % ndaj të ardhurave të pagës nga ky funksion*</t>
  </si>
  <si>
    <t>*Të tjera*</t>
  </si>
  <si>
    <t>*Përshkrimi dhe burimi*</t>
  </si>
  <si>
    <t>Të ardhura nga paga dhe shpërblime si Kryetar Bashkie në vlerën *530 220* 
lekë.</t>
  </si>
  <si>
    <t>Nuk ka</t>
  </si>
  <si>
    <t>Bashkëshorti zoti Urim Farrici të ardhura nga paga dhe shpërblime si 
Drejtor Dege pranë SGAL Bank në vlerën *980 174* lekë.</t>
  </si>
  <si>
    <t>Bashkëshorti zoti Urim Farrici detyrime të papaguara në vlerën *3 354 426* 
lekë për një kredi bankare marrë më 12.11.2010 me principal *3 356 000* 
lekë dhe këst mujor *19 000* lekë.</t>
  </si>
  <si>
    <t>*1)* Të ardhura nga paga dhe shpërblime si Kryetar Bashkie *712 803* lekë.</t>
  </si>
  <si>
    <t>*1)* Të ardhura nga bonuse për transportin si Kryetar Bashkie *360 000* 
lekë.</t>
  </si>
  <si>
    <t>*1)* Të ardhura si anëtar i Këshillit të Qarkut *93 600* lekë.</t>
  </si>
  <si>
    <t>*1)* Bashkëshorti: të ardhura nga paga dhe shpërblime *1 879 000* lekë.</t>
  </si>
  <si>
    <t>*1)* Të ardhura nga paga dhe shpërblime si Kryetar Bashkie *720 000* lekë.</t>
  </si>
  <si>
    <t>*1)* Të ardhura si anëtar i Këshillit të Qarkut *140 400* lekë.</t>
  </si>
  <si>
    <t>*1)* Bashkëshorti: të ardhura nga paga dhe shpërblime *2 134 000* lekë.</t>
  </si>
  <si>
    <t>*Funksioni dhe institucioni*</t>
  </si>
  <si>
    <t>*Koha e marrjes së detyrës/mandatit*</t>
  </si>
  <si>
    <t>*Perfaqësues politik/I pavarur*</t>
  </si>
  <si>
    <t>*Deklarata sipas ILDKP me Numër Indeksi:*</t>
  </si>
  <si>
    <t>*Persona të Familjes të përfshirë në Deklaratë:*</t>
  </si>
  <si>
    <t>Adelina FARRICI</t>
  </si>
  <si>
    <t>Kryebashkiak - Bashkia Burrel</t>
  </si>
  <si>
    <t>Mandati i parë</t>
  </si>
  <si>
    <t>Aleanca për të Ardhmen</t>
  </si>
  <si>
    <t>-</t>
  </si>
  <si>
    <t>Bashkëshorti</t>
  </si>
  <si>
    <t>Edi RAMA</t>
  </si>
  <si>
    <t>Këshilli i Ministrave - Këshilli i Ministrave</t>
  </si>
  <si>
    <t>Deputet i Parlamentit - Kuvendi i Shqipërisë</t>
  </si>
  <si>
    <t>Partia Socialiste</t>
  </si>
  <si>
    <t>nr: 03397/2013 nr: 03397/2014</t>
  </si>
  <si>
    <t>bashkëshortja zonja Lindita Rama dhe djali zoti Gregor Rama</t>
  </si>
  <si>
    <t>Paga 10 shtator  31 dhjetor 2013 ka gjeneruar të ardhura në masën *694 358* 
lekë.</t>
  </si>
  <si>
    <t>Nuk ka për periudhën shtator - dhjetor</t>
  </si>
  <si>
    <t>*1)* Pagesa bruto e zonjës Lindita Rama për angazhimin në ekspertizë 
deklarohen në vlerën *1 010 016* lekë, tatimi mbi të ardhurën personale 
deklarohet i paguar.
*2)* të ardhura bruto të zonjës Lindita Rama nga qiradhënia e apartamentit 
nën pronësi *505 008* lekë ku detyrimi mbi të ardhurën personale deklarohet 
i paguar.</t>
  </si>
  <si>
    <t>Në datën 22.10. 2013 është marrë kredi në një bankë të nivelit të dytë në 
vlerën *80 000* euro, me afat shlyerje 10 vjet, pjesë e regjimit martesor 
ku bashkëshortët detyrohen me nga 50% të vlerës secili.</t>
  </si>
  <si>
    <t>*Pasuri të paluajtshme*</t>
  </si>
  <si>
    <t>*Likuiditete (Depozita, Cash, Llogari rrjedhëse, Debi-Kredi, Karta 
krediti/debiti)*</t>
  </si>
  <si>
    <t>*Automjete*</t>
  </si>
  <si>
    <t>*Sende me vlerë*</t>
  </si>
  <si>
    <t>*Tituj Financiarë (Bono thesari, obligacione, letra me vlerë, fonde 
sigurie, aksione në bursë, shërbime financiare të parapaguara)*</t>
  </si>
  <si>
    <t>*Dhurata*</t>
  </si>
  <si>
    <t>*1)* pronar me 100% i apartament banimi Tiranë, tip parafabrikat me sip. 59 
m2 , fituar me privatizim, sipas rivlerësimit të 2012 vlera *5 422 100* 
lekë.
*2)* pronar me 100% të studio artisti Tiranë, sip. 65 m2, me trashëgimi nga 
babai, me vlerë të raportuar *2 500 000* Lekë.
*3)* bashkëpronar me 50% e ku 50% të tjera pjesë e regjimit martesor me 
bashkëshorten Lindita RAMA, shtëpi banimi me sipërfaqe të padeklaruar, 
përcaktuar një kat, me vlerë ndërtimi *39 607 741* lekë, vendndodhja e 
shtëpisë në fshat Surrel, Komuna Dajt, pasuri që justifikohet me dokument 
leje ndërtimi, momenti i deklarimit pa titull pronësie.
*4)* bashkëshortja Lindita Rama si e pavarur nga regjimi martesor është 
pronare me 100% e apartament sip. 146.15 m2 + verandë 68 m2 + garazh 17 m2, 
vendndodhja Tiranë, blerë me pjesë në 2015 dhe 2009.
*5)* bashkëshortja Lindita Rama e pavarur nga regjimi martesor është 
pronare e tokë arë me sip. 4 483.5 m2 Surrel, Dajt, blerë në vitet 2005 dhe 
2009, me titull pronësie për tokë arë.</t>
  </si>
  <si>
    <t>*1)* gjendje e datës 10. 09. 2013 në llogari bankare personale në vlerë *2 
007 789*,3 lekë, burim të ardhurash paga e mëhershme dhe shitja e librit 
"Kurban".
*2)* kesh (cash) në vlerën *988 700* lekë, burim i të ardhurave kursime 
personale.
*3)* kredi në bankë të nivelit të dytë me vlerë detyrimi financiarë të 
pashlyer - *336 383* lekë , e marrë në datën 12. 05. 2000 me principal 2.5 
milion lekë, afat shlyerje 15 vjet, interes bazë 3%.
*4)* detyrim i papaguar subjektit ndërtues të shtëpisë së banimit në 
Surrel me vlerë  *12 056 241* lekë, detyrim si pjesë e regjimit martesor 
50 me 50 me bashkëshorten.
*5)* detyrim i papaguar i qira vjetore apartament banimi sipas kushtit për 
pagim një herë në vit, vlera e detyrimit -*573 280* lekë detyrim si pjesë e 
regjimit martesor 50 me 50 me bashkëshorten.
*6)* Zonja Lindita Rama në cilësinë e bashkëshortes dhe me të drejta të 
pavarura nga regjimi martesor, zotëron vlerën e dhënë si hua të tretëve 
prej *70 000* euro, hua pa interes, e papërcaktuar data e huadhënies.
*7)* bashkëshortja Lindita Rama zotëron gjendje llogari bankare më 10. 09. 
2013 në vlerën *6 206 644*.3 lekë, deklarohet 100% pjesëtare.</t>
  </si>
  <si>
    <t>Nuk zotëron</t>
  </si>
  <si>
    <t>*1)* posedues i një koleksion me krijimtari artistike të babait, koleksion 
i trashëguar.</t>
  </si>
  <si>
    <t>*1)* Të ardhura nga paga si kryeministër, *2 173 405* lekë.
*2)* Te ardhura nga honorare te tjera, *161 468* leke.</t>
  </si>
  <si>
    <t>Të ardhura nga vijimi i shitjes së librit "Kurban', *159 700* lekë.</t>
  </si>
  <si>
    <t>Bashkëshortja, të ardhura nga puna si eksperte, *8 582 342* lekë.</t>
  </si>
  <si>
    <t>*1)* Gjendja e llogarisë bankare në një bankë të nivelit të dytë, shtuar me *234 
555* lekë.
*2)* Gjendja cash pakësuar me *645 700* lekë.
*3)* Kredi në një bankë të nivelit të dytë, vlera e detyrimit financiar të 
pashlyer, - *72 022* euro, marrë më 22.10.20013, me principal *80 000* 
euro, afat shlyerje 10 vjet, pjesë e regjimit martesor ku bashkëshortët 
detyrohen me nga 50 % të vlerës secili.
*4)* Bashkëshortja, Lindita Rama gjendja e llogarisë bankare personale, 
shtuar me *427 546* lekë.
*5)* Bashkëshortja Lindita Rama e pavarur nga regjimi martesor është 
pronare 100 % e një tokë arë me sip. 886.5 m2 Surrel,Tiranë, blerë më 
06.02.2014, si rikthim i sipërfaqes së tokës në gjendjen fillestare, tashmë 
pjesë integrale e tokës ku është ndërtuar godina e banimit, me vlerë *400 
000* lekë.
*6)* Bashkëshortja, të ardhura nga qiraja ap. Tiranë, *744 269* lekë.
*7)* Bashkëshortja, të ardhura nga interesat bankare, *9 642* lekë.</t>
  </si>
  <si>
    <t>Të ardhura nga paga si ministër, *1 540 307* lekë.</t>
  </si>
  <si>
    <t>*1)* Të ardhura nga pjesëmarrja në Bordin Drejtues të FSHZH-së, *31 624* 
lekë.
*2)* Të ardhura nga pjesëmarrja në Komisionin e Ndihmës Shtetërore, *40 000* 
lekë.
*3)* Të ardhura nga pjesëmarrja në Këshillin Kombëtar të Rregullimit të 
Territorit, *80 000* lekë.</t>
  </si>
  <si>
    <t>*1)* Bashkëshortja, të ardhura nga paga dhe shpërblime, *4 134 532* lekë.
*2)* Bashkëshortja, të ardhura nga qiraja e ambienteve tek Samor Tower, *10 
800* euro.
*3)* Bashkëshortja, të ardhura nga qiraja e ambienteve tek Tubourg, *12 000* 
euro.</t>
  </si>
  <si>
    <t>*1)* Të ardhura nga shitja e një ap. te "21 Dhjetori", 03.12.2014, *80 000* 
euro, pjesa takuese 100 %.
*2)* Të ardhura nga shitje e një automjeti, 14.01.2014, *25 000* euro, 
pjesa takuese 100 %.
*3)* Të ardhura nga shitja e një toke, arë 2000 m2, 08.03.2014, *65 000* 
euro, pjesa takuese 100 %.
*4)* Gjendja e llogarisë personale, në një bankë të nivelit të dytë, *138 
787* euro.
*5)* Gjendja e llogarisë personale, në një bankë të nivelit të dytë, *114 
000* euro.
*6)* Gjendja e llogarisë personale, në një bankë të nivelit të dytë, 
pakësuar me *188 700* dollarë.
*7)* Gjendja e llogarisë së përbashkët, në një bankë të nivelit të dytë, 
shtuar me *82 168* euro nga shitja e ap.
*8)* Gjendja e llogarisë së përbashkët në një bankë të nivelit të dytë, 
pakësuar me *601 368* lekë.
*9)* Gjendja e llogarisë së përbashkët në një bankë të nivelit të dytë, 
shtuar me *15 308* lekë.
*10)* Gjendja e llogarisë së përbashkët në një bankë të nivelit të dytë, 
shtuar me 0.16 dollarë.
*11)* Gjendja e llogarisë së përbashkët në një bankë të nivelit të dytë, *708 
073* lekë.
*12)* Gjendja e llogarisë personale në një bankë të nivelit të dytë, 
pakësuar me *2 842* euro.
*13)* Gjendja e llogarisë personale në një bankë të nivelit të dytë, 
pakësuar me *1 892* euro.
*14)* Gjendja e llogarisë personale në një bankë të nivelit të dytë, shtuar 
me *472 302* lekë.
*15)* Kredi në një bankë të nivelit të dytë me vlerë detyrimi financiar të 
pashlyer - *19 808* euro, e marrë në datën 24.08.2006 me principal *100 000* 
euro.
*16)* Kredi në një bankë të nivelit të dytë me vlerë detyrimi financiar të 
pashlyer - *6 491* euro, e marrë në datën 16.11.2009 me principal *24 111* 
euro.
*17)* Kredi leasing në një bankë të nivelit të dytë me vlerë detyrimi 
financiar të pashlyer - *5 284* euro, me principal *15 500* lekë, për 
shlyerje leasing makine.
*18)* Bashkëshortja, legalizim, regjistrim, hipotekim i shtëpisë në Qerret, 
Durrës.
*19)* Bashkëshortja nënshkrim kontrate të sipërmarrjes dhe ndarje e pjesëve 
për investim të kryer në Selitë, Tiranë.
*20)* Bashkëshortja, shitje automjeti *2 500* euro, pjesa takuese 100%.
*21)* Bashkëshortja, llogaria personale në një bankë të nivelit të dytë, 
shtuar me 242 euro.
*22)* Bashkëshortja, llogaria personale në një bankë të nivelit të dytë, 
pakësuar me *165 519* lekë.
*23)* Bashkëshortja, llogaria personale në një bankë të nivelit të dytë, 
pakësuar me *3 998* dollarë.
*24)* Bashkëshortja, llogaria personale në një bankë të nivelit të dytë, 
shtuar me *380 890* lekë.
*25)* Bashkëshortja, llogaria personale në një bankë të nivelit të dytë, 
shtuar me *2 344* dollarë.
*26)* Bashkëshortja, llogaria personale në një bankë të nivelit të dytë, 
shtuar me *2 217* dollarë.</t>
  </si>
  <si>
    <t>Të ardhura nga paga si ministër, *1 599 770* lekë.</t>
  </si>
  <si>
    <t>Të ardhurat nga interesat bankare, *176 743* lekë, pjesa takuese 100 %.</t>
  </si>
  <si>
    <t>*1)* Bashkëjetuesja, të ardhura nga paga në New York, SHBA, si drejtore për 
Programet e Shoqërisë Civile në Institutin e Menazhimit Lindje-Perëndim, *79 
024* dollarë.
*2)* Bashkëjetuesja, të ardhura nga puna si konsulente, shtator - nëntor 
2014, pranë Qendrës Aleanca Gjinore për Zhvillim, Tiranë, *2 250* dollarë.</t>
  </si>
  <si>
    <t>Të ardhura nga shitja e pjesëve të një ap. Rr. "Ismail Qemali", *2 501 760* 
lekë.</t>
  </si>
  <si>
    <t>Të ardhura nga paga si ministër, *1 595 941* lekë.</t>
  </si>
  <si>
    <t>Të ardhura nga interesat bankare *100 000* lekë.</t>
  </si>
  <si>
    <t>*1)* Bashkëshortja, të ardhura nga paga si drejtuese e deparlamentit në TV 
Top-Channel, *1 121 000* lekë.
*2)* Të ardhura nga aktiviteti privat i bashkëshortes (studio projektimi, 
Fabrika), *1 702 453* lekë.</t>
  </si>
  <si>
    <t>Të ardhura për shpërblim page nga Kuvendi i Shqipërisë, fituar me vendim 
gjykate, *325 377* lekë.</t>
  </si>
  <si>
    <t>*1)* Gjendja e llogarisë në një bankë të nivelit të dytë, shtuar me *327 
000* lekë.
*2)* Kredi në një bankë të nivelit të dytë me vlerë detyrimi financiar të 
pashlyer - *1 900 000* lekë, me principal 5 milionë lekë, interes bazë 3%, 
për blerje shtëpie.
*3)* Bashkëshortja, gjendja e llogarisë në një bankë të nivelit të dytë, 
shtuar me *43 135* lekë.
*4)* Bashkëshortja, gjendja e llogarisë në një bankë të nivelit të dytë, 
shtuar me 16 euro.
*5)* Bashkëshortja, gjendja e llogarisë në një bankë të nivelit të dytë, *641 
001* lekë.
*6)* Bashkëshortja, gjendja e llogarisë në një bankë të nivelit të dytë, *7 
032* euro.
*7)* Bashkëshortja, kredi në një bankë të nivelit të dytë, me vlerë 
detyrimi financiar - 0 euro, me principal *18 200* euro, interes Eurobor 5 
%, për blerje automjeti.</t>
  </si>
  <si>
    <t>Të ardhura nga paga si ministër, *1 588 699* lekë.</t>
  </si>
  <si>
    <t>*1)* Bashkëshortja, të ardhura nga puna me projekte, *41 451* euro.
*2)* Bashkëshortja, të ardhura të përfituara nga puna kërkimore dhe 
mësimdhënia *684 657* lekë.
*3)* Bashkëshortja, të ardhura nga përkthime/projekte, 575 dollarë.
*4)* Bashkëshortja, të ardhura nga mësimdhënia, *558 871* lekë.</t>
  </si>
  <si>
    <t>*1)* Gjendja e llogarisë depozitë në një bankë të nivelit të dytë, *21 700* 
euro.
*2)* Gjendja e llogarisë rrjedhëse në një bankë të nivelit të dytë, *1 425 
833* lekë.
*3)* Gjendja e llogarisë depozitë në një bankë të nivelit të dytë, *3 427* 
euro.
*4)* Gjendja e llogarisë depozitë në një bankë të nivelit të dytë, *13 974* 
dollarë.
*5)* Të ardhura nga shitja e një automjeti, *7 300* euro.
*6)* Gjendja e llogarisë depozitë, në një bankë të nivelit të dytë, *7 436* 
dollarë.
*7)* Bashkëshortja, gjendja e llogarisë depozitë në një bankë të nivelit të 
dytë, *14 747* euro.
*8)* Bashkëshortja, gjendja e llogarisë depozitë në një bankë të nivelit të 
dytë, *31 181* dollarë.
*9)* Bashkëshortja, gjendja e llogarisë rrjedhëse, në një bankë të nivelit 
të dytë, *14 495* euro.
*10)* Bashkëshortja, gjendja e llogarisë rrjedhëse, në një bankë të nivelit 
të dytë, *684 657* lekë.
*11)* Bashkëshortja, gjendja e llogarisë në një bankë të nivelit të dytë, 
në emër të vajzës Hera Bushati, *7 242* euro.
*12)* Bashkëshortja, gjendja e llogarisë në një bankë të nivelit të dytë, 
në emër të djalit Martin Bushati, *2 200* euro.</t>
  </si>
  <si>
    <t>Të ardhura nga paga si ministër, *2 107 050* lekë bruto.</t>
  </si>
  <si>
    <t>Të ardhura nga dieta, *1 000* euro.</t>
  </si>
  <si>
    <t>Të ardhura nga pjesëmarrja në KKT, *100 000* lekë bruto.</t>
  </si>
  <si>
    <t>*1)* Të ardhura nga qiraja e ap. në Rr. "Pjetër Bogdani", Tiranë për 
periudhën 1 prill 2014 - 31 gusht 2014, *2 000* euro.
*2)* Të ardhura nga qiraja e ap. në Rr. "Pjetër Bogdani", Tiranë për 
periudhën 1 shtator 2014 e në vijim, *2 400* euro.</t>
  </si>
  <si>
    <t>*1)* Të ardhura si kontribut nga vëllai e kunati për shkollimin e vajzës në 
Angli, *5 500* euro.
*2)* Kredi në një bankë të nivelit të dytë me vlerë detyrimi financiar të 
pashlyer - *61 755* euro, afat shlyerje deri 03.03.2022, interes bazë 4 %, 
për blerje ap. në Rr. "Zef Jubani".
*3)* Bashkëshortja, gjendja e llogarisë depozitë në një bankë të nivelit të 
dytë, *381 151* lekë.
*4)* Bashkëshortja, gjendja e llogarisë depozitë në një bankë të nivelit të 
dytë, *10 000* euro.</t>
  </si>
  <si>
    <t>Të ardhura nga paga e honorare, *1 926 663* lekë.</t>
  </si>
  <si>
    <t>*1)* Bashkëshortja, të ardhura nga paga *1 373 888* lekë.
*2)* Bashkëshortja, të ardhura nga interesat *32 312* euro.</t>
  </si>
  <si>
    <t>*1)* Gjendja e llogarisë bankare në një bankë të nivelit të dytë, shtuar me *1 
785 934* lekë.
*2)* Gjendja e llogarisë bankare në një bankë të nivelit të dytë, pakësuar 
me - *1 467 998* lekë.
*3)* Gjendja e llogarisë bankare në një bankë të nivelit të dytë, shtuar me 
9 lekë.
*4)* Gjendja e llogarisë bankare në një bankë të nivelit të dytë, pakësuar 
me - *1 200* lekë.
*5)* Gjendja e llogarisë bankare në një bankë të nivelit të dytë, shtuar *140 
720* lekë.
*6)* Gjendja e llogarisë në një bankë të nivelit të dytë, pakësuar me - *405 
350* lekë me.
*7)* Bashkëshortja, gjendja e llogarisë në një bankë të nivelit të dytë, 
shtuar me *24 925* lekë.
*8)* Bashkëshortja, gjendja e llogarisë në një bankë të nivelit të dytë, 
shtuar me *7 062* euro.
*9)* Bashkëshortja, gjendja e llogarisë në një bankë të nivelit të dytë, 
shtuar me *25 250* euro.
*10)* Bashkëshortja, gjendja e llogarisë në një bankë të nivelit të dytë, 
pakësuar me *781 150* lekë.
*11)* Bashkëshortja, gjendja e llogarisë në një bankë të nivelit të dytë, 
pakësuar me *10 215* euro.
*12)* Bashkëshortja, gjendja e llogarisë në një bankë të nivelit të dytë, 
shtuar me *1 220 960* lekë.
*13)* Bashkëshortja, gjendja e llogarisë në një bankë të nivelit të dytë, 
pakësuar me *82 468* lekë.
*14)* Bashkëshortja, gjendja e llogarisë në një bankë të nivelit të dytë, 
shtuar me *128 002* lekë.
*15)* Bashkëshortja, gjendja e llogarisë bankare në një bankë të nivelit të 
dytë, shtuar me *7 200* euro.
*16)* Bashkëshortja, gjendja e llogarisë bankare në një bankë të nivelit të 
dytë, pakësuar me *185 828* lekë.
*17)* Bashkëshortja, gjendja e llogarisë bankare në një bankë të nivelit të 
dytë, pakësuar me *7 202* euro.
*18)* Bashkëshortja, gjendja e llogarisë bankare në një bankë të nivelit të 
dytë, shtuar me *780 000* lekë.
*19)* Djali, Klajd Panariti gjendja e llogarisë bankare në një bankë të 
nivelit të dytë, shtuar me *5 628* euro.
*20)* Djali Klajd Panariti, gjendja e llogarisë bankare në një bankë të 
nivelit të dytë, pakësuar me *5 747* euro.
*21)* Djali Bjorn Panariti, gjendja e llogarisë bankare në një bankë të 
nivelit të dytë, shtuar me *2 050* euro.
*22)* Djali Bjorn Panariti, gjendja e llogarisë bankare në një bankë të 
nivelit të dytë pakësuar me *1 870* euro.</t>
  </si>
  <si>
    <t>Të ardhura nga paga dhe shpërblime, *1 595 776* lekë.</t>
  </si>
  <si>
    <t>*1)* Të ardhura nga pjesëmarrja në KKT, *77 000* lekë.
*2)* Të ardhura si anëtare e bordit të FSHZH-së, *31 624* lekë.</t>
  </si>
  <si>
    <t>*1)* Bashkëshorti, të ardhura nga paga dhe shpërblime si drejtor i 
Departamentit të Operacioneve Monetare në BSH, *3 472 193* lekë.
*2)* Bashkeshorti te ardhura nga interesat nga investimi ne LV te Qeverise *1 
079 235* leke</t>
  </si>
  <si>
    <t>*1)* Gjendja e llogarisë personale në një bankë të nivelit të dytë, 
pakësuar me *140 147* lekë .
*2)* Bashkëshorti, gjendja e llogarisë bankare në një bankë të nivelit të 
dytë, pakësuar me - *33 282* lekë.
*3)* Bashkëshorti, gjendja e llogarisë bankare në një bankë të nivelit të 
dytë, pakësuar me - *10 990* lekë.
*4)* Bashkëshorti, gjendja e llogarisë bankare në një bankë të nivelit të 
dytë, pakësuar me - 124 dollarë.
*5)* Bashkëshorti, gjendja e llogarisë bankare në një bankë të nivelit të 
dytë, shtuar me 348 euro.
*6)* Bashkëshorti, gjendja e llogarisë bankare në një bankë të nivelit të 
dytë, pakësuar me - *5 004* euro.
*7)* Bashkëshorti, gjendja e llogarisë bankare në një bankë të nivelit të 
dytë, pakësuar me - *4 504* dollarë.
*8)* Bashkëshorti, gjendja e llogarisë bankare në një bankë të nivelit të 
dytë, shtuar me *1 000 000* lekë, nga maturimi i LVL në 08.05.2014.
*9)* Bashkëshorti, gjendja e llogarisë bankare në një bankë të nivelit të 
dytë, shtuar me *1 327 576* lekë nga shitja e LVL në 21.04.2014.
*10)* Bashkëshorti, gjendja e llogarisë bankare në një bankë të nivelit të 
dytë, shtuar me *3 054 157* lekë nga shitja e LVL në 20.102014.
*11)* Bashkëshorti, gjendja e llogarisë bankare në një bankë të nivelit të 
dytë, pakësuar me *1 300 000* lekë nga blerja e LVL në 25.04.2014.
*12)* Bashkëshorti, gjendja e llogarisë bankare në një bankë të nivelit të 
dytë, pakësuar me *3 000 000* lekë nga blerja e LVL në 24.10.2014.
*13)* Bashkëshorti, gjendja cash, shtuar me *350 000* lekë.
*14)* Bashkëshorti, gjendja cash, shtuar me *1 500* paund britanikë.
*15)* Bashkëshorti, gjendja cash pakësuar me 500 dollarë.
*16)* Bashkëshorti, gjendja cash pakësuar me *3 000* euro.
*17)* Bashkëshorti, kredi për shtëpi nga Banka e Shqipërisë, me vlerë 
detyrimi financiar *3 558 436* lekë.</t>
  </si>
  <si>
    <t>Paga neto si ministër i Mirëqenies Sociale dhe Rinisë, *1 551 834* lekë.</t>
  </si>
  <si>
    <t>*1)* Bashkëshortja, të ardhura nga paga për shërbime konsulence ndaj zyrës 
ligjore "Tashko-Pustina sh.p.k", nga 1 janari - 31 mars 2014, *733 920* 
lekë.
*2)* Bashkëshortja, të ardhura nga paga për shërbime konsulence ndaj zyrës 
ligjore "The Partners sh.p.k", *360 000* lekë.
*3)* Bashkëshortja, të ardhura nga paga si lektore pranë Universitetit 
Evropian të Tiranës, 1 janar - 28 shkurt 2004, *70 226* lekë.</t>
  </si>
  <si>
    <t>*1)* Gjendja e llogarisë bankare në një bankë të nivelit të dytë, *25 007* 
lekë.
*2)* Gjendja e llogarisë bankare në një bankë të nivelit të dytë, 692 euro.
*3)* Gjendja e llogarisë bankare në një bankë të nivelit të dytë, pakësuar 
me 9 euro.
*4)* Gjendja e llogarisë bankare në një bankë të nivelit të dytë, *5 305* 
euro pjesa takuese 50%.
*5)* Gjendja e llogarisë bankare në një bankë të nivelit të dytë, *7 516* 
dollarë pjesa takuese 50%.
*6)* Bashkëshortja, gjendja e llogarisë bankare në një bankë të nivelit të 
dytë, *19 801* euro.
*7)* Bashkëshortja, gjendja e llogarisë bankare në një bankë të nivelit të 
dytë, *4 879* euro.
*8)* Bashkëshortja, gjendja a e llogarisë bankare në një bankë të nivelit 
të dytë, *11 241* lekë.
*9)* Bashkëshortja, gjendja e llogarisë bankare në një bankë të nivelit të 
dytë, *5 303* euro ku pjesa takuese 50%.
*10)* Bashkëshortja, gjendja e llogarisë bankare në një bankë të nivelit të 
dytë, *7 516* dollarë pjesa takuese 50%.</t>
  </si>
  <si>
    <t>Të ardhura nga paga, *1 597 000* lekë.</t>
  </si>
  <si>
    <t>Të ardhura nga pjesëmarrja në këshilla administrativë dhe borde, *153 000* 
lekë.</t>
  </si>
  <si>
    <t>Të ardhura nga qiraja e ap. në Rr: "Ibrahim Rugova, Tiranë, *900 000* lekë.</t>
  </si>
  <si>
    <t>Të ardhura nga shitja e 51 % të kuotave në kompaninë, Intech shpk në 
29.08.2013, me vlerë të përgjithshme, *18 360 000* lekë, vlere vjetore *1 
000 000* lekë.</t>
  </si>
  <si>
    <t>Bashkëshortja, të ardhura nga puna në bankë, *3 648 000* lekë.</t>
  </si>
  <si>
    <t>*1)* Gjendja e llogarisë bankare në një bankë të nivelit të dytë, shtuar me 
600 dollarë.
*2)* Gjendja e llogarisë bankare në një bankë të nivelit të dytë, pakësuar 
me *2 506* euro.
*3)* Gjendja e llogarisë bankare në një bankë të nivelit të dytë, shtuar me *2 
146* euro.
*4)* Gjendja e llogarisë bankare në një bankë të nivelit të dytë, shtuar me *1 
357 300*.
*5)* Kredi në një bankë të nivelit të dytë, me vlerë detyrimi financiar të 
pashlyer, - *31 503* euro, e marrë në gusht 2007 me principal *100 000* 
euro, afat shlyerje 10 vjet, interes bazë 5.7 %, për blerje ap. me sip. 205 
m2 dhe garazh.
*6)* Bashkëshortja, gjendja e llogarisë bankare në një bankë të nivelit të 
dytë, shtuar me *1 119 132* lekë.
*7)* Bashkëshortja, gjendja e llogarisë bankare në një bankë të nivelit të 
dytë, shtuar me *1 267 886* lekë.
*8)* Bashkëshortja, gjendja e llogarisë bankare në një një bankë të nivelit 
të dytë pakësuar me *6 107* euro.
*9)* Bashkëshortja, gjendja e llogarisë bankare në një bankë të nivelit të 
dytë, shtuar me 250 dollarë.
*10)* Bashkëshortja, gjendja e llogarisë bankare në një bankë të nivelit të 
dytë, shtuar me 420 dollarë.</t>
  </si>
  <si>
    <t>Të ardhura nga paga si ministre *1 595 995* lekë.</t>
  </si>
  <si>
    <t>Të ardhura si anëtare e bordit të FSHZH-së, *62 939* lekë.</t>
  </si>
  <si>
    <t>Bashkëshorti, të ardhura nga vetëpunësimi në agjenci turistike, *783 167* 
lekë.</t>
  </si>
  <si>
    <t>*1)* Gjendja e llogarisë bankare në një bankë të nivelit të dytë, *795 149* 
lekë.
*2)* Gjendja e llogarisë bankare në një bankë të nivelit të dytë, 26 euro, 
pjesa takuese 50 %.
*3)* Bashkëshorti, gjendja e llogarisë bankare në një bankë të nivelit të 
dytë, *160 862* lekë.
*4)* Bashkëshorti, gjendja e llogarisë bankare në një bankë të nivelit të 
dytë, *4 644* lekë.
*5)* Bashkëshorti, gjendja e llogarisë bankare në një bankë të nivelit të 
dytë, 663 euro.</t>
  </si>
  <si>
    <t>Të ardhura nga paga si ministër, *1 695 400* lekë.</t>
  </si>
  <si>
    <t>*80 000* euro të ardhura nga qiraja e katër pasurive në Durrës, me sip. 
3324 m2, dhënë shoqërisë Portobello shpk.</t>
  </si>
  <si>
    <t>*1)* Bashkëshortja, të ardhura nga paga si administratore e shoqërisë 
Wind-co shpk me vlerë *968 400* lekë.
*2)* Djali, të ardhura nga paga si administrator i shoqërisë Portobello 
shpk me vlerë *380 100* lekë.
*3)* Bashkëshortja, të ardhura nga sip. ndërtimore 2003.4 m2 dhënë 
shoqërisë Jedas shpk , me vlerë *800 000* euro.
*4)* Bashkëshortja, të ardhura nga qiraja e një dyqani 57 m2, në Tiranë me 
vlerë *700 000* lekë.
*5)* Të ardhura nga shitja e një automjeti më datë 01.08.2014, *15 000* 
euro, pjesa takuese 50 %.
*6)* Të ardhura nga shitja e një apartamenti me sip. 118.7 m2 dhe e një 
ambienti të përbashkët me sip. 13.1 m2, me vlerë *50 000* euro.
*7)* Bashkëshortja, të ardhura nga shitja e një pasurie të paluajtshmeme 
vlerë *6 000 0000* në 08.02.2014, *857 143* lekë, pjesa takuese 14 %.</t>
  </si>
  <si>
    <t>*1)* Pronar me 100 % i 340 aksioneve në kantinën e pijeve "Gjergj Kastrioti 
Skënderbeu" sh.a, blerë në 04.03.2014, me vlerë *340 000* lekë.
*2)* Bashkëpronar me 50 % i një ndërtese në Golem, Kavajë me sip. 93 m2, 
blerë nga bashkëshortja më 07.04.2015.
*3)* Kontratë dhurimi në 16.05. 2014, në emër të vajzës i një trualli me 
sip. 403.9 m2 dhe i 50 % të një ndërtese 2-katëshe me sip. 93 m2 në Golem, 
Kavajë me vlerë *10 303 543* lekë.
*4)* Detyrim i papaguar ndaj shoqërisë 'Sucralba sh.p.k" për blerje tokë, 
arë, në vlerën *168 391 000* lekë.
*5)* Bashkëshortja, pronare me 100 % në 07.04.2014 e truallit në Kavajë me 
sip 403.9 m2.
*6)* Bashkëshortja, kontratë shkëmbimi me të birin i një ap. me sip. 428.5 
m2 me ap. me sip. 60.16m2.</t>
  </si>
  <si>
    <t>Të ardhura nga paga si ministre, *1 606 640* lekë.</t>
  </si>
  <si>
    <t>Të ardhura nga paga si kryetare bordi, *36 000* lekë.</t>
  </si>
  <si>
    <t>*1)* Bashkëshorti, të ardhura nga paga mujore neto si dekan i Fakulteti i 
Inxhinjerisë Matematike dhe Fizike, UPT, *102 337* lekë.
*2)* Bashkëshorti, të ardhura nga paga mujore bruto si profesor i ftuar në 
Universitetin Ndërkombëtar të Strugës, Maqedoni, 800 euro.
*3)* Bashkëshorti, të ardhura nga paga si pedagog i jashtëm i Albanian 
University, *180 000* lekë.
*4)* Bashkëshorti, të ardhura nga pagesa për leksione në Doktoraturë, në 
FIMIF dhe FN, në Universitetin Politeknik të Tiranës, për leksione në 
Doktoraturë në Universitetin e Vlorës, për leksione si pedagog i ftuar në 
Universitetin e Elbasanit, orë shtesë, honorare nga UPT dhe Albanian 
University, *1 347 235* lekë.</t>
  </si>
  <si>
    <t>*1)* Gjendja e llogarisë bankare në një bankë të nivelit të dytë, *493 000* 
lekë.
*2)* Bashkëshorti, të ardhura nga bursa e akorduar nga Ecole Des Hauntes 
Etudes, Nice, Francë për studimet e vajzës, Livia Nikolla për periudhën 
02.09.2014-31.05.2015, *24 000* euro.
*3)* Bashkëshorti, kredi në një bankë të nivelit të dytë, vlera e detyrimit 
financiar të pashlyer  *1 037 123* lekë, afati 10 vjet, interesi 10 %.</t>
  </si>
  <si>
    <t>Të ardhura nga paga si ministre, *1 599 670* lekë.</t>
  </si>
  <si>
    <t>Të ardhura nga qiratë e ambienteve suplementare të shtëpisë në Paris, 
Francë, *8 078* euro.</t>
  </si>
  <si>
    <t>Të ardhura nga studio në Kremlin Bicetre, Francë, *3 228* euro.</t>
  </si>
  <si>
    <t>Bashkëshorti, të ardhura nga punësimi në Credit Agricole, Paris, *99 400* 
euro.</t>
  </si>
  <si>
    <t>*1)* Gjendja e dy llogarive rrjedhëse në një bankë në Paris, 512 euro, 
pjesa takuese 50 %.
*2)* Gjendja e dy llogarive kursimesh në një bankë në Paris, 341 euro, 
pjesa takuese 50 %.
*3)* Gjendja e dy llogarive rrjedhëse në një bankë në Francë, *4 211* euro, 
pjesa takuese 50 %.
*4)* Gjendja e llogarisë bankare në një bankë të nivelit të dytë, Tiranë, 
50 euro.
*5)* Gjendja e llogarisë bankare në një bankë të nivelit të dytë, Tiranë, *100 
087* lekë.
*6)* Gjendja e llogarisë bankare në një bankë të nivelit të dytë, Tiranë, 
523 euro.
*7)* Gjendja e llogarisë së kursimeve në një bankë në Francë, 6 euro, pjesa 
takuese 50 %.
*8)* Gjendja e llogarisë rrjedhëse në një bankë në Francë, 260 euro, pjesa 
takuese 50 %.
*9)* Gjendja e llogarisë në aksione të bllokuara në një bankë në Francë, *7 
912* euro, pjesa takuese 50 %.
*10)* Gjendja e llogarisë në aksione të bllokuara në ndërmarrjen Orange, *5 
869* euro, pjesa takuese 50 %.
*11)* Kredi në një bankë në Francë, vlera e detyrimit financiar të pashlyer 
 *224 568* euro.
*12)* Kredi në një bankë në Francë, vlera e detyrimit financiar të 
pashlyer, - *127 430* euro.</t>
  </si>
  <si>
    <t>Të ardhura nga paga si ministre, *1 595 775* lekë.</t>
  </si>
  <si>
    <t>Bashkëshorti, të ardhura nga paga *498 543* lekë.</t>
  </si>
  <si>
    <t>Të ardhura nga Kuvendi i Shqipërisë, likuidim gjyqësor, *409 316* lekë.</t>
  </si>
  <si>
    <t>*1)* Gjendja e llogarisë bankare në një bankë të nivelit të dytë, në emër 
të djalit, pakësuar me - *2 334* lekë, pjesa takuese 50 %.
*2)* Gjendja e llogarisë depozitë në një bankë të nivelit të dytë, në emër 
të nënës, pakësuar me  *22 517* dollarë.
*3)* Gjendja e llogarisë depozitë në një bankë të nivelit të dytë, shtuar 
me 76 euro, pjesa takuese 50 %.
*4)* Gjendja e llogarisë bankare në një bankë të nivelit të dytë, shtuar me *186 
624* lekë, pjesa takuese 50 %.
*5)* Gjendja e llogarisë depozitë në një bankë të nivelit të dytë, pakësuar 
me  *49 216* lekë, pjesa takuese 50 %.
*6)* Gjendja e llogarisë depozitë në një bankë të nivelit të dytë, shtuar 
me 36 euro, pjesa takuese 50 %.
*7)* Gjendja e llogarisë bankare në një bankë të nivelit të dytë, pakësuar 
me 12 euro, pjesa takuese 50 %.
*8)* Gjendja e llogarisë bankare në një bankë të nivelit të dytë shtuar me *12 
439* lekë, pjesa takuese 50 %.
*9)* Kredi bankare në një bankë të nivelit të dytë,vlera e detyrimit 
financiar të pashlyer  *2 394* euro, marrë më 09.09.2012, principali *11 
440* euro, me afat 3 vjet, interes 6.58 %, për blerje automjeti.</t>
  </si>
  <si>
    <t>Të ardhura nga paga si ministre, *1 598 578* lekë.</t>
  </si>
  <si>
    <t>*1)* Të ardhura nga honorare për përkthim letrar, nga shtëpia botuese, 
Dituria, *272 591* lekë.
*2)* Të ardhura nga honorare për përkthim letrar, nga shtëpia botuese 
Pegi, *69 300* lekë.</t>
  </si>
  <si>
    <t>*1)* Të ardhurat nga interesat bankare nga një depozitë në Paris, 260 euro, 
pjesa takuese 50 %.
*2)* Të ardhura nga interesat bankare nga një bankë e nivelit të dytë, *237 
600* lekë, pjesa takuese 50 %.</t>
  </si>
  <si>
    <t>*1)* Të ardhura nga qiraja, *2 100* euro, pjesa takuese 50 %.
*2)* Të ardhura nga qiraja e dy ap., *530 000* lekë.</t>
  </si>
  <si>
    <t>*1)* Bashkëshorti, të ardhura nga paga në televizionet AS dhe Vizion 
Plus, *3 598 528* lekë.
*2)* Bashkëshorti, honorare nga OSBE në Tiranë, *2 300* euro, pjesa takuese 
50 %.
*3)* Bashkëshorti, honorare nga UNFPA, Tiranë, *70 000* lekë, pjesa takuese 
50 %.</t>
  </si>
  <si>
    <t>*1)* Gjendja e llogarisë në një bankë në Francë, pakësuar me *8 000* euro, 
pjesa takuese 50 %.
*2)* Gjendja e llogarisë në një bankë në Francë, pakësuar me *1 151* euro, 
pjesa takuese 50 %.
*3)* Mbyllja e depozitës në një bankë në Paris, për shkollimin e vajzës, *4 
730* euro.
*4)* Gjendja e llogarisë bankare në një bankë të nivelit të dytë, shtuar me *1 
400 691* lekë, pjesa takuese 50 %.
*5)* Gjendja e llogarisë bankare në në bankë të nivelit të dytë, shtuar me *1 
244 411* lekë, pjesa takuese 50 %.
*6)* Gjendja e llogarisë bankare në një bankë të nivelit të dytë, pakësuar 
me 23 euro, pjesa takuese 50 %.
*7)* Fondi i Pensionit CPIC, i krijuar në vitin 1991 për konsulencë e 
ekspertizë, shtuar me *4 067* euro, pjesa takuese 50 %.
*8)* Të ardhura nga shitja e automjetit, *200 000* lekë, pjesa takuese 50 %.
*9)* Bashkëshorti, gjendja e llogarisë bankare një një bankë të nivelit të 
dytë, *300 000* lekë, pjesa takuese 50 %.
*10)* Bashkëshorti, gjendja e llogarisë bankare në një bankë të nivelit të 
dytë, shtuar me *14 624* lekë, pjesa takuese 50 %.
*11)* Bashkëshorti, gjendja e llogarisë bankare në një bankë në Londër, 
pakësuar me *3 000* paund, pjesa takuese 50 %.
*12)* Bashkëshorti, gjendja e llogarisë bankare në një bankë të nivelit të 
dytë, *513 231* lekë, pjesa takuese 50 %.</t>
  </si>
  <si>
    <t>Të ardhura nga paga si ministër, *2 107 050* lekë.</t>
  </si>
  <si>
    <t>*1)* Të ardhura nga pjesëmarrja në Këshillin Kombëtar të Territorit, *80 
000* lekë.
*2)* Të ardhura nga pjesëmarrja si anëtar i Këshillit të Lartë të 
Drejtësisë, *125 000* lekë.</t>
  </si>
  <si>
    <t>*1)* Bashkëshortja, të ardhura nga paga si përgjegjëse sektori në 
Drejtorinë Rajonale të SHKP-së, Tiranë, *761 128* lekë.
*2)* Vajza Betina Naço, të ardhura nga aktiviteti privat, agjencia e 
udhëtimeve "Belize Travel &amp; Tours", 200 euro.</t>
  </si>
  <si>
    <t>*1)* Pronar me 100 % i një shtëpie me sip. 170 m2 në Rr. "Sami Frashëri", 
Tiranë, me vlerë *6 500 000* lekë.
*2)* Pronar me 100 % i një automjeti me vlerë *7 000* euro,
*3)* Gjendja e llogarisë bankare në një bankë të nivelit të dytë, shtuar me *429 
073* lekë.
*4)* Gjendja e parave cash, pakësuar me *500 000* lekë.
*5)* Gjendja e llogarisë depozitë në një bankë të nivelit të dytë, *2 716 
423* lekë.
*6)* Gjendja e llogarisë depozitë në një bankë të nivelit të dytë, *300 000* 
lekë.
*7)* Kredi në një bankë të nivelit të dytë, vlera e detyrimit financiar të 
pashlyer - *2 728 848* lekë, principali *5 000 000* lekë, afati 25 vjet, 
norma e interesit 3 %.
*8)* Bashkëshortja, gjendja e llogarisë bankare në një bankë të nivelit të 
dytë, 500 euro.</t>
  </si>
  <si>
    <t>Të ardhura nga paga si ministër, *1 691 001* lekë.</t>
  </si>
  <si>
    <t>*1)* Të ardhura nga paga për pjesëmarrjen në bordin e FSHZH-së, *88 190* 
lekë.
*2)* Të ardhura nga drejtimi i mbledhjes së KRT-së, *18 000* lekë.</t>
  </si>
  <si>
    <t>Të ardhura nga interesat bankare, *327 749* lekë.</t>
  </si>
  <si>
    <t>*1)* Bashkëshortja, të ardhura nga paga si Senior Business Development EY 
Albania, *1 971 794* lekë.
*2)* Bashkëshortja, të ardhura nga paga si pegadoge e jashtme në 
Universitetin e Tiranës, *23 311* lekë.</t>
  </si>
  <si>
    <t>*1)* Gjendja e llogarisë bankare në një bankë të nivelit të dytë, pakësuar 
me *274 208* lekë.
*2)* Gjendja e llogarisë bankare në një bankë të nivelit të dytë, shtuar me *8 
950* lekë.
*3)* Gjendja e llogarisë bankare në një bankë të nivelit të dytë, pakësuar 
me *4 512* euro, pjesa takuese 50 %.
*4)* Kredi në një bankë të nivelit të dytë, vlera e detyrimit financiar të 
pashlyer - *42 245* euro, principali *60 000* euro, me afat 15 vjet, normë 
interesi eurolibor + 0.5 % në vit.
*5)* Kredi në një bankë të nivelit të dytë, vlera e detyrimit financiar të 
pashlyer - 535 euro, principal *2 000* euro.</t>
  </si>
  <si>
    <t>Të ardhura nga paga si ministër, *1 595 778* lekë.</t>
  </si>
  <si>
    <t>Të ardhura nga paga si anëtar i KKT-së, *57 040* lekë.</t>
  </si>
  <si>
    <t>*1)* Bashkëshortja, të ardhura nga paga si pedagoge në UT, *1 028 205* lekë.
*2)* Bashkëshortja, të ardhura nga shitja e një libri ku është bashkautorë, *100 
000* lekë.</t>
  </si>
  <si>
    <t>*1)* Gjendja cash, *23 000* euro, pjesa takuese 50 %.
*2)* Gjendja e llogarisë bankare në emër të djalit, *900 830* lekë.
*3)* Bashkëshortja, të ardhura nga shitja e një makine, *9 800* euro.
*4)* Bashkëshortja, shpenzime për blerjen e një makine me vlerë *5 000* 
euro.
*5)* Bashkëshortja, kredi në një bankë të nivelit të dytë, detyrimi i 
pashlyer *10 224* euro.</t>
  </si>
  <si>
    <t>Të ardhura nga paga si ministër, *1 624 047* lekë.</t>
  </si>
  <si>
    <t>*1)* Të ardhura nga dietat në MOF, *2 690* dollarë.
*2)* Të ardhura nga dietat në FMN, 600 euro.</t>
  </si>
  <si>
    <t>*1)* Të ardhura nga interesat bankare, shtuar me *1 073* dollarë, pjesa 
takuese 50 %.
*2)* Të ardhura nga interesat bankare, shtuar me 644 euro, pjesa takuese 50 
%.
*3)* Të ardhura nga interesat bankare, shtuar me 537 euro, pjesa takuese 50 
%.</t>
  </si>
  <si>
    <t>*1)* Bashkëshortja, të ardhura nga paga pranë Inst. Kons. Ekon dhe 
Juridike, *651 040* lekë.
*2)* Bashkëshortja, të ardhura nga leksionet pranë Universitetit 'Marlin 
Barleti', *75 600* lekë.
*4)* Bashkëshortja, të ardhura nga interesat bankare në një bankë në USA, 
shtuar me *1 992* dollarë.
*5)* Bashkëshortja, të ardhura nga interesat bankare, shtuar me *1 020* 
euro.
*6)* Bashkëshortja, të ardhura nga interesat bankare të një llogarie në 
emër të nënës, shtuar me 257 dollarë.
*7)* Bashkëshortja, të ardhura nga interesat bankare të një llogarie në 
emër të nënës dhe motrës, shtuar me *60 102* lekë.</t>
  </si>
  <si>
    <t>*1)* Mbyllja e një depozite të përbashkët me bashkëshorten, në një bankë të 
nivelit të dytë, *11 060* euro.
*2)* Gjendja e një llogarie depozitë në një bankë të nivelit të dytë, *15 
060* euro, pjesa takuese 50 %.
*3)* Të ardhura nga pensioni suplementar si ish-punonjës i Bankës së 
Shqipërisë, *733 544* lekë.
*4)* Kredi bankare nga Banka e Shqipërisë, detyrimi i pashlyer, - *2 220 
250* lekë.
*5)* Kredi bankare në një bankë të nivelit të dytë, detyrimi i pashlyer *41 
610* euro.
*6)* Bashkëshortja, gjendja e llogarisë bankare në një bankë të nivelit të 
dytë, *50 029* lekë.</t>
  </si>
  <si>
    <t>Paga neto si Anëtar i Komisionit Qendror të Zgjedhjeve *1 678 534* lekë.</t>
  </si>
  <si>
    <t>Bonuse për shpenzime transporti për shkak të funksionit *420 000* lekë.</t>
  </si>
  <si>
    <t>*1)* Bashkëshortja zonja Qamile Osmanaj paga neto si Infermiere pranë 
Autoritetit Shëndetësor Rajonal Tiranë *332 444* lekë.
*2)* Vajza Valmira Osmanaj paga neto nga Agjencia Kombëtare e Shoqërisë së 
Informacionit *1 124 491* lekë.
*3)* Vajza Valmira Osmanaj paga neto si pedagoge pranë Universitetit 
Ndërkombëtar të Tiranës *69 780* lekë.
*4)* Vajza Valmira Osmanaj interesa bankare të depozitës *118 794* lekë.
*5)* Djali Pajtim Osmanaj paga neto si Specialist në Agjencinë e Mbrojtjes 
së Konsumatorit *537 573* lekë.</t>
  </si>
  <si>
    <t>Detyrim i pashlyer në vlerën *32 823* euro për një kredi për blerje 
apartament banimi marrë më 26.12.2007 me principal *49 000* euro dhe afat 
shlyerje 15 vjet.</t>
  </si>
  <si>
    <t>*1)* Paga neto si Anëtar i Komisionit Qendror të Zgjedhjeve *978 292* lekë.
*2)* Shpërblimi për të përndjekurit politikë *133 000* lekë.
*3)* Shpërblime si Trajnues i Komisioneve Zgjedhore *40 500* lekë.</t>
  </si>
  <si>
    <t>Bonuse për shpenzime karburanti për shkak të funksionit *245 000* lekë.</t>
  </si>
  <si>
    <t>*1)* Bashkëshortja zonja Alda Zguri paga neto pranë Drejtorisë së 
Transmetimeve në RTSH *560 700* lekë.
*2)* Djali Eneo Zguri paga neto pranë Organit Kombëtar të Hetimit të 
Aksidenteve Ajrore në Ministrinë e Transporteve *528 946* lekë.</t>
  </si>
  <si>
    <t>Pension Suplementar lindur pas përfundimit të mandatit si Anëtar i 
Komisionit Qendror Zgjedhor *262 100* lekë.</t>
  </si>
  <si>
    <t>Detyrime të papaguara në vlerën *4 280 000* lekë për kredi për shtëpi marrë 
në bankë të nivelit të dytë.</t>
  </si>
  <si>
    <t>Paga si Kryetar i Komisionit Qendror të Zgjedhjeve *1 858 886* lekë.</t>
  </si>
  <si>
    <t>*1)* Bonuse për shpenzime transporti për shkak të funksionit *420 000* lekë.
*2)* Të ardhura si shërbime udhëtimi e dieta *74 000* lekë.</t>
  </si>
  <si>
    <t>Paga si Anëtare e Këshillit të Lartë të Drejtësisë *100 000* lekë.</t>
  </si>
  <si>
    <t>Bashkëshorti zoti Arjan Lleshi paga si Drejtor i Burimeve Njerëzore pranë 
Adel-Co shpk në vlerën *600 000* lekë.</t>
  </si>
  <si>
    <t>*1)* Detyrime të pa paguara në vlerën *34 000* euro për një kredi në bankë 
të nivelit të dytë marrë më 17.03.2006, e cila paguhet nga e motra.
*2)* Detyrime të pa paguara në vlerën *60 242* lekë për një overdraft marrë 
nga bashkëshorti zoti Arjan Lleshi më 05.09.2013.</t>
  </si>
  <si>
    <t>*1)* Paga si Anëtar i Komisionit Qendror të Zgjedhjeve *1 678 534* lekë.
*3)* Paga si pedagoge e jashtme në shkollën e lartë jopublike Justicia *90 
000* lekë.
*4)* Paga si pedagoge e jashtme në shkollën e lartë jopublike Gjon Buzuku *94 
032* lekë.</t>
  </si>
  <si>
    <t>*1)* Interesa në vlerën *103 362* lekë nga riinvestime në ankandin e bonove 
të thesarit të Bankës së Shqipërisë.
*2)* Interesa në vlerën *57 375* lekë nga riinvestime në ankandin e bonove 
të thesarit të Bankës së Shqipërisë.
*3)* Interesa në vlerën *36 028* lekë nga pjesëmarrje në ankandin e Bankës 
së Shqipërisë për blerje bono thesari.</t>
  </si>
  <si>
    <t>*1)* Të ardhura nga paga dhe shpërblime si Kryetar Bashkie *700 392* lekë.</t>
  </si>
  <si>
    <t>*1)* Bashkëshortja: të ardhura nga paga si drejtoresh çerdheje për 8 muaj *315 
752* lekë
*2)* Bashkëshortja: të ardhura nga paga si mësuese për 4 muaj *174 500* 
lekë.</t>
  </si>
  <si>
    <t>*1)* Të ardhura nga paga si Kryetar Komune *756 000* lekë.</t>
  </si>
  <si>
    <t>*1)* Të ardhura si anëtar i Këshillit të Qarkut *127 000* lekë.</t>
  </si>
  <si>
    <t>*1)* Të ardhura nga pensioni i dy prindërve *340 000* lekë.</t>
  </si>
  <si>
    <t>*1)* Të ardhura nga paga dhe shpërblime si Kryetar Bashkie *818 640* lekë.</t>
  </si>
  <si>
    <t>*1)* Të ardhura nga bonusi për transportin si Kryetar Bashkie *360 000* 
lekë.</t>
  </si>
  <si>
    <t>*1)* Të ardhura nga dhënia me qira e ndërtesës së shkollës "Rilindja" *7 
200 000* lekë.
*2)* Të ardhura nga dhënia me qira e një apartamenti në Tiranë *720 000* 
lekë.</t>
  </si>
  <si>
    <t>*1)* Bashkëshortja: të ardhura nga paga si drejtor shkolle *540 000* lekë.</t>
  </si>
  <si>
    <t>*1)* Shitje automjeti për vlerën *32 500* euro.</t>
  </si>
  <si>
    <t>*1)* Të ardhura nga paga si Kryetar Bashkie *1 175 568* lekë.</t>
  </si>
  <si>
    <t>*1)* Të ardhura si anëtar i Këshillit të Qarkut *11 700* lekë.</t>
  </si>
  <si>
    <t>*1)* Të ardhura nga paga si Kryetar Bashkie *1 076 618* lekë.
*2)* Të ardhura nga paga si president i FK Apollonia sha *1 080 000* lekë.</t>
  </si>
  <si>
    <t>*1)* Të ardhura nga bonusi për transportin dhe telefonin si Kryetar Bashkie *643 
273* lekë.</t>
  </si>
  <si>
    <t>*1)* Të ardhura si anëtar i Këshillit të Qarkut *23 760* lekë.</t>
  </si>
  <si>
    <t>*1)* Të ardhura nga pensioni i nënës *141 054* lekë.</t>
  </si>
  <si>
    <t>*1)* Të ardhura nga paga si Kryetar Bashkie *698 480* lekë.</t>
  </si>
  <si>
    <t>*1)* Të ardhura si anëtar i Këshillit të Qarkut *142 580* lekë.</t>
  </si>
  <si>
    <t>*1)* Të ardhura nga paga si Kryetar Komune *879 408* lekë.</t>
  </si>
  <si>
    <t>*1)* Të ardhurat nga paga e bashkëshortes si mësuese *539 226* lekë.</t>
  </si>
  <si>
    <t>*1)* Të ardhura nga paga si Kryetar Komune *858 997* lekë.</t>
  </si>
  <si>
    <t>*1)* Të ardhura si anëtar i Këshillit të Qarkut *142 965* lekë.</t>
  </si>
  <si>
    <t>*1)* Të ardhura nga interesat bankare të padeklaruara më parë *308 131* 
lekë.</t>
  </si>
  <si>
    <t>*1)* Të ardhura nga toka bujqësore *600 000* lekë.</t>
  </si>
  <si>
    <t>*1)* Bashkëshortja: të ardhura nga interesat bankare *83 020* lekë.
*2)* Djali: të ardhura nga biznesi *70 000* lekë.</t>
  </si>
  <si>
    <t>*1)* Përfituar me kontratë dhurimi 250 m2 truall dhe ndërtese 100 m2 (pjesë 
takuese).
*2)* Përfituar me kontratë dhurimi 2600 m2 tokë bujqësore (pjesë takuese).</t>
  </si>
  <si>
    <t>*1)* Të ardhura nga paga si Kryetar Komune *661 150* lekë.
*2)* Të ardhura nga paga nga shoqëria "Taçi Oil" *60 000* lekë.</t>
  </si>
  <si>
    <t>*1)* Të ardhura si anëtar i Këshillit të Qarkut *52 000* lekë.</t>
  </si>
  <si>
    <t>*1)* Bashkëshortja: të ardhura nga paga *17 800* lekë.</t>
  </si>
  <si>
    <t>*1)* Të ardhura nga paga si Kryetar Bashkie *741 508* lekë.</t>
  </si>
  <si>
    <t>*1)* Bashkëshortja: të ardhura nga paga *507 516* lekë
*2)*Bashkëshortja: të ardhura nga aktiviteti privat *510 000* lekë.</t>
  </si>
  <si>
    <t>*1)* Të ardhura nga paga si Kryetar Bashkie *922 121* lekë.</t>
  </si>
  <si>
    <t>*1)* Të ardhura si anëtar i Këshillit të Qarkut *58 687* lekë.</t>
  </si>
  <si>
    <t>*1)* Bashkëshortja: të ardhurat nga paga *582 343* lekë.</t>
  </si>
  <si>
    <t>*1)* Të ardhura nga paga si Kryetar Bashkie *1 110 000* lekë.</t>
  </si>
  <si>
    <t>*1)* Të ardhura nga paga si Kryetar Bashkie *1 090 636* lekë.
*2)* Të ardhura nga dietat e shërbimeve *47 580* lekë.</t>
  </si>
  <si>
    <t>*1)* Të ardhura nga bonusi për transportin si Kryetar Bashkie *519 677* 
lekë.</t>
  </si>
  <si>
    <t>*1)* Të ardhura si anëtar i Këshillit të Qarkut *142 560* lekë.</t>
  </si>
  <si>
    <t>*1)* Bashkëshortja: të ardhura nga paga *312 048* lekë.
*2)* Të ardhura nga qiraja e dyqanit, 100% pronësi e bashkëshortes *360 000* 
lekë.</t>
  </si>
  <si>
    <t>*1)* Të ardhura nga paga si Kryetar Komune *745 563* lekë.</t>
  </si>
  <si>
    <t>*1)* Të ardhura si anëtar i Këshillit të Qarkut *143 055* lekë.
*2)* Të ardhura si anëtar i Këshillit Drejtues të FSHZH *31 446* lekë.</t>
  </si>
  <si>
    <t>*1)* Të ardhura nga dhënia me qira e apartamentit në Tiranë, me sip 116.3 
m2 në vlerën *4 500* euro. Deklaruar pagimi i tatimit përkatës.</t>
  </si>
  <si>
    <t>*1)* Të ardhura nga aktiviteti i bletë-rritjes *300 000* lekë.</t>
  </si>
  <si>
    <t>*1)* Marrë kredi bankare për llogari të vëllait në vlerën *43 000* euro 
nëpërmjet "Marrëveshjes siguruese".
*2)* Dhënie kredi vëllait në vlerën *2 000 000* lekë.</t>
  </si>
  <si>
    <t>*1)* Të ardhura nga paga si Kryetar Bashkie *1 122 325* lekë.</t>
  </si>
  <si>
    <t>*1)* Të ardhura nga bonusi për transportin dhe telefonin si Kryetar Bashkie *517 
000* lekë.</t>
  </si>
  <si>
    <t>*1)* Bashkëshortja: të ardhura nga paga *151 200* lekë.</t>
  </si>
  <si>
    <t>*1)* Të ardhura nga paga si Kryetar Bashkie *709 524* lekë.</t>
  </si>
  <si>
    <t>*1)* Të ardhura si anëtar i Këshillit të Qarkut *143 055* lekë.</t>
  </si>
  <si>
    <t>*1)* Të ardhura nga dhënia me qira e një ambienti për dyqan *120 000* lekë.</t>
  </si>
  <si>
    <t>*1)* Bashkëshortja: të ardhura nga paga si administratore e shoqërisë 
Agroblend shpk *1 418 400* lekë dhe të ardhura nga tërheqja e kontributit 
pranë shoqërisë Agroblend shpk në vlerën *3 973 416* lekë.</t>
  </si>
  <si>
    <t>*1)* Sponsorizim i arsimimit të djalit nga shoqëria Agroblend shpk në 
vlerën totale *46 070* euro.</t>
  </si>
  <si>
    <t>*1)* Të ardhura nga paga dhe shpërblimet si Kryetar Bashkie *820 868* lekë.
*2)* Të ardhurat nga projekti "Smart Culture" *114 052* lekë.</t>
  </si>
  <si>
    <t>*1)* Të ardhura nga bonuset si Kryetar Bashkie *540 000* lekë.</t>
  </si>
  <si>
    <t>*1)* Të ardhurat si anëtar i Këshillit të Qarkut *46 800* lekë.</t>
  </si>
  <si>
    <t>*1)* Të ardhurat nga interesat në Bono Thesari *6 066 352* lekë. Të 
ardhurat janë pjesë e regjimit martesor.</t>
  </si>
  <si>
    <t>*1)* Bashkëshortja: të ardhura nga paga *306 000* lekë.
*2)* Vajza: të ardhura nga paga *564 000* lekë.
*3)* Djali: të ardhura nga paga *265 000* lekë.</t>
  </si>
  <si>
    <t>*1)* Marrje kredie në vlerën *2 700 000* lekë për blerje makine.</t>
  </si>
  <si>
    <t>*1)* Të ardhura nga paga dhe shpërblimet si Kryetar Bashkie dhe si anëtar i 
Këshillit të Qarkut *1 078 188* lekë.</t>
  </si>
  <si>
    <t>*1)* Të ardhura nga aktiviteti i prodhimeve bujqësore dhe vreshtarisë *500 
000* lekë.</t>
  </si>
  <si>
    <t>*1)* Bashkëshortja: të ardhura nga paga *504 769* lekë
*2)* Bashkëshortja:të ardhura nga aktiviteti privat në prodhimin e pijeve 
alkoolike *123 600* lekë.</t>
  </si>
  <si>
    <t>*1)* Të ardhura nga paga si Kryetar Bashkie *859 200* lekë.</t>
  </si>
  <si>
    <t>*1)* Të ardhura nga interesat 905 euro. Pjesa në këto të ardhura është 50%.
*2)* Të ardhura nga interesat *58 010* lekë. Pjesa në këto të ardhura është 
50%.</t>
  </si>
  <si>
    <t>*1)* Bashkëshortja: të ardhurat nga paga si administratore e hotel Alpin 
shpk *472 800* lekë dhe të ardhura nga aktiviteti privat *302 273* lekë.</t>
  </si>
  <si>
    <t>*1)* Dhënie huaje në vlerën *8 500 000* lekë. Pjesa në kredidhënie është 
50%. Nuk janë përcaktuar interesi dhe afati i huadhënies.</t>
  </si>
  <si>
    <t>Të ardhura nga paga dhe shpërblimet si kryetar Bashkie *719 856* lekë.</t>
  </si>
  <si>
    <t>Të ardhura si anëtar i Këshillit të Qarkut *117 900* lekë</t>
  </si>
  <si>
    <t>Bashkëshortja, të ardhura nga paga si mësuese, *48 789* lekë.</t>
  </si>
  <si>
    <t>Truall me sip. 300 m2, në Leuse, Përmet, me vlerë *400 000* lekë.</t>
  </si>
  <si>
    <t>*1)* Të ardhura nga paga si Kryetar Bashkie *1 008 000* lekë.</t>
  </si>
  <si>
    <t>*1)* Të ardhura nga bonuse për transportin si Kryetar Bashkie *330 000* 
lekë.
*2)* Të ardhura nga bonuse për telefonin si Kryetar Bashkie *28 000* lekë.</t>
  </si>
  <si>
    <t>*1)* Të ardhura si anëtar i Këshillit të Qarkut *151 200* lekë.</t>
  </si>
  <si>
    <t>*1)* Të ardhura nga qiradhënia e një apartamenti banimi *16 950* euro.</t>
  </si>
  <si>
    <t>*1)* Bashkëshortja: të ardhurat nga paga *750 000* lekë.</t>
  </si>
  <si>
    <t>Të ardhura nga paga dhe shpërblimet si kryetar Bashkie *1 218 076* lekë.</t>
  </si>
  <si>
    <t>Të ardhura si anëtar i Këshillit të Qarkut *144 000* lekë</t>
  </si>
  <si>
    <t>*1)* Bashkëshortja, të ardhura nga paga si drejtore filial banke, Kukës *1 
295 400* lekë.
*2)* Djali, Altin Halilaj, paga si drejtues ligjor i firmës "Luma", *580 
700* lekë.
*3)* Djali Genti Halilaj, paga si drejtues i Zyrës së Punës, Kukës, me 
dieta dhe disbursim, *1 173 320* lekë.
*4)* Djali Syrja Halilaj, paga dhe të ardhura në llog., *1 901 700* lekë.</t>
  </si>
  <si>
    <t>*1)* Të ardhura nga shitja e autoveturës, *3 000* euro.
*2)* Overdraft në emër të Altin Halilaj, *20 000* euro.
*3)* Ekzekutim vendim gjyqësor, datë 30.09.2006, *4 111 438* lekë.
*4)* Kredi në bankë të nivelit të dytë me vlerë detyrimi financiarë të 
pashlyer - *336 383* lekë , e marrë në datën 12. 05. 2000 me principal 2.5 
milion lekë, afat shlyerje 15 vjet, interes bazë 3%.
*5)* Kredi në bankë të nivelit të dytë me vlerë fillestare *4 111 438*, 
detyrimi financiar i pashlyer 0.</t>
  </si>
  <si>
    <t>*1)* Të ardhura nga paga si Kryetar Bashkie *681 405* lekë.</t>
  </si>
  <si>
    <t>*1)* Të ardhura nga bonusi për transportin si Kryetar Bashkie *300 000* 
lekë.</t>
  </si>
  <si>
    <t>*1)* Të ardhura si anëtar i Këshillit të Qarkut *23 700* lekë.</t>
  </si>
  <si>
    <t>*1)* Bashkëshortja: të ardhurat nga paga *499 134* lekë.</t>
  </si>
  <si>
    <t>*1)* Të ardhura nga shitja e dy automjeteve në pronësi 100% të Z. Çela 
përkatësisht në vlerat *2 150 000* lekë dhe *900 000* lekë.</t>
  </si>
  <si>
    <t>*1)* Të ardhura nga paga si Kryetar Bashkie *713 392* lekë.
*2)* Të ardhura nga dietat *349 625* lekë.</t>
  </si>
  <si>
    <t>*1)* Të ardhura nga bonusi për transportin si Kryetar Bashkie *540 000* 
lekë.</t>
  </si>
  <si>
    <t>*1)* Bashkëshortja: të ardhurat nga paga *529 756* lekë.</t>
  </si>
  <si>
    <t>*1)* Të ardhura nga shitja e një automjeti në pronësi 100% të Z. Krosi *500 
000* lekë.</t>
  </si>
  <si>
    <t>*1)* Të ardhura nga paga si Kryetar Bashkie *709 488* lekë.
*2)* Të ardhura nga puna pranë Qendrës Shëndetësore Peqin *183 816* lekë.</t>
  </si>
  <si>
    <t>*1)* Të ardhura si anëtar i Këshillit të Qarkut *128 700* lekë.</t>
  </si>
  <si>
    <t>*1)* Bashkëshortja: të ardhurat nga paga *525 490* lekë.</t>
  </si>
  <si>
    <t>*1)* Të ardhura nga paga si Kryetar Bashkie *720 000* lekë.</t>
  </si>
  <si>
    <t>*1)* Të ardhura totale nga interesat bankare *12 074* lekë. Të ardhurat 
janë pjesë e regjimit martesor.
*2)* Të ardhura nga interesa bankare 12 374, në pronësi 100% të Z. Goro.</t>
  </si>
  <si>
    <t>*1)* Bashkëshortja: të ardhura nga paga *240 000* lekë
*2)* Bashkëshortja:të ardhurat nga interesa bankare *1 916* lekë.</t>
  </si>
  <si>
    <t>*1)* Të ardhura nga paga si Kryetar Komune *709 200* lekë.</t>
  </si>
  <si>
    <t>*1)* Të ardhura nga dhënia me qira kompanisë PLUS *600 000* lekë.</t>
  </si>
  <si>
    <t>*1)* Bashkëshortja: të ardhura nga paga *264 000* lekë.</t>
  </si>
  <si>
    <t>*1)* Shitje e apartamentit me sip 81 m2 me vlerën *4 426 000* lekë.</t>
  </si>
  <si>
    <t>*1)* Të ardhura nga paga si Kryetar Bashkie *719 472* lekë.</t>
  </si>
  <si>
    <t>*1)* Të ardhura nga bonuse për transportin si Kryetar Bashkie *30 000* lekë.</t>
  </si>
  <si>
    <t>*1)* Të ardhura si anëtar i Këshillit të Qarkut *12 000* lekë.</t>
  </si>
  <si>
    <t>*1)* Të ardhura nga paga si Kryetar Bashkie *1 608 000* lekë.
*2)* Të ardhura nga dietat për projektin "Marubi" shërbimeve *75 925* lekë.</t>
  </si>
  <si>
    <t>*1)* Të ardhura nga bonuse për transportin si Kryetar Bashkie *540 000* 
lekë.</t>
  </si>
  <si>
    <t>*1)* Të ardhura si anëtar i Këshillit të Qarkut *58 500* lekë.
*2)* Të ardhurat si anëtar i Bordit të Punësimit i Këshillit të Qarkut 
Shkodër *11 250* lekë.
*3)* Të ardhurat si anëtar i Këshillit të Administrimit të Universitetit 
"Luigj Gurakuqi" *14 400* lekë.</t>
  </si>
  <si>
    <t>*1)* Të ardhurat nga interesat bankare të depozitave në lekë *140 605* lekë.
*2)* Të ardhura nga interesat bankare të depozitës në dollarë 20.84 $.
*3)* Të ardhura nga interesa bankare 500 euro nga kuotat (aksionet) e 
fituara te hotel Turizmi nga babai në vlerën *44 945* euro.</t>
  </si>
  <si>
    <t>*1)* Bashkëshortja: të ardhura nga paga *1 023 150* lekë.</t>
  </si>
  <si>
    <t>*1)* Të ardhura nga paga si Kryetar Bashkie *1 650 222* lekë.</t>
  </si>
  <si>
    <t>*1)* Të ardhura të bashkëshortes për shërbime si PR consultancy nëpërmjet 
fondacionit EWPPP *22 000* euro.</t>
  </si>
  <si>
    <t>*1)* Të ardhura nga paga dhe shpërblime si Kryetar Bashkie *2 528 850* lekë.</t>
  </si>
  <si>
    <t>*1)* Bashkëshortja, Znj. Kola: të ardhurat nga paga *314 215* lekë.
*2)* Të ardhura nga paga dhe shpërblime të Z. Ranuar Kolaj *502 259* lekë.
*3)* Të ardhura nga paga dhe shpërblime të bashkëshortes së Z. Ranuar Kolaj *501 
030* lekë.
*4)* Të ardhura nga puna e Z. Viorel Kolaj *62 700* lekë.
*5)* Të ardhura nga aktiviteti privat i Z. Viorel Kolaj *1 800 000* lekë.</t>
  </si>
  <si>
    <t>*1)* Të ardhura nga paga si Kryetar Bashkie *713 125* lekë.</t>
  </si>
  <si>
    <t>*1)* Bashkëshortja: të ardhurat nga paga *293 000* lekë. dhe të ardhura nga 
ekzekutimi i vendimit gjyqësor për shpërblim page *63 500* lekë.
*2)* Të ardhura nga paga e djalit *870 540* lekë.
*3)* Të ardhura të djalit të përfituara nga shitja e automjetit në vlerën *1 
900* euro.</t>
  </si>
  <si>
    <t>Të ardhura nga paga dhe shpërblimet si kryetar Bashkie, *1 329 109* lekë</t>
  </si>
  <si>
    <t>Të ardhura si anëtar i Këshillit të Qarkut *128 700* lekë.</t>
  </si>
  <si>
    <t>Të ardhura nga qiraja e pronës së bashkëshortes, e trashëguar nga babai, *840 
000* lekë.</t>
  </si>
  <si>
    <t>Bashkëshortja, të ardhura nga aksionet në kompaninë UJORI shpk, *18 022 471* 
lekë.</t>
  </si>
  <si>
    <t>*1)* Bashkëshortja, paga në kompaninë UJORI shpk, *305 759* lekë.
*2)* Bashkëshortja, të ardhura nga pensioni *269 932* lekë.
*3)* Bashkëshortja, të ardhura nga bono thesari e riinvestuar në vitin 
2014, *36 765* lekë.
*4)* Djali Atjon, të ardhura nga paga në ISKSH, *657 537* lekë.
*5)* Djali Ation, të ardhura nga aktiviteti si person fizik, Club Alsion, 
radio lokale, *161 495* lekë.
*6)* Djali Ation, të ardhura nga bono thesari e riinvestuar në 2014, *31 
916* lekë.
*7)* Vajza Ina, të ardhura nga paga si nëpunëse dhe pedagoge në 
Univesitetin e Elbasanit, *691 575* lekë.
*8)* Vajza Imelda, të ardhura nga punësimi, veprimtari akademike dhe 
mbështetëse për institucionin, si punonjëse në Universitetin e Elbasanit *1 
706 802* leke.
*9)* Vajza Imelda, të ardhura nga paga si konsulente pranë një kompanie 
private sigurimesh, *510 000* lekë.
*10)* Vajza Imelda, të ardhura nga investimi në një fond pensionesh, *60 
455* lekë.
*11)* Bashkëshortja e djalit, të ardhura nga paga për periudhën nentor 
dhjetor 2014, *31 724* lekë.
*12)* Bashkëshortja e djalit, të ardhura nga raportet e barrëlindjes, *387 
739* lekë.</t>
  </si>
  <si>
    <t>*1)* Humbje nga aktiviteti i bashkëshortes së djalit, si administratore e 
AID shpk, bashkëpronësi 50 %, 7168 lekë.
*2)* Humbje nga aktiviteti i djalit si person fizik, Club Alsion, radio 
lokale, *88 717* lekë.
*3)* Bashkëpronësi e një njësie me sip. 3.4 m2, e blerë më 21.10.2014, *88 
400* lekë.
*4)* Kredi në bankë të nivelit të dytë me vlerë detyrimi financiar të 
pashlyer *5 334 317* lekë , e marrë në datën 22.11.2013 me principal 5.8 
milionë lekë, afat shlyerje 10 vjet, interes bazë 6.3 %.
*5)* Kredi në bankë të nivelit të dytë me vlerë detyrimi financiar të 
pashlyer *7 544 722* lekë , e marrë në datën 22.11.2013 me principal 8.2 
milionë lekë, afat shlyerje 10 vjet, interes bazë 6.4 %.
*6)* Bashkëshortja, bono thesari e riinvestuar në vitin 2014, *1 000 000* 
lekë.
*7)* Bashkëshortja, detyrim i papaguar komunës Shushicë në vlerën *7 100* 
lekë/vit, për truall, tokë bujqësore me destinacion ullishte, sipas kushtit 
për pagim një herë në vit.
*8)* Djali Ation, bono thesari e riinvestuar në vitin 2014, *1 000 000* 
lekë.
*9)* Djali Ation, humbje nga aktiviteti si person fizik, Club Alsion, radio 
lokale *88 717* lekë.
*10)* Vajza Imelda, bono thesari e riinvestuar në vitin 2014, *1 100 000* 
lekë.
*11)* Vajza Imelda, pakësim depozite me *760 455* lekë të derdhur në një 
fond investimesh në një bankë të nivelit të dytë.
*12)* Vajza Imelda, fond pensioni, *30 000* lekë.
*13)* Vajza Imelda, kredi në bankë të nivelit të dytë me vlerë *761 200* 
lekë.
*14)* Vajza Imelda, kredi në bankë të nivelit të dytë me vlerë detyrimi 
financiar të pashlyer *14 702 169* lekë lekë, e marrë me bashkëkredimarrës 
bashkëshortin Orel Mehja, në datën 31.03.2013 me principal 15 milionë lekë, 
afat shlyerje 16 vjet, interes variabël 8.5 %.</t>
  </si>
  <si>
    <t>*1)* Të ardhura nga paga si Kryetar Bashkie *783 156* lekë.</t>
  </si>
  <si>
    <t>*1)* Të ardhurat nga shfrytëzimi i tokës bujqësore *900 000* lekë.</t>
  </si>
  <si>
    <t>*1)* Të ardhura nga aktiviteti privat i bashkëshortit *250 500* lekë.</t>
  </si>
  <si>
    <t>*1)* Të ardhura nga paga si punonjës pranë Bashkisë Korçë *780 120* lekë.
*2)* Të ardhura nga paga si Kryetar Bashkie për muajin Dhjetor *85 533* 
lekë.</t>
  </si>
  <si>
    <t>*1)* Të ardhura si Kryetar i Këshillit Mbikëqyrës të 
Ujësjellës-Kanalizime-Korçë sha *475 200* lekë.</t>
  </si>
  <si>
    <t>*1)* Znj. Filo, të ardhurat nga paga *852 240* lekë dhe të ardhurat totale 
nga interesat e llogarive bankare *88 660* lekë.</t>
  </si>
  <si>
    <t>*1)* Të ardhura nga paga si Kryetar Bashkie *852 882* lekë.</t>
  </si>
  <si>
    <t>*1)* Të ardhura nga paga e bashkëshortes *552 670* lekë.
*2)* Të ardhura nga paga e djalit *44 000* lekë.</t>
  </si>
  <si>
    <t>*1)* Të ardhura nga paga si Kryetar Bashkie *900 000* lekë.</t>
  </si>
  <si>
    <t>*1)* Të ardhura si anëtar i Këshillit të Qarkut *126 600* lekë.</t>
  </si>
  <si>
    <t>Të ardhura bruto, nga paga si kryetar Bashkie, *924 000* lekë.</t>
  </si>
  <si>
    <t>Të ardhura bruto nga paga si anëtar i Këshillit të Qarkut *143 000* lekë.</t>
  </si>
  <si>
    <t>Të ardhura nga qiraja, *2 160 000* lekë për një pikë karburanti në 
bashkëpronësi.</t>
  </si>
  <si>
    <t>Të ardhura nga biznesi i regjistruar në emër të bashkëshortes, me xhiro të 
deklaruar nën *200 000* lekë, *420 350* lekë</t>
  </si>
  <si>
    <t>*1)* Të ardhura nga paga si Kryetar Bashkie *710 940* lekë.</t>
  </si>
  <si>
    <t>*1)* Marrje kredie bankare në vlerën *50 000* euro për shlyerje detyrimi 
dhe sistemim apartamenti. Kredia është aktivizuar në 26.06.2013.</t>
  </si>
  <si>
    <t>*1)* Të ardhura nga paga si Kryetar Bashkie *1 680 000* lekë.</t>
  </si>
  <si>
    <t>*1)* Të ardhura nga bonuse për transportin si Kryetar Bashkie *517 000* 
lekë.
*2)* Të ardhura nga bonuse për telefonin si Kryetar Bashkie *129 687* lekë.</t>
  </si>
  <si>
    <t>*1)* Të ardhura nga interesat bankare 316 lekë.</t>
  </si>
  <si>
    <t>*1)* Bashkëshortja: të ardhura nga paga *735 652* lekë dhe të ardhura nga 
interesat bankare 472.28 lekë.</t>
  </si>
  <si>
    <t>Të ardhura nga paga si kryetar Bashkie, *734 656* lekë.</t>
  </si>
  <si>
    <t>Të ardhura nga paga si anëtar I Këshillit të Qarkut, *117 900* lekë.</t>
  </si>
  <si>
    <t>Bashkëshortja, të ardhura nga paga si mësuese e ciklit të ulët, *514 198* 
lekë.</t>
  </si>
  <si>
    <t>Të ardhura nga paga si kryetar Bashkie *1 298 148* lekë.</t>
  </si>
  <si>
    <t>Të ardhura nga paga si anëtar i Këshillit të Qarkut *140 400* lekë.</t>
  </si>
  <si>
    <t>Bashkëshortja, të ardhura nga paga si përgjegjëse laboratori në Drejtorinë 
Rajonale Shëndetësore, *644 232* lekë.</t>
  </si>
  <si>
    <t>*1)* Gjendja e llogarisë në një bankë të nivelit të dytë në fund të vitit 
është pakësuar 36 euro.
*2)* Gjendja e llogarisë në një bankë të nivelit të dytë në fund të vitit 
është 6 dollarë.
*3)* Gjendja e llogarisë në një bankë të nivelit të dytë në fund të vitit 
është pakësuar me *355 505* lekë.
*4)* Gjendja e llogarisë në një bankë të nivelit të dytë në fund të vitit 
është *150 300* lekë.
*5)* Gjendja e llogarisë në një bankë të nivelit të dytë në fund të vitit 
është 367 lekë.</t>
  </si>
  <si>
    <t>Të ardhura nga paga si kryetar Bashkie *833 040* lekë.</t>
  </si>
  <si>
    <t>*1)* Të ardhura nga bonuse transporti *330 000* lekë.
*2)* Të ardhura nga bonuse telefon *80 000* lekë</t>
  </si>
  <si>
    <t>Të ardhurat nga interesat bankare *43 262* lekë.</t>
  </si>
  <si>
    <t>*1)* Bashkëshortja, të ardhura nga paga në aktivitetin e saj privat, *230 
212* lekë.
*2)* Bashkëshortja: Të ardhura nga paga në aktivitetin e saj privat *47 010* 
lekë.</t>
  </si>
  <si>
    <t>*1)* Gjendja e llogarisë në një bankë të nivelit të dytë në fund të vitit 
është *13 380* lekë.
*2)* Gjendja e llogarisë në një bankë të nivelit të dytë në fund të vitit 
është *68 450* lekë.
*3)* Gjendja e llogarisë së pagës së bashkëshortes në një bankë të nivelit 
të dytë në fund të vitit është *395 700* lekë.
*4)* Gjendja e llogarisë së bashkëshortes në një bankë të nivelit të dytë 
në fund të vitit është 72 euro.
*5)* Gjendja e llogarisë në një bankë të nivelit të dytë në fund të vitit 
është *274 443* lekë.
*6)* Kartë krediti në një bankë të nivelit të dytë, gjendja *3 000* euro.</t>
  </si>
  <si>
    <t>*1)* Të ardhura nga paga si Kryetar Komune *728 000* lekë.</t>
  </si>
  <si>
    <t>*1)* Të ardhura si anëtar i Këshillit të Qarkut *120 000* lekë.</t>
  </si>
  <si>
    <t>*1)* Bashkëshortja, Znj. Kupi: të ardhura nga qiraja e Bar-restorant Nëna 
Mbretëreshëtë Kodrat e Liqenit *12 000* euro dhe të ardhura nga qiraja e 
Bar-restorant Petrela *1 200 000* lekë.</t>
  </si>
  <si>
    <t>Të ardhura nga paga dhe shpërblimet si kryetar Bashkie *819 260* lekë.</t>
  </si>
  <si>
    <t>Të ardhura si anëtar i Këshillit të Qarkut *143 640* lekë</t>
  </si>
  <si>
    <t>Të ardhura nga interesat e llogarive bankare *14 289* lekë</t>
  </si>
  <si>
    <t>Bashkëshortja të ardhura nga paga si drejtoreshë banke, *922 742* lekë</t>
  </si>
  <si>
    <t>*1)* Gjendja e llogarisë në një bankë të nivelit të dytë në fund të vitit 
është shtuar me *18 903* lekë.
*2)* Gjendja e llogarisë në një bankë të nivelit të dytë në fund të vitit 
është shtuar me *3 500* euro dhe *200 000* lekë.
*3)* Gjendja e llogarive në katër banka të nivelit të dytë në fund të vitit 
është pakësuar në total me *2 616 541* lekë.
*4)* Gjendja e llogarisë në një bankë të nivelit të dytë në fund të vitit 
është pakësuar me *12 003* euro.
*5)* Gjendja e llogarisë në një bankë të nivelit të dytë në fund të vitit 
është pakësuar me 209 euro, për shkollimin e fëmijëve, pushime dhe 
shpenzime të tjera.</t>
  </si>
  <si>
    <t>*1)* Të ardhura nga paga si gjyqtar i Gjykatës së Lartë, *2 107 163* lekë.
*2)* Të ardhura nga puna si ekspert në trajnimet vazhduese dhe si pedagog i 
jashtëm pranë Shkollës se Magjistraturës, *90 000* lekë.</t>
  </si>
  <si>
    <t>*1)* Të ardhurat nga interesat e bonove të thesarit depozituar në Bankën e 
Shqipërisë, *276 318* lekë, pjesë e regjimit martesor, 50 % secili.</t>
  </si>
  <si>
    <t>*1)* Bashkëshortja, të ardhura nga aktiviteti privat si notere, *6 471 248* 
lekë, ku fitimi neto nga aktiviteti privat si notere, *3 063 066* lekë.</t>
  </si>
  <si>
    <t>*1)* Shlyerje detyrimi sipas kontratës së sipërmarrjes, vlera *10 000* 
euro, pjesa detyrimi si pjesë e regjimit martesor, 50 % secili.
*2)* Gjendje cash, *10 000* euro, pjesë e regjimit martesor, 50 % secili.</t>
  </si>
  <si>
    <t>Të ardhura nga paga si gjyqtar i Gjykatës së Lartë, *1 595 860* lekë.</t>
  </si>
  <si>
    <t>*1)* Të ardhura nga bonot e thesarit, shtuar me *140 000* lekë.
*2)* Të ardhura nga interesat vjetore, të dy llogarive "Futura" të 
fëmijëve, *193 000* lekë.</t>
  </si>
  <si>
    <t>Të ardhura nga qiraja, *7 200* euro.</t>
  </si>
  <si>
    <t>Bashkëshortja, të ardhura nga paga në ILDKPKI, *1 023 410* lekë.</t>
  </si>
  <si>
    <t>*1)* Gjendja e llogarisë bankare në një bankë të nivelit të dytë, në emër 
të djalit, shtuar me *321 839* lekë.
*2)* Gjendja e llogarisë bankare në një bankë të nivelit të dytë, shtuar me *331 
000* lekë.
*3)* Gjendja cash, pakësuar me - 800.000 lekë, pjesa takuese 50 %.
*4)* Kredi bankare në një bankë të nivelit të dytë, detyrimi financiar i 
pashlyer, *11 700* lekë.</t>
  </si>
  <si>
    <t>*1)* Gjendja e llogarisë bankare në një bankë të nivelit të ditë, pakësuar 
me - *2 559* euro.
*2)* Gjendja e llogarisë bankare në një bankë të nivelit të dytë, pakësuar 
me *3 561* lekë.
*3)* Gjendja e llogarisë bankare në një bankë të nivelit të dytë, pakësuar 
me - 601 euro.
*4)* Gjendja e llogarisë bankare në një bankë të nivelit të dytë, në emër 
të djalit, shtuar me 578 euro.</t>
  </si>
  <si>
    <t>*1)* Të ardhura nga paga si gjyqtar i Gjykatës së Lartë *1 595 860* lekë.
*2)* Të ardhura nga mësimdhënia, si pedagog i jashtëm i Shkollës së Lartë 
Universitare Jopublike "Sevasti e Parashqevi Qirjazi", *32 5382* lekë.
*3)* Të ardhura nga mësimdhënia, si pedagog i jashtëm i Shkollës së Lartë 
Universitare Jopublike "Luarasi'', *213 058* lekë.
*4)* Të ardhura nga mësimdhënia, si pedagog i jashtëm i Shkollës së 
Magjistraturës. *27 002* lekë.
*5)* Të ardhura nga mësimdhënie, si pedagog i jashtëm i Shkollës së 
Avokatisë, *144 000* lekë.
*6)* Të ardhura nga mësimdhënia por edhe si bashkëhartues i tekstit, 
trajnues dhe mësimdhënës në projektin e OSBE-së për avokatët e rinj, *3 750* 
euro.</t>
  </si>
  <si>
    <t>*1)* Bashkëshortja, të ardhura nga paga dhe shpërblime nga puna si drejtore 
e Përgjithshme e INSIG sha, *1 137 944* lekë.
*2)* Bashkëshortja, të ardhura nga shpërblime si anëtare e Bordit të Byrosë 
shqiptare të Sigurime, *1 800 000* lekë.</t>
  </si>
  <si>
    <t>*1)* Gjendja e llogarisë bankare në një bankë të nivelit të dytë, shtuar me *141 
528* lekë.
*2)* Gjendja e llogarisë bankare në një bankë të nivelit të dytë, shtuar me 
61 dollarë.
*3)* Gjendja e llogarisë bankare në një bankë të nivelit të dytë, shtuar me *10 
402* lekë.
*4)* Detyrim për shlyerje huaje nga prindërit, detyrimi financiar i 
pashlyer, *1 350 000* lekë.
*5)* Bashkëshortja, gjendja e llogarisë bankare në një bankë të nivelit të 
dytë, pakësuar me - *113 760* lekë.
*6)* Bashkëshortja, gjendja e llogarisë bankare në një bankë të nivelit të 
dytë, shtuar me *654 121* lekë.</t>
  </si>
  <si>
    <t>*1)* Të ardhura nga paga dhe shpërblime si gjyqtar i Gjykatës së Lartë, *1 
595 860* lekë.
*2)* Të ardhura nga mësimdhënia, trajnimet dhe aktivitete të tjera ne 
Shkollën e Magjistraturës, *88 920* lekë.
*3)* Të ardhura nga mësimdhënia në Fakultetin e Drejtësisë të Universitetit 
të Tiranës, *1 176 861* lekë.
*4)* Të ardhura nga mësimdhënia në Fakultetin e Ekonomisë të Universitetit 
të Tiranës, *381 456* lekë.
*5)* Të ardhura nga mësimdhënia në Universitetin "BEDER", *150 000* lekë.
*6)* Të ardhura nga mësimdhënia në Universitetin Europian të Tiranës, *4 
112* euro.</t>
  </si>
  <si>
    <t>*1)* Të ardhura si pagesë nga aktiviteti me Unionin e Gjyqtarëve, 900 
dollarë.
*2)* Të ardhura nga veprimtaria me "Chemonics International", *59 400* lekë.</t>
  </si>
  <si>
    <t>Të ardhura si anëtar i Grupit Këshillimor pranë ministrit të Drejtësisë, *225 
000* lekë.</t>
  </si>
  <si>
    <t>Të ardhura nga qiraja, *7 000* euro.</t>
  </si>
  <si>
    <t>*1)* Gjendja cash, shtuar me *1 500 000* lekë, pjesa takuese 50 %.
*2)* Gjendja e llogarisë bankare në një bankë të nivelit të dytë, shtuar me *7 
000* euro, pjesa takuese 50 %.</t>
  </si>
  <si>
    <t>*1)* Të ardhura nga paga dhe shpërblime si gjyqtare e Gjykatës së Lartë, *1 
595 860* lekë.
*2)* Të ardhura si honorare për një studim, *114 750* lekë.</t>
  </si>
  <si>
    <t>Të ardhura nga interesat bankare, *625 665* lekë.</t>
  </si>
  <si>
    <t>Të ardhura nga qiraja, *108 000* lekë.</t>
  </si>
  <si>
    <t>*1)* Bashkëshorti, të ardhura nga rroga e shpërblime, *5 117 760* lekë.
*2)* Vajza, të ardhura nga paga, *734 464* lekë.</t>
  </si>
  <si>
    <t>*1)* Gjendja e llogarisë bankare në një bankë të nivelit të dytë, shtuar me *1 
871 655* lekë, pjesa takuese 50 %.
*2)* Gjendja bankare në një bankë të nivelit të dytë, pakësuar me *3 627* 
euro, pjesa takuese 50 %.
*3)* Gjendje cash, *200 000* lekë.
*4)* Djali, Erik pronar me 50 % i një ap. në rrugën "Dëshmorët e 4 
Shkurtit", dhuratë nga prindërit.
*5)* Vajza, pronare me 50 % e një ap. në rrugën "Dëshmorët e 4 Shkurtit", 
dhuratë nga prindërit.
*6)* Djali, pronar me 50 % i një garazhi në rrugën "Dëshmorët e 4 
Shkurtit", dhuratë nga prindërit.
*7)* Vajza, pronare me 50 % e një garazhi në rrugën "Dëshmorët e 4 
Shkurtit", dhuratë nga prindërit.
*8)* Djali, pronar me 50 % i një shtëpie banimi dhe trualli në Qerret të 
Kavajës, dhuratë nga prindërit.
*9)* Vajza, pronare me 50 % e një shtëpie dhe trualli në Qerret të Kavajës, 
dhuratë nga prindërit.
*10)* Gjendja cash, pakësuar me *3 000 000* lekë, pjesa takuese 50 %.
*11)* Kredi bankare në Bankën e Shqipërisë, *8 769 141* lekë, pjesë e 
regjimit martesor.</t>
  </si>
  <si>
    <t>*1)* Të ardhura nga paga si anëtar i Gjykatës së Lartë, *1595 860* lekë.
*2)* Të ardhura si anëtar i KLD-së, *112 200* lekë.</t>
  </si>
  <si>
    <t>Të ardhura nga interesa bankare, *12 657* lekë.</t>
  </si>
  <si>
    <t>*1)* Të ardhura nga qiraja e një lokali dhënë shoqërisë Rexha-Gold shpk, *10 
800* euro.
*2)* Të ardhura nga qiraja e një zyre, *840 000* lekë.</t>
  </si>
  <si>
    <t>*1)* Bashkëshortja, të ardhura nga puna si notere në Tiranë, *4 644 223* 
lekë.
*2)* Bashkëshortja, të ardhura nga interesat bankare, *88 257* lekë.
*3)* Bashkëshortja, të ardhurat nga interesat bankare, *72 510* lekë.</t>
  </si>
  <si>
    <t>*1)* Bashkëpronar i një ap. me sip. 65.76 m2, dhuratë.
*2)* Gjendja e llogarisë bankare në një bankë të nivelit të dytë, *735 188* 
lekë.
*3)* Gjendja e llogarisë bankare në një bankë të nivelit të dytë, *17 329* 
lekë.
*4)* Gjendja e llogarisë bankare në një bankë të nivelit të dytë, *1 651 
036* lekë.
*5)* Bashkëshortja, gjendja e llogarisë depozitë në një bankë të nivelit të 
dytë, *5 079 431* lekë.
*6)* Bashkëshortja, gjendja e llogarisë bankare në një bankë të nivelit të 
dytë, *34 342* lekë.
*7)* Bashkëshortja, gjendja e llogarisë bankare në një bankë të nivelit të 
dytë, *1 296* euro.
*8)* Bashkëshortja, gjendja e llogarisë depozitë Fëmija im, në një bankë 
të nivelit të dytë, *361 951* lekë.
*9)* Bashkëshortja, gjendja e llogarisë depozitë Fëmija im, *413 201* 
lekë.
*10)* Bashkëshortja, gjendja e llogarisë bankare në një bankë të nivelit të 
dytë, *290 108* lekë.
*11)* Bashkëshortja, gjendja e llogarisë bankare në një bankë të nivelit të 
dytë, (Llogari e cilësuar për klientët e pasuritë e paluajtshme sipas 
udhëzimit të Ministrisë së Drejtësisë dhe Ministrisë së Financave), *170 
300* euro.
*12)* Bashkëshortja, gjendja e llogarisë bankare në një bankë të nivelit të 
dytë, (Llogari e cilësuar për klientët e pasuritë e paluajtshme sipas 
udhëzimit të Ministrisë së Drejtësisë dhe Ministrisë së Financave), *3 740 
000* lekë.
*13)* Bashkëshortja, gjendja e llogarisë bankare në një bankë të nivelit të 
dytë, (Llogari e cilësuar për klientët e pasuritë e paluajtshme sipas 
udhëzimit të Ministrisë së Drejtësisë dhe Ministrisë së Financave), 4 euro.</t>
  </si>
  <si>
    <t>Të ardhura nga paga dhe shpërblime si dhe të ardhura si anëtar i bordit të 
Zyra e Administrimit te Buxhetit Gjyqsor, *1 595 860* lekë.</t>
  </si>
  <si>
    <t>Bashkëshortja, të ardhura nga paga dhe shpërblime nga puna në Raiffeisen 
Bank, *5 071 518* lekë.</t>
  </si>
  <si>
    <t>*1)* Gjendja e llogarisë bankare në një bankë të nivelit të dytë, *11 412* 
lekë.
*2)* Gjendja e llogarisë bankare në një bankë të nivelit të dytë, 42 euro.
*3)* Gjendja e llogarisë bankare në një bankë të nivelit të dytë, *81 206* 
lekë.
*4)* Gjendja e kartës së kreditit, - *529 254* lekë debi.
*5)* Bashkëshortja, gjendja e llogarisë bankare në një bankë të nivelit të 
dytë, *6 954* euro.
*6)* Bashkëshortja, gjendja e llogarisë bankare në një bankë të nivelit të 
dytë, *905 044* lekë.
*7)* Gjendja e Fondit të Investimit në një bankë të nivelit të dytë, *5 292 
222* lekë.
*8)* Gjendja e Fondit të Investimit në një bankë të nivelit të dytë, *5 405* 
euro.
*9)* Fondi i pensionit vullnetar, *1 324 897* lekë.
*10)* Gjendja e llogarisë bankare një në bankë të nivelit të dytë, 579 euro.
*11)* Kredi bankare në një bankë të nivelit të dytë, detyrimi financiar i 
pashlyer *117 704* euro.
*12)* Kredi bankare në një bankë të nivelit të dytë, detyrimi financiar i 
pashlyer *9 922* euro.</t>
  </si>
  <si>
    <t>Të ardhura nga paga si gjyqtar i Gjykatës së Lartë, Tiranë, *1 595 860* 
lekë.</t>
  </si>
  <si>
    <t>Bashkëjetuesja, të ardhura nga paga si specialiste në Komisionin Qendror të 
Zgjedhjeve, *152 815* lekë.</t>
  </si>
  <si>
    <t>*1)* Të ardhura nga shitje e autoveturës "Land Rover", *20 000* euro.
*2)* Gjendja cash, *150 000* lekë.</t>
  </si>
  <si>
    <t>*1)* Të ardhura nga paga si gjyqtare e Gjykatës së Lartë, *1 595 860* lekë.
*2)* Të ardhura nga puna si eksperte pranë Shkollës së Magjistraturës për 
trajnimin e gjyqtarëve në bashkëpunim me Fondacionin" Slym Forundation '' 
si dhe EBRD dhe Wolf Thessis, *1 556* euro.</t>
  </si>
  <si>
    <t>Të ardhura nga interesat bankare, *331 868* lekë.</t>
  </si>
  <si>
    <t>Të ardhura nga qiratë, *51 960* euro.</t>
  </si>
  <si>
    <t>*1)* Të ardhura nga shitja e automjeti Opel, *6 000* euro.
*2)* Gjendja e llogarisë bankare në një bankë të nivelit të dytë, pakësuar 
me *134 999* euro.
*3)* Gjendja e llogarisë bankare në një bankë të nivelit të dytë, shtuar me 
17 euro.
*4)* Gjendja e llogarisë bankare në një bankë të nivelit të dytë, shtuar me *1 
019* euro.
*5)* Gjendja e llogarisë bankare në një bankë të nivelit të dytë, shtuar me *286 
173* lekë.
*6)* Gjendja e llogarisë bankare në një bankë të nivelit të dytë, *81 893* 
lekë.
*7)* Gjendja e llogarisë bankare në një bankë të nivelit të dytë, *65 224* 
euro.
*8)* Gjendja e llogarisë bankare në një bankë të nivelit të dytë, *61 027* 
lekë.
*9)* Gjendja e llogarisë bankare në një bankë të nivelit të dytë, *191 654* 
lekë.
*10)* Gjendja e llogarisë bankare në një bankë të nivelit të dytë, *194 355* 
euro.
*11)* Gjendja e llogarisë bankare në një bankë të nivelit të dytë, *8 356* 
euro.
*12)* Gjendja e llogarisë bankare në Bankën e Shqipërisë, *492 925* lekë.
*13)* Gjendja e llogarisë bankare në Bankën e Shqipërisë, *3 266* dollarë.
*14)* Gjendja e llogarisë bankare në Bankën e Shqipërisë, *9 505* euro.
*15)* Gjendja e llogarisë bankare në një bankë të nivelit të dytë, 372 euro.
*16)* Gjendja e llogarisë bankare në një bankë të nivelit të dytë, *320 030* 
lekë.
*17)* Gjendja e llogarisë bankare në një bankë të nivelit të dytë, 17 
franga zvicerane.
*18)* Gjendja e llogarisë bankare në një bankë të nivelit të dytë, *12 509* 
euro.
*19)* Detyrim për t'u shlyer sipas kontratës së sipërmarrjes me shoqërinë 
AI&amp;GI shpk, *15 750* euro.
*20)* Detyrim për t'u shlyer sipas kontratës së sipërmarrjes me shoqërinë 
AI&amp;GI shpk, *6 750* euro.
*21)* Detyrim për t'u shlyer sipas kontratës së sipërmarrjes me shoqërinë 
Mane-TCI shpk, *182 100* euro.
*22)* Vajza, gjendja e llogarisë bankare në një bankë të nivelit të dytë, 
pakësuar me *42 382* lekë.</t>
  </si>
  <si>
    <t>Të ardhura nga paga dhe shpërblimet si gjyqtar i Gjykatës së Lartë, *1 595 
860* lekë.</t>
  </si>
  <si>
    <t>Nëna, të ardhura nga pensioni, *122 676* lekë.</t>
  </si>
  <si>
    <t>*1)* Pronar me 100 % i një trualli me sip. 1282 m2, vlera *160 000* euro.
*2)* Pronar me 50 % i një trualli me sip. 3325 m2, vlera *1 489 600* lekë.
*3)* Kredi bankare në një bankë të nivelit të dytë, detyrimi financiar i 
pashlyer, *132 628* euro, marrë në vitin 2014.
*4)* Detyrim për shlyerje huaje cash, *40 000* euro.
*5)* Kredi bankare në një bankë të nivelit të dytë, shlyer plotësisht, *7 
994* euro.</t>
  </si>
  <si>
    <t>Të ardhura nga paga ime si gjyqtare e Gjykatës së Lartë, *1 595 860* lekë.</t>
  </si>
  <si>
    <t>*1)* Të ardhura nga interesat bankare, 237 euro.
*2)* Të ardhura nga interesat bankare, 537 euro.</t>
  </si>
  <si>
    <t>*1)* Bashkëshorti, të ardhura nga paga si këshilltar në Kuvendin e 
Shqipërisë, *1 054 693* lekë.
*2)* Djali, të ardhura nga paga si administrator i shoqërisë GranitImportAL 
shpk, *798 000* lekë.</t>
  </si>
  <si>
    <t>*1)* Gjendja e llogarisë depozitë në një bankë të nivelit të dytë, *30 000* 
euro.
*2)* Gjendja e llogarisë bankare në një bankë të nivelit të dytë, *100 000* 
lekë.
*3)* Të ardhura nga shitje e automjetit "Wolfkswagen", *500 000* lekë.
*4)* Djali, pronar i një automjeti "BMW", blerë *500 000* lekë.
*5)* Pronare e 60 % të shoqërisë, "BESIMI GRANIT" sh.p.k që operon në 
Kosovë, blerë nëpërmjet shoqëria GRANITIMPORT-AL shpk shpk, vlera 600 euro.
*6)* Kredi bankare në një bankë të nivelit të dytë, detyrimi financiar i 
pashlyer *14 935* euro, principali *20 000* euro, me afat 20 vjet.</t>
  </si>
  <si>
    <t>Të ardhura nga paga si gjyqtar në Gjykatën e Lartë, *1 595 860* lekë.</t>
  </si>
  <si>
    <t>Djali, Ervin Bici, të ardhura nga paga si specialist-jurist pranë 
Drejtorisë së Përgjithshme të Buxhetit në Ministrinë e Financave, *404 725* 
lekë.</t>
  </si>
  <si>
    <t>*1)* Të ardhura nga paga si gjyqtare e Gjykatës së Lartë, *1 595 860* lekë.
*2)* Të ardhura nga mësimdhënia në Universitetin Luarasi, *123 881* lekë.
*3)* Të ardhura nga puna si pedagoge në Shkollën e Magjistraturës, *50 400* 
lekë.</t>
  </si>
  <si>
    <t>Të ardhura nga interesat bankare, *121 673* lekë.</t>
  </si>
  <si>
    <t>*1)* Bashkëshorti, të ardhura nga paga dhe honorare nga Shkolla e 
Magjistraturës, *1 497 785* lekë.
*2)* Bashkëshorti, të ardhura nga zyra e avokatisë, *3 880 000* lekë.
*3)* Bashkëshorti, të ardhura nga tërheqja nga 2F-Grup shpk, *70 000* euro.
*4)* Bashkëshorti, të ardhura si dhuratë nga babai, pas vdekjes, *2 500 000* 
lekë.
*5)* Vajza, të ardhura nga puna në institucionin e Presidentit të 
Republikës, *596 031* lekë.
*6)* Vajza, të ardhura nga puna si pedagoge në Universitetin Beder, *12 
000* lekë.
*7)* Djali, të ardhura nga puna në Phoenix-Petrolium sha, *492 132* lekë.</t>
  </si>
  <si>
    <t>*1)* Gjendja e llogarisë depozitë në një bankë të nivelit të dytë, *2 084 
122* lekë.
*2)* Kredi bankare në një bankë të nivelit të dytë, mbyllur për shkak të 
shitjes së kredisë në këmbim të vilës në ndërtim, detyrimi financiar i 
shlyer *335 500* euro, pjesë e regjimit martesor.
*3)* Bashkëshorti, gjendja e llogarisë bankare në një bankë të nivelit të 
dytë, *830 548* lekë.
*4)* Bashkëshorti, gjendja e llogarisë bankare në një bankë të nivelit të 
dytë, *140 977* lekë.
*5)* Bashkëshorti, gjendja e llogarisë bankare në një bankë të nivelit të 
dytë, 842 euro.
*6)* Bashkëshorti, detyrim për shlyerje kredie ndaj Tirana-leasing sha, 
detyrimi financiar i pashlyer, *54 932* euro.
*7)* Vajza, gjendja e llogarisë bankare në një bankë të nivelit të dytë, *4 
679* lekë.
*8)* Vajza, gjendja e llogarisë depozitë në një bankë të nivelit të dytë, *260 
273* lekë.
*9)* Djali, gjendja e llogarisë bankare në një bankë të nivelit të dytë, *92 
960* lekë.</t>
  </si>
  <si>
    <t>*1)* Të ardhura nga paga si gjyqtar i Gjykatës së Lartë, *1 598 860* lekë.
*2)* Të ardhura nga paga si pedagog i jashtëm në Shkollën e Magjistraturës, *109 
800* lekë.</t>
  </si>
  <si>
    <t>*1)* Të ardhura nga qiraja e një pikë-shitjeje karburanti në Vlorë, për 
periudhën 01.01.201014-30.09.2014, ku është bashkëpronar me bashkëshorten, 
50 % secili, *995 663* lekë.
*2)* Të ardhura nga qiraja e një pikë-shitjeje karburanti në Vlorë, për 
periudhën 01.10.2014-31.12.2014, ku është bashkëpronar me bashkëshorten, 50 
% secili, *13 500* euro.</t>
  </si>
  <si>
    <t>Bashkëshortja, të ardhura nga paga si gjyqtare në Gjykatën e Apelit 
Administrativ, Tiranë, *1 226 431* lekë.</t>
  </si>
  <si>
    <t>Shlyerja e detyrimeve nga një person i tretë, *5 140* euro.</t>
  </si>
  <si>
    <t>*1)* Gjendja e llogarisë bankare në një bankë të nivelit të dytë, *9 000* 
euro, pjesa takuese 50 %.
*2)* Gjendja e llogarisë bankare në një bankë të nivelit të dytë, 412 euro, 
pjesa takuese 50 %.
*3)* Kredi bankare, mbyllur, detyrimi financiar i shlyer *5 940 000* lekë.</t>
  </si>
  <si>
    <t>Të ardhura nga paga si gjyqtar në Gjykatën e Lartë. *1 595 860* lekë.</t>
  </si>
  <si>
    <t>*1)* Bashkëshortja, të ardhura nga paga nga Instituti i Gjeo-shkencave, 
Tiranë, *909 900* lekë.
*2)* Djali, Erion Ndreca të ardhura nga paga nga Ministria e Drejtësisë, *846 
694* lekë.
*3)* Djali, Erind Ndreca të ardhura nga paga nga ZVRPP-ja, Tiranë, *624 033* 
lekë.</t>
  </si>
  <si>
    <t>*1)* Gjenda cash, *1 300 000* lekë.
*2)* Detyrim ndaj shoqërisë Art-Konstruksion shpk, për apartamentin tek 
Komuna e Parisit, detyrimi financiar i pashlyer , *500 000* lekë.</t>
  </si>
  <si>
    <t>*1)* Të ardhura nga paga neto si kryetar i Gjykatës së Lartë, *1 896 000* 
lekë.
*2)* Të ardhura nga mësimdhënia, udhëheqja, master dhe dr. në Fakultetin e 
Drejtësisë, në Shkollën e Magjistraturës, *954 000* lekë.
*3)* Të ardhura nga mësimdhënia dhe udhëheqja shkencore në Universitetin 
Evropian dhe Universitetin Luarasi, 2050 euro.
*4)* Të ardhura nga mësimdhënia dhe udhëheqja shkencore në Universitetin 
Evropian dhe Universitetin Luarasi, *291 000* lekë.
*5)* Të ardhura nga bashkëpunimi me fondacionin Hanns Seidel dhe Aire 
Centre, 1.235 euro.
*6)* Të ardhura nga bashkëpunimi me fondacionin Hanns Seidel dhe Aire 
Centre, *90 000* lekë.
*7)* Të ardhura nga anëtarësia në KLD dhe ZABGj, *180 200* lekë.</t>
  </si>
  <si>
    <t>*1)* Të ardhura nga interesat bankare, *2 065* lekë.
*2)* Të ardhurat nga interesat bankare 670 euro.
*3)* Të ardhura nga interesat bankare, *3 980* euro.</t>
  </si>
  <si>
    <t>Të ardhura nga qiraja e bodrumit, *1764 000* lekë, pjesa takuese 50 %.</t>
  </si>
  <si>
    <t>Të ardhura nga shitje libri, *110 000* lekë</t>
  </si>
  <si>
    <t>*1)* Bashkëshortja, të ardhura nga puna si notere, *774 000* lekë.
*2)* Bashkëshortja, të ardhura nga interesat bankare, *325 000* lekë.
*3)* Bashkëshortja, të ardhura nga interesat bankare 330 euro.
*4)* Djali, të ardhura nga interesat bankare, *17 890* lekë.
*5)* Djali, gjendja e llogarisë bankare në një bankë të nivelit të dytë, *300 
000* lekë.
*6)* Djali, gjendja e llogarisë bankare në një bankë të nivelit të dytë, 
1650 euro.</t>
  </si>
  <si>
    <t>*1)* Gjendja e llogarisë bankare në një bankë të nivelit të dytë, shtuar me *650 
000* lekë, pjesa takuese 50 %.
*2)* Gjendja e llogarisë bankare në një bankë të nivelit të dytë, shtuar me 
21000 euro. Pjesa takuese 50 % .
*3)* Djali, gjendja e llogarisë bankare në një bankë të nivelit të dytë, *9 
000* euro, dhënë nga prindërit për studime në Mynih (Gjermani), pjesa 
takuese 50 %.
*4)* Djali, paga në Agjencinë e Sigurimit të Depozitave, *965 000* lekë.
*5)* Gjendja e kartës së kreditit në një bankë të nivelit të dytë, *328 470* 
lekë.
*6)* Gjendja e kartës së kreditit në një bankë të nivelit të dytë, *129 540* 
lekë.
*7)* Bashkëshortja, gjendja e llogarisë bankare në një bankë të nivelit të 
dytë, l*64 000* lekë.
*8)* Bashkëshortja, gjendja e llogarisë bankare në një bankë të nivelit të 
dytë, *12 000* lekë.
*9)* Bashkëshortja, gjendja e llogarisë bankare në një bankë të nivelit të 
dytë, *1 800* lekë.</t>
  </si>
  <si>
    <t>Të ardhura neto nga paga si Prokuror i Përgjithshëm, dhe zv/kryetari i 
bordit drejtues të Shkollës së Magjistraturës, *1 973 900* lekë.</t>
  </si>
  <si>
    <t>Të ardhura nga dhënia me qira e një pjese të banesës, *1 000 000* lekë.</t>
  </si>
  <si>
    <t>Bashkëshortja, të ardhura nga paga si përgjegjëse sektori pranë Institutit 
të Sigurimeve të Kujdesit Shëndetësor, (ISKSH-së), *813 059* lekë.</t>
  </si>
  <si>
    <t>*1)* Gjendja e llogarisë rrjedhëse në një bankë të nivelit të dytë, *1 007 
072* lekë, shtuar me *51 375* lekë.
*2)* Bashkëshortja, gjendja e llogarisë rrjedhëse në një bankë të nivelit 
të dytë, shtuar me *224 274* lekë.
*3)* Gjendja cash, shtuar me *1500 000* lekë.</t>
  </si>
  <si>
    <t>*1)* Paga nga Drejtoria Rajonale e Sigurimeve Shoqërore *216 200* lekë.
*2)* Të ardhura në Shtetet e Bashkuara të Amerikës *10 800* dollar.
*3)* Paga si Drejtor i Përgjithshëm i Policisë së Shtetit *305 798* lekë.</t>
  </si>
  <si>
    <t>Bashkëshortja zonja Albana Didi paga pranë Raiffeisen Bank *1 371 134* lekë.</t>
  </si>
  <si>
    <t>*1)* Detyrime të papaguara në vlerën *16 382* euro për një kredi në bankë 
të nivelit të dytë marrë më 05.11.2010 me principal *20 000* euro e afat 
shlyerje 15 vjet.
*2)* Detyrime të papaguara në vlerën *114 958* lekë për një kredi në bankë 
të nivelit të dytë marrë më 27.05.2008 me principal *500 000* lekë e afat 
shlyerje 15 vjet.
*3)* Detyrime të papaguara në vlerën *475 088* lekë për një kredi në bankë 
të nivelit të dytë marrë më 06.04.2012 me principal *600 000* lekë e afat 
shlyerje 15 vjet.
*4)* Detyrime të papaguara në vlerën *250 000* lekë për një overdraft në 
bankë të nivelit të dytë.</t>
  </si>
  <si>
    <t>*1)* Paga si Drejtor i Përgjithshëm i ALUIZNI-t *139 000* lekë.
*2)* Te ardhura Projekt me fondacionin Soros për trashëgiminë kulturore 
në vlerën *22 000* dollar.</t>
  </si>
  <si>
    <t>te ardhura nga Qira ambjenti në pronësi të prindërve *8 400* dollar.</t>
  </si>
  <si>
    <t>2 411%</t>
  </si>
  <si>
    <t>*1)* Paga neto janar- korrik 2013 në vlerën *1 114 174* lekë.
*2)* Paga neto në Drejtorinë e Përgjithshme të Tatimeve në vlerën *336 846* 
lekë.</t>
  </si>
  <si>
    <t>Detyrime të papaguara në vlerën *63 546* lekë për një kredi në bankë të 
nivelit të dytë.</t>
  </si>
  <si>
    <t>Paga neto si Kryetar i Kontrollit të Lartë të Shtetit *2 044 985* lekë.</t>
  </si>
  <si>
    <t>*1)* Qira ndërtese për pjesën takuese 55/100 në Tiranë në vlerën *12 000* 
euro.
*2)* Qira apartamenti me sip. 130.33 m2 në Tiranë në vlerën *3 000* euro.</t>
  </si>
  <si>
    <t>Bashkëshortja zonja Silvana Leskaj paga neto si Drejtore e Diplomacisë 
Ekonomike *982 680* lekë.</t>
  </si>
  <si>
    <t>*1)* Të ardhura nga paga si President i Republikës së Shqipërisë, *2 302 
752* lekë.
*2)* Të ardhura nga paga si kryetar i KLD-së, *112 00* lekë.</t>
  </si>
  <si>
    <t>*1)* Të ardhura nga dieta udhëtimesh, *2 160* dollarë.
*2)* Të ardhura nga dieta udhëtimet *2 784* euro.</t>
  </si>
  <si>
    <t>Të ardhura nga interesat bankare 372 euro.</t>
  </si>
  <si>
    <t>*1)* Të ardhura nga qiraja e dyqanit të bashkëshortes në Durrës, *6 000* 
euro.
*2)* Të ardhura nga qiraja e një apartamenti të bashkëshortes në Durrës, *600 
000* lekë.
*3)* Të ardhura nga qiraja e një dyqanit të bashkëshortes në Durrës, *660 
000* lekë.</t>
  </si>
  <si>
    <t>*1)* Bashkëshortja, të ardhura nga paga si specialiste në BSH, *964 813* 
lekë.
*2)* Bashkëshortja, të ardhura nga dietat, *1 320* euro.
*3)* Bashkëshortja, të ardhura nga dietat *1 440* dollarë.</t>
  </si>
  <si>
    <t>*1)* Gjendja e llogarisë depozitë në një bankë të nivelit të dytë, shtuar 
me *134 765* lekë.
*2)* Gjendja e llogarisë rrjedhëse në një bankë të nivelit të dytë, 
pakësuar me - *148 636* lekë.
*3)* Bashkëshortja, gjendja e llogarisë depozitë në një bankë të nivelit të 
dytë, shtuar me *1 357* euro.
*4)* Bashkëshortja, gjendja e llogarisë depozitë në një bankë të nivelit të 
dytë, *100 000* euro.
*5)* Djali, gjendja e llogarisë depozitë në një bankë të nivelit të dytë, 
shtuar me *120 000* lekë.
*6)* Vajza, gjendja e llogarisë depozitë në një bankë të nivelit të dytë, 
shtuar me *120 000* lekë.
*7)* Gjendja cash shtuar me 900 euro.
*8)* Gjendja cash shtuar me *40 000* lekë.
*9)* Kredi në një bankë të nivelit të dytë, detyrimi financiar i pashlyer, 
- *3 773 778* lekë.
*10)* Siguracion për kreditë me vlerë, *42 000* lekë.</t>
  </si>
  <si>
    <t>*1)* Paga neto si Drejtore e Përgjithshme e Doganave në vlerën *340 327* 
lekë.
*2)* Shpërblime si Drejtore e Përgjithshme e Doganave në vlerën *315 000* 
lekë.</t>
  </si>
  <si>
    <t>Paga si Avokat i Popullit në vlerën *1 891 236* lekë.</t>
  </si>
  <si>
    <t>*1)* Dieta shërbimi për vizita zyrtare jashtë shtetit në vlerën *3 739* 
euro.
*2)* Rimbursim shpenzimesh në vlerën *2 992* euro nga Këshilli i Europës 
për pjesëmarrje në konkurse.</t>
  </si>
  <si>
    <t>*1)* Bashkëshortja zonja Marta Onorato paga pranë Institutit Europian të 
Tiranës në vlerën *20 960* euro.
*2)* Bashkëshortja zonja Marta Onorato paga si paradhënie nga OSBE Kosovë 
në vlerën *1 500* euro.</t>
  </si>
  <si>
    <t>Këst kontrate premtim shitje në vlerën *12 000* euro.</t>
  </si>
  <si>
    <t>*1)* Detyrime të paguara në vlerën -*287 339* lekë për një kredi për blerje 
apartamenti marrë në vitin 2003 me principal *5 000 000* lekë, interes 3% 
dhe afat shlyerje 25 vjet.
*2)* Detyrime të paguara në vlerën -*210 962* lekë për një kredi në bankë 
të nivelit të dytë marrë në janar 2012 me principal *500 000* lekë.
*3)* Detyrime të paguara në vlerën -*145 587* lekë për një kredi në bankë 
të nivelit të dytë marrë në gusht 2012 me principal *197 700* lekë.
*4)* Detyrime të paguara në vlerën -*13 184* lekë për një kredi konsumatorë 
në bankë të nivelit të dytë marrë në 09.09.2013 me principal *33 160* lekë.</t>
  </si>
  <si>
    <t>Të ardhura nga paga si drejtori i SHISH-it, *1 802 792* lekë.</t>
  </si>
  <si>
    <t>Të ardhura neto si anëtar i komisionit të vlerësimit të Agjencisë së 
Kërkimit, Teknologjisë dhe Inovacionit (AKTI), *13 500* lekë.</t>
  </si>
  <si>
    <t>*1)* Djali, Viler Ajazi Lika të ardhura nga puna në Capital One Canada 
(5140 Younge St. North York On N2M6L7, për periudhën gusht-dhjetor 2014, 
pakësuar me *24 000* dollarë amerikanë.
*2)* Bashkëjetuesja, të ardhura neto nga paga pranë Autoritetit Rajonal 
Shëndetësor, Tiranë, *519 128* lekë.</t>
  </si>
  <si>
    <t>*1)* Fond pensioni te kompania, IQOR i investuar në mutual funds Standard 
Life, shtuar me *6 141* dollarë kanadezë.
*2)* Fond pensioni në RRSP - RBC Direct Investing Inc, shtuar me 1 029,9 
dollarë kanadezë.
*3)* Fond Pensioni në RRSP - RBC Direct Investing Inc, Kanada, pakësuar me *4 
572* dollarë amerikanë.
*4)* Fond investimesh te TFCA - RBC Direct Investin Inc., shtuar me *1 701* 
dollarë kanadezë.
*5)* Fond investimesh te TFCA - RBC Direct Investin Inc., pakësuar me *4 
532* dollarë amerikanë.
*6)* Gjendja e llogarisë bankare në një bankë të nivelit të dytë, *856 183* 
lekë.
*7)* Gjendja e Fondit Prestigj, në një bankë të nivelit të dytë, shtuar me *25 
130* lekë.
*8)* Kredi në një bankë të nivelit të dytë, vlera e detyrimit financiar të 
pashlyer, - *4 699 618* lekë, principali *5 000 000* lekë, me afat 30 vjet, 
norma e interesit 4 %, për blerje ap. në Tiranë.
*9)* Vajza, kredi bankare në një bankë të nivelit të dytë, vlera e 
detyrimit financiar të pashlyer, - *110 000* dollarë.
*10)* Djali, pagesë detyrimi, vlera e detyrimit financiar të pashlyer, - *90 
000* dollarë kanadezë.
*11)* Bashkëjetuesja, llogari bankare në një bankë të nivelit të dytë, *800 
465* lekë, pjesa takuese 50 %.
*12)* Bashkëjetuesja, llogari bankare në një bankë të nivelit të dytë, *580 
000* lekë.
*13)* Bashkëjetuesja, pronare me 100 % e një automjeti me vlerë, *300 000* 
lekë.</t>
  </si>
  <si>
    <t>*1)* Të ardhura nga paga si gjyqtar, *1 457 470* lekë.
*2)* Të ardhura si anëtar i KLD-së, *112 200* lekë.</t>
  </si>
  <si>
    <t>Të ardhura nga interesa bankare për depozitën në shumë 5000 euro, 28 euro.</t>
  </si>
  <si>
    <t>*1)* Të ardhura nga qiraja e ap. me sip. 103.82 m2, në Tiranë, 500 euro në 
muaj, kontrate e filluar më 13.8.2014.
*2)* Të ardhura nga qiraja e ap. me sip. 78.24 m2, në pallatin 12-katësh 
Rr. Mbretëresha Teuta, Durrës, 25 mijë lekë në muaj, kontrata e filluar 
me 5.3.2014.
*3)* Të ardhura nga qiraja e ap. në Tiranë, 2283 euro, për 4 muaj e 17 ditë.
*4)* Të ardhura nga qiraja e ap. me sip. 78.24 m2, në pallatin 12-katësh, 
Rr Mbretëresha Teuta, Durrës, *220 000* lekë.</t>
  </si>
  <si>
    <t>*1)* Bashkëshortja, të ardhura nga të tretët, *900 000* lekë, kthim borxhi.
*2)* Bashkëshortja, të ardhura nga paga si mësuese në gjimnazin Gjergj 
Kastrioti, Durrës, *547 863* lekë.
*3)* Bashkëshortja, të ardhura nga puna part-time pranë Institutit të 
Kulturës Italiane, *46 000* lekë.</t>
  </si>
  <si>
    <t>Të ardhura nga të tretë, 1 100.000 lekë, kthim borxhi.</t>
  </si>
  <si>
    <t>*1)* Gjendja e llogarisë bankare në një bankë të nivelit të dytë, *137 229* 
lekë.
*2)* Gjendja e llogarisë bankare në një bankë të nivelit të dytë, *41 000* 
lekë.
*3)* Mbyllur depozita në një bankë të nivelit të dytë, *5 000* euro.
*4)* Pronar me 100 % i një ap. me sip. 78.24 m2, në Rr. Mbretëresha 
Teuta, Durrës, vlera *48 000* euro.
*5)* Bashkëshortja pronare me 62.9 % i një ap. me sip. 103.82 m2, në 
Tiranë, vlera *134 435* euro.
*6)* Të ardhura nga zgjidhja e kontratës së sipërmarrjes me Ekon-Group 
shpk, për ap. me sip. 51.1 m2, *51 000* euro.
*7)* Të ardhura nga toka bujqësore në Hekal të Mallakastrës, *150 000* lekë.
*8)* Kredi bankare në një bankë të nivelit të dytë, detyrimi financiar i 
pashlyer, - *49 551* euro, me afat 20 vjet, interes vjetor 5.23 %.
*9)* Detyrimi i financiar i pashlyer për një borxh marrë vëllait, - 2.800 
euro.</t>
  </si>
  <si>
    <t>*1)* Të ardhura nga paga dhe shpërblimet nga puna si drejtues i Zyrës 
Ligjore për Kreditë me Probleme në Intesa Sanpaolo Bank, Albania, *3 256 
578* lekë.
*2)* Të ardhura si anëtar i KLD-së, *112 200* lekë.
*3)* Të ardhura nga paga si pedagog i jashtëm i Shkollës së Magjistraturës, 
ekspert seminari dhe udhëheqës teme, *191 700* lekë.
*4)* Të ardhura nga puna si ekspert trajnimi, nga Shoqata Shqiptare e 
Bankave (AAB), *57 600* lekë.
*5)* Të ardhura nga puna si lektor në Universitetin Luarasi, *25 1 65* 
lekë.</t>
  </si>
  <si>
    <t>*1)* Të ardhura nga detyra si president i Komisionit të Disiplinës pranë 
Federatës Shqiptare të Futbollit, *747 000* lekë.
*2)* Të ardhura nga detyra si anëtar i Komitetit Shkencor të Shkollës 
Kombëtare të Avokatisë dhe pedagog i Shkollës Kombëtare të Avokatisë, *605 
000* lekë.</t>
  </si>
  <si>
    <t>*1)* Bashkëshortja, të ardhura nga puna si drejtore e Marrëdhënieve me 
Publikun dhe me Jashtë pranë Gjykatës Kushtetuese, *531 201* lekë.
*2)* Të ardhura nga sigurime shoqërore për leje lindje, *452 500* lekë.</t>
  </si>
  <si>
    <t>*1)* Bashkëpronar në pjesën takuese të pandarë të pasurisë së paluajtshme 
të llojit pyll, në Gradisht të Lushnjës, me sip. *1 157 559*.5 m2, 
përfituar nga kompensimi i ish-pronarëve.
*2)* Gjendja e llogarisë bankare në një bankë të nivelit të dytë, *65 924* 
lekë.
*3)* Gjendja e llogarisë bankare në një bankë të nivelit të dytë *2 230* 
lekë.
*4)* Gjendja e llogarisë bankare në një bankë të nivelit të dytë 405 euro.
*5)* Gjendja e llogarisë bankare në një bankë të nivelit të dytë, 41 
dollarë.
*6)* Gjendja e llogarisë depozitë "Fonde për të ardhmen e fëmijës", në një 
bankë të nivelit të dytë, *20 000* lekë.
*7)* Bashkëkredimarrës me bashkëshorten i një kredie në një bankë të 
nivelit të dytë, detyrimi financiar i pashlyer, - *2 618 022* lekë, e marrë 
më 1 janar 2000, principali *5 000 000* lekë, afat shlyrje 25 vjet, normë 
interesi 3 %.
*8)* Bashkëkredimarrës me bashkëshorten i një kredie në një bankë të 
nivelit të dytë, detyrimi financiar i pashlyer, *777 823* lekë, e marrë më 
20 korrik 2012, principali *1 000 000* lekë, afat shlyerje 84 muaj, normë 
interesi të variueshëm 14,9 %.
*9)* Balanca në kartën e kreditit të lëshuar nga një bankë e nivelit të 
dytë, 364 euro.</t>
  </si>
  <si>
    <t>*1)* Paga si Drejtor i Përgjithshëm i Shërbimit Legjislativ *1 160 201* 
lekë.
*2)* Të ardhura nga mësimdhënia në Shkollën e Magjistraturës në vlerën *5 
760* lekë.
*3)* Të ardhura nga mësimdhënia në Shkollën e Lartë jopublike Justiniani 
I në vlerën *17 100* lekë.
*4)* Të ardhura nga mësimdhënia në Shkollën e Lartë Jopublike Gjon Buzuku 
në vlerën *234 520* lekë.</t>
  </si>
  <si>
    <t>Honorare si anëtar i Këshillit të Lartë të Drejtësisë në vlerën *99 000* 
lekë.</t>
  </si>
  <si>
    <t>Të ardhura nga interesa në vlerën *28 623* lekë nga bono thesari me afat 
maturimi 1 vjeçar.</t>
  </si>
  <si>
    <t>*1)* Të ardhura nga paga si gjyqtar dhe pagesa e telefonit, *1 372 121* 
lekë.
*2)* Të ardhura si anëtar i KLD-së, *194 942* lekë.
*3)* Të ardhura nga mësimdhënia në Fakultetin e Drejtësisë, Universiteti 
Justiniani i I, *212 600* lekë.
*4)* Të ardhura nga mësimdhënia, në Fakulteti Ekonomik në Universitetin e 
Tiranës, *431 062* lekë.</t>
  </si>
  <si>
    <t>*1)* Të ardhurat nga interesat e një depozite prej *3 000 000* lekësh, në 
një bankë të nivelit të dytë, pakësuar me *170 100* lekë.
*2)* Të ardhurat nga interesat e një depozite prej *2 500 000* lekësh, në 
një bankë të nivelit të dytë, shtuar me *196 717* lekë.</t>
  </si>
  <si>
    <t>Bashkëshortja, të ardhura nga puna në gjimnazin Partizani, *707 171* lekë.</t>
  </si>
  <si>
    <t>*1)* Gjendja e llogarisë bankare në një bankë të nivelit të dytë, shtuar me *212 
600* lekë.
*2)* Gjendja e llogarisë bankare në një bankë të nivelit të dytë, shtuar me *300 
000* lekë.
*3)* Gjendja e llogarisë bankare në një bankë të nivelit të dytë, shtuar me *194 
942* lekë.
*4)* Gjendja e llogarisë bankare në një bankë të nivelit të dytë, shtuar me *240 
730* lekë.
*5)* Gjendja e llogarisë bankare në një bankë të nivelit të dytë, shtuar me *431 
062* lekë.</t>
  </si>
  <si>
    <t>*1)* Të ardhura nga paga si gjyqtar i Gjykatës së Apelit Vlorë, *1 356 022* 
lekë.
*2)* Të ardhura si anëtar i KLD-së, *112 200* lekë.</t>
  </si>
  <si>
    <t>*1)* Nëna, të ardhura nga pensioni i pleqërisë, *105 953* lekë.
*2)* Djali, të ardhura nga paga si specialist në Ministrinë e Drejtësisë, *532 
326* lekë.
*3)* Bashkëshortja, të ardhura nga paga në sektorin privat, *264 000* lekë.
*4)* Nusja e djalit, të ardhura të siguruara nga dhuratat për martesë, *1 
600 000* lekë</t>
  </si>
  <si>
    <t>*1)* Të ardhura nga shitja e një magazine në fshatin Qinam-Kolonjë, *2 000 
000* lekë.
*2)* Gjendja cash, pakësuar me *4 600 000* lekë.
*3)* Të ardhura nga toka bujqësore, pemëtaria dhe bletari, në pronësi të 
familjes, në fshatin Qinam të Kolonjës, *1 100 000* lekë.
*4)* Djali, Ibrahim Saliko pronar me 100 % i një banese, me sip. 86,89 m2, 
vlera *53 000* euro.
*5)* Nusja e djalit, shpenzime për blerje automjeti, *3 200* euro.</t>
  </si>
  <si>
    <t>*1)* Të ardhura nga paga si gjyqtar pranë Gjykatës së Apelit Tiranë, 1 
333.652 lekë.
*2)* Të ardhura si anëtar i Këshillit të Lartë të Drejtësisë *112 200* lekë.</t>
  </si>
  <si>
    <t>Të ardhura si anëtar i Bordit të Shkollës së Magjistraturës, *36 000* lekë.</t>
  </si>
  <si>
    <t>Të ardhura nga qiraja e një lokali, në Rr. Bogdani, *24 000* euro.</t>
  </si>
  <si>
    <t>*1)* Bashkëshortja, të ardhura nga tërheqja e dividendit që i përket vitit 
2013, për shoqërinë ADFD shpk, *13 000 000* lekë.
*2)* Bashkëshortja, të ardhura nga tërheqja e dividendit që i përkasin 
vitit 2013 për shoqërinë ADFD shpk, *36 000 000* lekë.
*3)* Paga dhe shpërblime si konsulentë ekonomike pranë shoqërisë ADFD shpk, *8 
751 000* lekë.</t>
  </si>
  <si>
    <t>*1)* Bashkëpronar me bashkëshorten i një kontratë sipërmarrje, *79 000* 
euro.
*2)* Kredi në një bankë të nivelit të dytë, detyrimi financiar i pashlyer - *57 
186* euro, me afat 15 vjet.
*3)* Overdraft në një bankë të nivelit të dytë, detyrimi financiar i 
pashlyer - *17 085* lekë.
*4)* Kartë krediti, kartë e dytë bashkangjitur kartës primare në emër të 
Elona Çaushit, mbuluar nga Elona Çaushi.
*5)* Kartë krediti, në një bankë të nivelit të dytë, detyrimi financiar i 
pashlyer, *1 960* euro.
*6)* Kredi në një bankë të nivelit të dytë, për blerje makine, detyrimi 
financiar i pashlyer *3 028* euro.
*7)* Bashkëshortja, pronare me 100 % e shoqërisë ADFD shpk, me adresë Aba 
Business Center.
*8)* Bashkëshortja, pronare me 100 % e shoqërisë Bio-Gourmet shpk, me 
adresë Rr. Ibrahim Rugova.
*9)* Bashkëshortja, pronare me 100 % e shoqërisë Prestige-Group shpk, me 
adresë TEG.
*10)* Bashkëshortja, pronare me 100 % e shoqërisë Best-Buy-Drug-Store shpk, 
me adresë Aba Business Center.
*11)* Bashkëshortja, pronare me 100 % e shoqërisë Albcos shpk, me adresë 
Nasi Pavllo.
*12)* Bashkëshortja, pronare me 100 % e shoqërisë 
Vintage-New-and-Second-Hand shpk, me adresë Rr. Nikolla Tupe.
*13)* Bashkëshortja, gjendja e llogarisë depozitë në një bankë të nivelit 
të dytë, shtuar me *270 495* euro.
*14)* Bashkëshortja, gjendja e llogarisë depozitë në një bankë të nivelit 
të dytë, shtuar me *8 998* lekë.
*15)* Bashkëshortja, gjendja e llogarisë depozitë në një bankë në 
Strasbourg, Francë, pakësuar me *10 828* euro.
*16)* Bashkëshortja, gjendja e llogarisë bankare në një bankë të nivelit të 
dytë, shtuar me 147 euro.
*17)* Bashkëshortja, gjendja e llogarisë bankare në një bankë të nivelit të 
dytë, pakësuar me 64 lekë.
*18)* Bashkëshortja, gjendje cash *10 000* euro.
*19)* Bashkëshortja, kontrata huaje, detyrimi financiar i pashlyer - *160 
400* euro.
*20)* Bashkëshortja, rimbursim shëndeti, shuma e shlyer 767 euro. 
Bashkëshortja, dhënie borxhi shoqërisë Prestige-Group shpk, detyrimi 
financiar i pashlyer - *1 500* euro.</t>
  </si>
  <si>
    <t>*1)* Të ardhura nga paga si gjyqtar në Gjykatën e Rrethit Gjyqësor, Tiranë 
dhe kompensim për shpenzime celulari, *1 307 746* lekë.
*2)* Të ardhura nga pjesëmarrja në mbledhjet e KLD-së, *112 200* lekë.</t>
  </si>
  <si>
    <t>Bashkëshortja, të ardhura nga paga si notere pranë Dhomës së Noterisë 
Tiranë, *2 000 034* lekë.</t>
  </si>
  <si>
    <t>*1)* Gjendja e llogarisë bankare në një bankë të nivelit të dytë, *8 384* 
lekë.
*2)* Gjendja e llogarisë bankare në një bankë të nivelit të dytë, *422 354* 
lekë.
*3)* Gjendja e llogarisë bankare në një bankë të nivelit të dytë, *1 087 
049* lekë.
*4)* Bashkëshortja, gjendja e llogarisë bankare në një bankë të nivelit të 
dytë, *410 778* lekë.
*5)* Bashkëshortja, gjendja e llogarisë bankare në një bankë të nivelit të 
dytë, *1 544 468* lekë.
*6)* Kredi në një bankë të nivelit të dytë, detyrimi financiar i pashlyer, 
- *10 879* euro, për blerje banese.</t>
  </si>
  <si>
    <t>*1)* Paga dhe shpërblime neto pranë Këshillit të Lartë të Drejtësisë në 
vlerën *2 462 673* lekë.
*2)* Shpërblime neto si anëtar i Këshillit Drejtues të Shkollës së 
Magjistraturës në vlerën *27 000* lekë.</t>
  </si>
  <si>
    <t>Bashkëshortja zonja Arjeta Çefa paga dhe shpërblime neto në kuvendin e 
Shqipërisë në vlerën *1 013 123* lekë.</t>
  </si>
  <si>
    <t>*1)* Detyrime të papaguara në vlerën *4 242 800* lekë për një kredi bankare 
për strehim marrë më 31.01.2011 në bankë të nivelit të dytë me principal *5 
000 000* lekë, afat maturimi 15 vjet dhe këst mujor *37 200* lekë.</t>
  </si>
  <si>
    <t>*1)* Të ardhurat nga paga si gjyqtar në Gjykatën e Shkallës së Parë për 
Krimet e Rënda, (Orë jashtë orari, shpërblime si dhe paga e trembëdhjetë), *1 
464 485* lekë.
*2)* Të ardhura si anëtar i KLD-së, *112 200* lekë.</t>
  </si>
  <si>
    <t>Të ardhura nga pagesat si anëtar i Komisionit Disiplinor të Dhomës 
Kombëtare të Avokatisë, *360 000* lekë.</t>
  </si>
  <si>
    <t>Bashkëshortja, të ardhura nga paga si mjeke stomatologe pranë Autoritetit 
Shtetëror Rajonal, Tiranë, *541 932* lekë.</t>
  </si>
  <si>
    <t>*1)* Gjendja e llogarisë depozitë në një bankë të nivelit të dytë, *40 000* 
euro.
*2)* Kredi në një bankë të nivelit të dytë, detyrimi financiar i pashlyer, 
- *3 612 027* lekë, principali 5.000.000 lekë, marrë më dt. 17.12.2005, me 
afat 300 muaj, normë interesi 3 %.</t>
  </si>
  <si>
    <t>*1)* Të ardhura nga paga neto si gjyqtar i Gjykatës së Tiranës dhe shtesa 
për vjetërsi pune, *1 220 049* lekë.
*2)* Të ardhura si anëtar i KLD-së, *112 200* lekë.</t>
  </si>
  <si>
    <t>Bashkëshortja, të ardhura nga aktiviteti privat si notere në profesion të 
lirë, *3 175 629* lekë.</t>
  </si>
  <si>
    <t>*1)* Gjendja e llogarisë bankare në një bankë të nivelit të dytë, shtuar me *799 
667* lekë.
*2)* Gjendja cash, shtuar me *1 200 000* lekë.</t>
  </si>
  <si>
    <t>*1)* Të ardhura nga paga si gjyqtar në Gjykatën e Apelit, *1 281 571* lekë.
*2)* Të ardhura si anëtar i KLD-së, *112 200* lekë.</t>
  </si>
  <si>
    <t>Të ardhura, së bashku me bashkëshorten, nga qiraja e një ap. për periudhën 
1.6.2014 - 31.12.2014 dhe muajt janar dhe shkurt për vitin 2015, *5 850* 
euro.</t>
  </si>
  <si>
    <t>*1)* Bashkëshortja, të ardhura nga puna në Ministrinë e Financave me detyrë 
inspektore në Drejtorinë e Inspektimit Financiar Publik, *364 729* lekë.
*2)* Bashkëshortja, të ardhura nga paga si pedagoge në UT, *351 038* lekë.
*3)* Babai, të ardhura nga pensioni, *184 776* lekë.
*4)* Nëna, të ardhura nga pensioni, *160 000* lekë.</t>
  </si>
  <si>
    <t>*1)* Gjendja cash, shtuar me *200 000* lekë.
*2)* Gjendja e llogarisë bankare në një bankë të nivelit të dytë, *1 955* 
euro.
*3)* Gjendja e llogarisë bankare në një bankë të nivelit të dytë, *1 981* 
dollarë.
*4)* Bashkëshortja, gjendja e llogarinë bankare në një bankë të nivelit të 
dytë, *42 170* lekë.</t>
  </si>
  <si>
    <t>Të ardhura nga paga dhe përfitime të tjera financiare si deputete, *3 387 
258* lekë.</t>
  </si>
  <si>
    <t>Bashkëshorti, të ardhura nga pensioni i pleqërisë, *172 980* lekë.</t>
  </si>
  <si>
    <t>*1)* Detyrim qiraje, detyrimi financiar i shlyer, *315 000* lekë.
*2)* Detyrim huamarrje, detyrimi financiar i pashlyer, *800 000* lekë.
*3)* Bashkëshorti, pronar i një makine Nissan me vlerë *11 000* lekë.</t>
  </si>
  <si>
    <t>Të ardhura nga paga si deputet, *2 919 349* lekë.</t>
  </si>
  <si>
    <t>*1)* Bashkëshortja, të ardhura nga paga si administratore e shoqërisë, 
Xhenis-Sh shpk, *501 600* lekë.
*2)* Bashkëshortja, të ardhura nga dividendët nga shoqëria, Xhenis-Sh shpk, *1 
350 000* lekë.</t>
  </si>
  <si>
    <t>*1)* Bashkëshortja, pronare me 100 % e një sip. pylli 500 m2, në Razëm, 
Malësi e Madhe me vlerë, *100 000* lekë.
*2)* Bashkëshortja, kredi bankare në një bankë të nivelit të dytë, detyrimi 
financiar i pashlyer, *64 824* euro, principali *250 000* euro, marrë më 
01.03.2007, afat 10-vjeçar, normë interesi 6 %.
*3)* Bashkëshortja, kredi bankare në një bankë të nivelit të dytë, detyrimi 
financiar i pashlyer *4 435* euro, principali *4 600 000* euro, marrë më 
16.12.2013, afat 1-vjeçar.</t>
  </si>
  <si>
    <t>Të ardhura nga paga dhe përfitimet e tjera financiare si deputet, *2 563 
724* lekë.</t>
  </si>
  <si>
    <t>*1)* Bashkëshortja, të ardhura nga paga si punonjëse administrate në 
shoqërinë AIBA-Kompani sha, *482 000* lekë.
*2)* Vajza, të ardhura nga paga si ekonomiste/kontabiliste në shoqërinë 
Eco-Market-Food shpk, 01.01.2014 deri në 12.12.2014, *377 986* lekë.
*3)* Vajza, të ardhura nga paga si administratore në shoqërinë 
Eco-Market-Food shpk, nga 12.12.2014, *61 784* lekë.</t>
  </si>
  <si>
    <t>Shtuar Autoveturë Mercedes Benz e 2009, vlera *25 000* euro.</t>
  </si>
  <si>
    <t>Të ardhura nga paga, shpërblime, dieta dhe pjesëmarrje në komisione, *2 259 
113* lekë.</t>
  </si>
  <si>
    <t>Të ardhura nga qiratë, *20 600* euro.</t>
  </si>
  <si>
    <t>Bashkëshortja, të ardhura nga paga, *886 129* lekë.</t>
  </si>
  <si>
    <t>*1)* Gjendja e llogarisë bankare në një bankë të nivelit të dytë, *1 000* 
dollarë.
*2)* Detyrim i papaguar në formën e overdraftit në një bankë të nivelit të 
dytë, *1 000 000* lekë.</t>
  </si>
  <si>
    <t>Të ardhura nga paga si deputet, *2 083 113* lekë.</t>
  </si>
  <si>
    <t>Të ardhura nga qiraja e zyrës te kullat binjake, *4 480* euro.</t>
  </si>
  <si>
    <t>Bashkëshortja, të ardhura nga paga, *840 000* lekë.</t>
  </si>
  <si>
    <t>*1)* Gjendja e llogarisë bankare në një bankë të nivelit të dytë, pakësuar 
me *65 000* euro, pjesa takuese 50 %.
*2)* Gjendja e llogarisë bankare në një bankë të nivelit të dytë, pakësuar 
me *2 500* euro, pjesa takuese 50 %.
*3)* Gjendja e llogarisë bankare në një bankë të nivelit të dytë, shtuar me *216 
845* lekë.
*4)* Bashkëshortja, gjendja e llogarisë bankare në një bankë të nivelit të 
dytë, shtuar me *40 000* lekë.
*5)* Detyrim ndaj kompanisë së ndërtimit për ap. në vlerën *67 500* euro, 
shlyer plotësisht.</t>
  </si>
  <si>
    <t>Të ardhura nga paga si deputet, *2 369 233* lekë.</t>
  </si>
  <si>
    <t>Bashkëshortja, të ardhura nga paga pranë Fakultetit të Shkencave të 
Natyrës, Tiranë, *811 075* lekë.</t>
  </si>
  <si>
    <t>Kredi strehimi nga Enti i Banesave, detyrimi financiar i pashlyer *3 927 
000* lekë.</t>
  </si>
  <si>
    <t>Të ardhura nga paga si deputet, *2 175 952* lekë.</t>
  </si>
  <si>
    <t>*1)* Bashkëshortja, të ardhura nga paga si përgjegjëse sektori në 
Ministrinë e Energjisë dhe Industrisë *874 394* lekë.
*2)* Bashkëshortja, të ardhura nga paga si anëtare e Këshillit Mbikëqyrjes 
të Prodhim-mobilie sha, pranë Ministrisë së Ekonomisë dhe Tregtisë, *63 420* 
lekë.
*3)* Vajza, financim nga puna në shoqërinë Agroblend shpk, nisur prej datës 
02.09.2014, *300 000* lekë.</t>
  </si>
  <si>
    <t>*1)* Gjendja e llogarisë bankare në një bankë të nivelit të dytë, *109 966* 
lekë.
*2)* Gjendja cash *1 020 000* lekë.
*3)* Bashkëshortja, gjendja e llogarisë bankare në një bankë të nivelit të 
dytë, *189 633* lekë.
*4)* Vajza, kontratë për blerje aksionesh në shoqërinë Beauty Internacional 
(dyqan parfumerie), *80 000* lekë.
*5)* Kredi bankare në një bankë të nivelit të dytë, detyrimi financiar i 
pashlyer *3 005 192* lekë.
*6)* Kredi bankare një një bankë të nivelit të dytë, detyrimi financiar i 
pashlyer *137 371* euro.
*7)* Kredi bankare në një bankë të nivelit të dytë, detyrimi financiar i 
pashlyer *7 558* euro.</t>
  </si>
  <si>
    <t>*1)* Të ardhura nga paga dhe përfitime të tjera financiare si deputet, *2 
146 942* lekë.
*2)* Të ardhura nga pjesëmarrja në komisionet parlamentare, *122 400* lekë.
*3)* Të ardhura nga shërbime konsulence pranë "Consulant and Trainers 
Economical and Financial Reporting in Albanian Media", *2 439* euro.
*4)* Të ardhura nga shërbime konsulence për projekte te "Institute of 
Contemporary Studies", Tiranë, *495 000* lekë.</t>
  </si>
  <si>
    <t>*1)* Të ardhura nga interesat e bonove të thesarit në Bankën e Shqipërisë, *150 
681* lekë.
*2)* Të ardhura nga interesat bankare, *67 500* lekë.
*3)* Të ardhura nga interesat bankare, 129 euro.
*4)* Të ardhura nga interesat bankare, 167 dollarë.
*5)* Të ardhura nga interesat e bonove të thesarit në një bankë të nivelit 
të dytë, *111 044* lekë.
*6)* Të ardhura nga interesat e bonove të thesarit në një bankë të nivelit 
të dytë, 215 euro.
*7)* Të ardhura nga interesat bankare, *1 456* euro.
*8)* Të ardhura nga interesat bankare, *102 980* lekë.
*9)* Të ardhura nga interesat e bonove të thesarit në një bankë të nivelit 
të dytë, *15 160* lekë.
*10)* Të ardhura nga interesat e obligacioneve në një bankë të nivelit të 
dytë, *163 429* lekë.
*11)* Të ardhura nga interesat e bonove të thesarit në një bankë të nivelit 
të dytë, *118 958* lekë.</t>
  </si>
  <si>
    <t>Të ardhura nga qiraja e ap. në Rr. e Kavajës, Tiranë, *12 000* euro.</t>
  </si>
  <si>
    <t>*1)* Bashkëshortja, të ardhura nga interesat bankare, *1 683* euro.
*2)* Bashkëshortja të ardhura nga shitja e ap. në Tiranë ku ishte 
bashkëpronare me 1/3, *3 637 600* lekë.
*3)* Bashkëshortja, të ardhura nga paga neto si menaxhere e burimeve 
njerëzore pranë kompanisë, "Sigma Interalbanian", *1 607 886* lekë.
*4)* Bashkëshortja, të ardhura nga aktiviteti privat i regjistruar në QKR, *1 
400 000* lekë.
*5)* Vajza, të ardhura nga interesat bankare 368 euro.</t>
  </si>
  <si>
    <t>*1)* Investime në Fonde Investimi afatgjatë nëpërmjet një banke të nivelit 
të dytë, *19 400* euro, 100 kuota.
*2)* Investime në Fonde Investimi afatgjatë nëpërmjet një banke të nivelit 
të dytë, *20 000* euro, 145 kuota.
*3)* Gjendja e kursimeve, *15 000* euro.
*4)* Kredi bankare në një bankë të nivelit të dytë, detyrimi financiar i 
pashlyer *109 000* euro, principali *150 000* euro, marrë më 2008 deri në 
2023.</t>
  </si>
  <si>
    <t>Të ardhura nga paga dhe përfitimet e tjera financiare si deputet, *1 980 
563* lekë.</t>
  </si>
  <si>
    <t>*1)* Gjendja e llogarisë bankare në një bankë të nivelit të dytë, pakësuar 
me *1 202 179* lekë.
*2)* Gjendja e llogarisë bankare në një bankë të nivelit të dytë, shtuar me *3 
587* euro.
*3)* Gjendja e llogarisë bankare në një bankë të nivelit të dytë, shtuar me 
100 dollarë.
*4)* Gjendja e llogarisë bankare në një bankë të nivelit të dytë, pakësuar 
me *129 445* lekë.
*5)* Kredi në një bankë të nivelit të dytë, detyrimi financiar i pashlyer *17 
964* euro, principali *40 000* euro, marrë më 2009, me afat 10-vjeçar.
*6)* Kredi bankare në një bankë të nivelit të dytë, detyrimi financiar i 
pashlyer, *12 413* euro, principali *16 000* euro, marrë më 2013, me afat 
4-vjeçar.
*7)* Detyrim për shlyerjen e huasë ndaj një personi privat, detyrimi 
financiar i pashlyer *12 000* euro.</t>
  </si>
  <si>
    <t>Të ardhura nga paga dhe përfitime të tjera financiare si deputete, *2 766 
822* lekë.</t>
  </si>
  <si>
    <t>*1)* Të ardhura nga interesat bankare, rritur me 67 euro.
*2)* Të ardhura nga interesat bankare, *66 513* lekë.</t>
  </si>
  <si>
    <t>Të ardhura nga qiraja, *27 000* euro.</t>
  </si>
  <si>
    <t>Bashkëshorti, të ardhura nga honorare, shpërblime e dieta nga 
"Mediavision", *18 000* euro.</t>
  </si>
  <si>
    <t>*1)* Gjendja e llogarisë depozitë në një bankë të nivelit të dytë, *1 500 
000* lekë.
*2)* Gjendja e llogarisë bankare në një bankë të nivelit të dytë, pakësuar 
me - 75 dollarë.
*3)* Gjendja e llogarisë bankare në një bankë të nivelit të dytë, rritur me *1 
075 365* lekë.
*4)* Overdraft, marrë edhe në emër të bashkëshortit, detyrimi financiar i 
pashlyer *9 400 850* lekë.
*5)* Kredi bankare në një bankë të nivelit të dytë, mbyllur, shuma e 
detyrimit financiar të shlyer *41 367* euro.
*6)* Bashkëshorti, gjendja e llogarisë depozitë në një bankë të nivelit të 
dytë, pakësuar me *26 611* euro.
*7)* Bashkëshorti, gjendja e llogarisë depozitë në një bankë të nivelit të 
dytë, shtuar me *2 940* dollarë.
*8)* Bashkëshorti, gjendja e llogarisë depozitë në një bankë të nivelit të 
dytë, rritur me *2 857 396* lekë.</t>
  </si>
  <si>
    <t>Të ardhura nga paga dhe shpërblime si deputet, *2 420 823* lekë.</t>
  </si>
  <si>
    <t>Të ardhura nga bonot e thesarit në Bankën e Shqipërisë, *70 000* lekë.</t>
  </si>
  <si>
    <t>Të ardhura nga qiraja, *630 000* lekë.</t>
  </si>
  <si>
    <t>*1)* Bashkëshortja, të ardhura nga paga si pedagoge në Fakultetin e 
Drejtësisë, në UT, *1 821 056* lekë.
*2)* Bashkëshortja, të ardhura nga interesa bonot e thesarit në Bankën e 
Shqipërisë, *290 000* lekë.
*3)* Djali, të ardhura nga interesat bonot e thesarit në Bankën e 
Shqipërisë, *30 000* lekë.
*4)* Djali, të ardhura nga puna në Balfin shpk Company, *569 480* lekë.
*5)* Djali, të ardhura nga firma e konsulencës "AVA Consulting", *1 510 000* 
lekë, zotëron 50 % të të drejtave.
*6)* Vajza, të ardhura nga puna në Bankën e Shqipërisë dhe nga ISSH si 
pagesë për barrëlindje, *939 425* lekë.
*7)* Vajza, të ardhura nga puna në kompaninë Albchrome shpk, *4 810 000* 
lekë.
*8)* Vajza, të ardhura nga firma e konsulencës, "AVA Consulting", *1 510 
000* lekë, zotëron 50 % të të drejtave.</t>
  </si>
  <si>
    <t>*1)* Posedues, i bonove të thesarit me vlerë *5 290 000* lekë.
*2)* Djali, Eraldo Bode poseduesi i bonove të thesarit me vlerë *1 980 000* 
lekë.
*3)* Bashkëshortja, poseduese e bonove të thesarit me vlerë *8 140 000* 
lekë.
*4)* Pronar i një autoveture "Benz", blerë *1 500 000* lekë.
*5)* Bashkëshortja, pronare e një autoveture "Citroen", blerë me leasing *7 
632* euro.
*6)* Gjendja e llogarisë bankare në një bankë të nivelit të dytë, *315 362* 
lekë.
*7)* Gjendja e llogarisë bankare në një bankë të nivelit të dytë, *367 938* 
lekë.
*8)* Bashkëshortja, gjendja e llogarive bankare në një bankë të nivelit të 
dytë, *478 861* lekë.
*9)* Bashkëshortja, gjendja e llogarisë bankare në një bankë të nivelit të 
dytë, *3 044 705* lekë.
*10)* Djali, Eraldo Bode, gjendja e llogarisë bankare në një bankë të 
nivelit të dytë, *39 891* lekë.
*11)* Detyrim i shlyer për blerje makine, *266 527* lekë.
*12)* Kredi bankare në një bankë të nivelit të dytë, detyrimi financiar i 
shlyer *4 025* euro, marrë në 2007.
*13)* Vajza, gjendja e llogarisë bankare në një bankë të nivelit të dytë, *453 
900* lekë.
*14)* Vajza, gjendja e llogarisë bankare në një bankë të nivelit të dytë, *522 
927* lekë.
*15)* Vajza, gjendja e llogarisë bankare në një bankë të nivelit të dytë, *6 
000* dollarë.
*16)* Vajza, gjendja e llogarisë bankare në një bankë të nivelit të dytë, *4 
700* euro.</t>
  </si>
  <si>
    <t>*1)* Të ardhura nga paga, shpërblime si deputet, *1 340 716* lekë.
*2)* Të ardhura nga pensioni i ish-pozicionit të punës, *1 043 420* lekë.</t>
  </si>
  <si>
    <t>Të ardhura nga dieta, *508 191* lekë.</t>
  </si>
  <si>
    <t>Të ardhura nga interesat bankare, *100 342* lekë.</t>
  </si>
  <si>
    <t>*1)* Bashkëshortja, të ardhura nga pensioni, *331 435* lekë.
*2)* Vajza, të ardhura nga paga në Fakultetin e Drejtësisë dhe shpërblime, *1 
466 840* lekë.
*3)* Vajza, të ardhura nga mësimdhënia në fakultete private, *1 409 400* 
lekë.
*4)* Vajza, të të ardhura nga të drejta të autorit, *800 000* lekë.
*5)* Vajza, të ardhura nga qiratë, *46 776* euro.
*6)* Vajza, të ardhura nga interesa bankare, *11 508* lekë.
*7)* Vajza, të ardhura nga Senati *64 800* lekë.
*8)* Vajza, të ardhura nga honorare, *1 284* euro.
*9)* Vajza, të ardhura nga honorare *166 730* lekë.
*10)* Djali, të ardhura nga rroga nga "Albanian Legal Company", *1 266 628* 
lekë.
*11)* Djali, të ardhura nga dividenti nga "Albanian Legal Company", *954 
068* lekë.
*12)* Djali, të ardhura nga qiraja, 50 350euro.</t>
  </si>
  <si>
    <t>*1)* Bashkëshortja, gjendja e llogarisë bankare në një bankë të nivelit të 
dytë, pakësuar me - 167 lekë.
*2)* Bashkëshortja, gjendja e llogarisë bankare në një bankë të nivelit të 
dytë, pakësuar me - *483 751* lekë.
*3)* Bashkëshortja, gjendja e llogarisë bankare në një bankë të nivelit të 
dytë, *337 311* lekë.
*4)* Bashkëshortja, gjendja e llogarisë bankare në një bankë të nivelit të 
dytë, *493 504* lekë.
*5)* Gjendja e llogarisë së përbashkët bankare në një bankë të nivelit të 
dytë, *6 000* euro.
*6)* Gjendja e llogarisë së përbashkët bankare në një bankë të nivelit të 
dytë, pakësuar me - 18 euro.
*7)* Gjendja e llogarisë bankare në një bankë të nivelit të dytë, *3 990 
553* lekë.
*8)* Vajza, gjendja e llogarisë bankare në një bankë të nivelit të dytë, *864 
294* lekë.
*9)* Vajza, gjendja e llogarisë bankare në një bankë të nivelit të dytë, 25 
dollarë.
*10)* Vajza, gjendja e llogarisë bankare në një bankë të nivelit të dytë, 
pakësuar me - 34 dollarë.
*11)* Vajza, gjendja e llogarisë bankare në një bankë të nivelit të dytë, *42 
051* euro.
*12)* Vajza, gjendja e llogarisë bankare në një bankë të nivelit të dytë, 
pakësuar me - *713 108* lekë.
*13)* Vajza, gjendja e llogarisë bankare në një bankë të nivelit të dytë, *28 
588* euro.
*14)* Vajza, gjendja e llogarisë bankare në një bankë të nivelit të dytë, 
pakësuar me - *5 347 095* lekë.
*15)* Djali, gjendja e llogarisë bankare në një bankë të nivelit të dytë, 
pakësuar me - *17 673* euro.
*16)* Djali, gjendja e llogarisë bankare në një bankë të nivelit të dytë, 
pakësuar me - 46 932,75 euro.
*17)* Djali, gjendja e llogarisë bankare në një bankë të nivelit të dytë, 
pakësuar me - 156 euro.
*18)* Djali, gjendja e llogarisë bankare në një bankë të nivelit të dytë, 
shtuar me *1 621 719* lekë.
*19)* Djali, gjendja e llogarisë bankare në një bankë të nivelit të dytë, 
pakësuar me - 1 279,66 lekë.
*20)* Djali, gjendja e llogarisë bankare në një bankë në Suedi, shtuar me *7 
300* korona suedeze.
*21)* Djali, kredi bankare në një bankë të nivelit të dytë, detyrimi 
financiar i pashlyer, *265 983* euro, principali *277 200* euro.
*22)* Djali, detyrim huaje, detyrimi financiar i pashlyer, *34 222* euro.
*23)* Djali, detyrim sipas kontratave të qirasë.</t>
  </si>
  <si>
    <t>*1)* Të ardhura nga paga dhe shpërblimet si deputet, *1 861 124* lekë.
*2)* Të ardhura si pagesë kalimtare nga ISSH-ja, *241 580* lekë.
*3)* Të ardhura nga kthimi i kontributit të sigurimeve suplementare të 
derdhura nga shoqëria "VBL Freiwillige Versicherung DE" në periudhën 
1999-2005, në Gjermani *3 073* euro.</t>
  </si>
  <si>
    <t>Të ardhura nga interesat bankare, *172 288* lekë.</t>
  </si>
  <si>
    <t>*1)* Bashkëshortja, të ardhura nga paga si mësuese, DAR-i, Tiranë, *556 164* 
lekë.
*2)* Vajza, Blerta Tafaj, të ardhura nga paga si punonjëse e bibliotekës së 
Universitetit Politeknik, Tiranë, *599 128* lekë.
*3)* Vajza, Enkelejda Kasneci, të ardhura nga paga si kërkuese shkencore në 
Universitetin Tubingen, Gjermani, *51 640* euro.
*4)* Vajza, Enkelejda Kasneci, të ardhura nga dhënia me qira e apartamentit 
në Sindelfingen, *6 615* euro.
*5)* Vajza, Alma Tafaj, të ardhura nga shteti gjerman si rrogë e pjesshme 
gjatë lejes së lindjes, *11 097* euro.
*6)* Vajza, Alma Tafaj, të ardhura nga shteti gjerman si ndihmë gjatë lejes 
së lindjes, 300 euro.
*7)* Vajza, Alma Tafaj, të ardhura për fëmijën nga puna si mjeke në Ortenau 
Klinikum Lahr Ettenheim, Freiburg, Gjermani, *2 208* euro.</t>
  </si>
  <si>
    <t>*1)* Gjendja e llogarisë bankare në një bankë të nivelit të dytë, shtuar me *1 
709 094* lekë.
*2)* Gjendja e llogarisë bankare në një bankë në Stuttgart, Republika 
Federale Gjermane, shtuar me *3 112* euro.
*3)* Vajza, gjendja e llogarisë bankare në një bankë të nivelit të dytë, 
shtuar me *93 808* lekë.
*4)* Bashkëshortja, gjendja e llogarisë bankare në një bankë të nivelit të 
dytë, *554 697* lekë.
*5)* Vajza, Enkelejda Kasneci, gjendja e llogarisë bankare në një bankë në 
Gjermani, pakësuar me *4 702* euro, pjesa takuese 50 %.
*6)* Vajza, Enkelejda Kasneci, gjendja e llogarisë bankare në një bankë në 
Gjermani, pakësuar me 39 euro, pjesa takuese 50%.
*7)* Vajza, Ekelejda Kasneci, kredi bankare në një bankë në Gjermani, 
detyrimi financiar i pashlyer *62 638* euro, principali *95 000* euro, 
norma e interesit 3.25 %, me afat 10 vjet.
*8)* Vajza, Enkelejda Kasneci, kredi bankare në një bankë në Gjermani, 
detyrimi financiar i pashlyer, *96 865* euro, norma e interesit 1.89 %.
*9)* Vajza, Enkelejda Kasneci, kredi bankare në një bankë në Gjermani, *218 
295* euro, norma e interesit 2.29 %.
*10)* Vajza, Alma Tafaj, gjendja e llogarisë bankare, pakësuar me 905 euro.
*11)* Vajza, Alma Tafaj, gjendja e llogarisë bankare në një bankë në 
Gjermani, shtuar me 36 euro.
*12)* Vajza, Alma Tafaj, gjendja e llogarisë bankare në një bankë në 
Gjermani, *3 977* euro.</t>
  </si>
  <si>
    <t>Të ardhura nga paga dhe dieta si deputet, *2 287 500* lekë.</t>
  </si>
  <si>
    <t>Të ardhura nga dieta dhe honorare, *2 245* euro.</t>
  </si>
  <si>
    <t>*1)* Të ardhura nga interesat bankare, *275 000* lekë.
*2)* Të ardhura nga interesat bankare *1 075* euro.</t>
  </si>
  <si>
    <t>Bashkëshortja, të ardhura nga ushtrimi i profesionit të lirë si mjeke 
stomatologe në biznesin privat, *1 023 500* lekë.</t>
  </si>
  <si>
    <t>*1)* Pronar me 50 % i një ap. banimi + garazh.
*2)* Pronar i një autoveture "Mercedes Benz".
*3)* Gjendja e llogarisë depozitë bankare, *1 095 000* lekë, pjesa takuese 
50 %.
*4)* Gjendja e llogarisë bankare, *10 092* euro, pjesa takuese 50 %.
*5)* Gjendja e llogarisë bankare, *1 019 000* lekë, pjesa takuese 50 %.
*6)* Pronar me 50 % i një ap. në Durrës.
*7)* Gjenda cash, *400 000* lekë, pjesa takuese 50 %.
*8)* Gjendja e llogarisë depozitë, *1 500 000* lekë, pjesa takuese 50 %.
*9)* Gjendja e llogarisë bankare, *17 000* lekë.
*10)* Pronar me 50 % i një trualli me sip. 4000 m2, pjesa takuese *2 500* 
m2, në Durrës.
*11)* Gjendja e llogarisë depozitë, *40 000* euro, pjesa takuese 50 %.
*12)* Gjendja e llogarisë bankare *5 772 000* lekë, pjesa takuese 50 %.
*13)* Gjendja e llogarisë bankare, *22 030* euro, pjesa takuese 50 %.
*14)* Kredi bankare në një bankë të nivelit të dytë, detyrimi financiar i 
pashlyer 0 lekë, principali *5 000 000* lekë.
*15)* Detyrim për blerje ap., detyrimi financiar i shlyer *1 100 000* lekë.
*16)* Detyrim për blerje trualli, detyrimi financiar i pashlyer *500 000* 
lekë, principali *500 000* lekë.
*17)* Detyrim huaje, detyrimi financiar i pashlyer *3 000 000* lekë, 
principali *4 000 000* lekë.
*18)* Bashkëshortja, pronare me 50 % e një klinike dentare.
*19)* Bashkëshortja, pronare e një autoveture "Citroen".</t>
  </si>
  <si>
    <t>Të ardhura nga paga dhe shpërblimet si deputet, *2 327 421* lekë.</t>
  </si>
  <si>
    <t>*1)* Gjendja cash shtuar me *500 000* lekë, pjesa takuese 50 %.
*2)* Të ardhura nga shitja e një ap. me sip. 92.61 m2, *80 000* euro, pjesa 
takuese 50 %
*3)* Kredi në një bankë të nivelit të dytë, shuma e shlyer per vitin e 
deklarimit, *7 500* euro, principali *140 000* euro, marrë në vitin 2006. 
Marrë nga katër persona, subjekti deklarues dhe bashkëshortja kishin 50 % 
të detyrimit.</t>
  </si>
  <si>
    <t>Të ardhura nga paga si deputete, *2 197 169* lekë.</t>
  </si>
  <si>
    <t>Të ardhura nga huaja, *50 000* dollarë.</t>
  </si>
  <si>
    <t>*1)* Gjendja e llogarisë bankare në një bankë të nivelit të dytë, shtuar me 
875 dollarë.
*2)* Gjendja e llogarisë bankare në një bankë të nivelit të dytë, pakësuar 
me -28 dollarë.
*3)* Gjendja e llogarisë bankare në një bankë të nivelit të dytë, pakësuar 
me - 14 dollarë.
*4)* Gjendja e llogarisë bankare në një bankë të nivelit të dytë, pakësuar 
me - *400 252* lekë.
*5)* Gjendja cash, pakësuar me *50 000* dollarë.
*6)* Gjendja cash pakësuar me *1 000 000* lekë.
*7)* Pronare me 100 % e një banesë në Golem, Kavajë, vlera *115 000* euro.
*8)* Kredi në një bankë të nivelit të dytë, detyrimi financiar i pashlyer *14 
855* euro, principali *34 000* euro.
*9)* Detyrim i papaguar ndaj vëllait, *8 000* euro.
*10)* Detyrim i papaguar ndaj motrës, *8 000* euro.
*11)* Detyrim i papaguar ndaj një personi të tretë, *5 000* euro.</t>
  </si>
  <si>
    <t>Të ardhura nga paga, *2 896 562* lekë.</t>
  </si>
  <si>
    <t>Bashkëshorti, të ardhura nga paga, *911 040* lekë.</t>
  </si>
  <si>
    <t>*1)* Kredi e marrë më datë, 03.12.2012, detyrimi financiar i pashlyer, *2 
950 646* lekë.
*2)* Kredi e marrë më datë, 06.11.2013, detyrimi financiar i pashlyer, *28 
810* lekë.</t>
  </si>
  <si>
    <t>Të ardhura nga paga, *2 421 050* lekë.</t>
  </si>
  <si>
    <t>Të ardhura nga paga e bashkëshortes, *830 064* lekë.</t>
  </si>
  <si>
    <t>*1)* Gjendja e llogarisë bankare në një bankë të nivelit të dytë, *2 097* 
lekë.
*2)* Bashkëshortja, gjendja e llogarisë depozitë në një bankë të nivelit të 
dytë, *13 257 540* lekë.
*3)* Bashkëshortja, gjendja e llogarisë bankare në një bankë të nivelit të 
dytë, *138 376* lekë.
*4)* Bashkëshortja, gjendja e llogarisë bankare në një bankë të nivelit të 
dytë, shtuar me *172 198* lekë.</t>
  </si>
  <si>
    <t>*1)* Të ardhura nga paga si deputet, *2 562 612* lekë.
*2)* Të ardhura nga honoraret nga Shkolla e Lartë Private Mesdhetare e 
Shqipërisë, *1 536 120* lekë.</t>
  </si>
  <si>
    <t>Të ardhura nga anëtarësia në Akademinë e Shkencave, *540 000* lekë.</t>
  </si>
  <si>
    <t>Të ardhura nga qiraja, *10 000* dollarë.</t>
  </si>
  <si>
    <t>*1)* Vajza, të ardhura nga punësimi në Health Resources in Action-Budget 
Director, *55 031* dollarë.
*2)* Vajza, të ardhura nga shitja e shtëpisë, *27 100* dollarë.
*3)* Djali, të ardhura nga Shkolla e Lartë Private Mesdhetare e Shqipërisë, *1 
505 326* lekë.
*4)* Djali, të ardhura nga Ministria e Integrimit, *37 089* lekë.
*5)* Djali, të ardhura nga një biznes i vogël, *340 000* lekë.
*6)* Djali, të ardhura nga kontratë shërbimi, 720 euro.
*7)* Bashkëshortja, të ardhura nga Shkolla e Lartë Private Mesdhetare e 
Shqipërisë, *1 595 686* lekë.
*8)* Bashkëshortja, të ardhura nga AAEF-ja, *59 463* dollarë.
*9)* Bashkëshortja, të ardhura nga kthimi i një huaje, *2 800 700* lekë.
*10)* Bashkëshortja, të ardhura nga një biznes i vigël, *1 401 000* lekë.</t>
  </si>
  <si>
    <t>*1)* Gjendja e llogarisë bankare në një bankë të nivelit të dytë, pakësuar 
me *115 847* lekë.
*2)* Gjendja e llogarisë bankare në një bankë të nivelit të dytë, *2 705* 
dollarë.
*3)* Gjendja e llogarisë bankare në një bankë të nivelit të dytë, pakësuar 
me 890 euro.
*4)* Gjendja e llogarisë bankare në një bankë të nivelit të dytë, *19 000* 
dollarë.
*5)* Të ardhura nga shitja e shtëpisë në Boston, *55 200* dollarë.
*6)* Kredi në një bankë të nivelit të dytë, detyrimi financiar i pashlyer *36 
782* euro.
*7)* Vajza, gjendja e llogarisë *25 475* dollarë, pjesa takuese 50 %.
*8)* Vajza, pronare me 25 % e një shtëpie banimi, vlera *39 752* dollarë.
*9)* Vajza, pronare e një autoveture me vlerë *18 800* USD.
*10)* Vajza, kredi bankare për shtëpinë, detyrimi financiar i pashlyer, *141 
250* dollarë.
*11)* Vajza, kredi bankare për autoveturën, detyrimi financiar i pashlyer *9 
480* dollarë.
*12)* Kredi bankare për shkollimin, detyrimi financiar i pashlyer 0.
*13)* Djali, gjendja e llogarisë bankare, pakësuar me *60 779* lekë.
*14)* Djali, detyrim për blerje apartamenti, shuma e shlyer *70 000* euro.
*15)* Bashkëshortja, gjendja e llogarisë bankare në një bankë të nivelit të 
dytë, *88 210* lekë.
*16)* Bashkëshortja, gjendja e llogarisë në një bankë në USA, *7 630* euro.
*17)* Bashkëshortja, gjendja e llogarisë bankare në një bankë të nivelit të 
dytë, *47 949* dollarë.
*18)* Bashkëshortja, e drejta nga huaja e pakësuar, - *2 800 700* lekë.
*19)* Bashkëshortja, gjendja e llogarisë depozitë *30 595* dollarë.
*20)* Bashkëshortja, fond pensioni, *328 260* lekë.</t>
  </si>
  <si>
    <t>Të ardhura nga paga dhe përfitimet e tjera, *2 857 701* lekë.</t>
  </si>
  <si>
    <t>*1)* Bashkëshortja, të ardhura nga paga si financiere te ANSIG sha, *662 
905* lekë.
*2)* Bashkëshortja, të ardhura të fituara me vendim gjyqi nga Ministria e 
Punës, Çështjeve Sociale dhe Shanseve të Barabarta, *1 129 000* lekë.</t>
  </si>
  <si>
    <t>*1)* Pronar me 100 % i një ap. banimi me sip. 132.4 m2, në Tiranë, vlera *7 
500 000* lekë.
*2)* Pronar me 100 % i një ap. banimi me sip. 88.5 m2+garazh me sip. 15 m2, 
vlera *5 188 500* lekë.
*3)* Pronar me 50 % i një trualli me sip. 300 m2+ ndërtesë me sip. 70 m2 në 
Delvinë.
*4)* Pronar me 50 % i një toke bujqësore me sip. *24 000* m2.
*5)* Pronar i një automjeti, vlera *13 900* euro.
*6)* Kredi në një bankë të nivelit të dytë, detyrimi financiar i pashlyer, *2 
531 000* lekë, principali *5 000 000* lekë, marrë më 29.03.2000 me afat 
shlyerje 25 vjet, normë interesi 3%.
*7)* Bashkëshortja, bono thesari pranë Bankës së Shqipërisë, *1 100 000* 
lekë.</t>
  </si>
  <si>
    <t>Të ardhura nga paga në Kuvendin e Shqipërisë, *2 513 421* lekë.</t>
  </si>
  <si>
    <t>Të ardhura nga paga, *2 338 008* lekë.</t>
  </si>
  <si>
    <t>Bashkëshortja, të ardhura nga paga si financiere në shoqërinë, "Halili 
sh.p.k", *840 000* lekë.</t>
  </si>
  <si>
    <t>*1)* Gjendja e llogarisë depozitë, pakësuar me *20 000* euro.
*2)* Kontratë qiraje, likujduar komplet.</t>
  </si>
  <si>
    <t>Të ardhura nga paga dhe shpërblime, *2 609 513* lekë.</t>
  </si>
  <si>
    <t>Bashkëshortja, të ardhura nga paga dhe shpërblime si nëndrejtore e DRSKSH, 
Tiranë, *914 040* lekë.</t>
  </si>
  <si>
    <t>*1)* Gjendja cash, shtuar me *700 000* lekë, pjesa takuese 50 %.
*2)* Kredi në një bankë të nivelit të dytë, detyrimi financiar i pashlyer, *2 
199 443* lekë, principali *5 000 000* lekë, marrë në vitin 2001.
*3)* Kredi në një bankë të nivelit të dytë, detyrimi financiar i pashlyer, *2 
197 000* lekë, principali *5 000 000* lekë, marrë në vitin 2001.
*4)* Vajza, gjendja cash shtuar me *700 000* lekë.</t>
  </si>
  <si>
    <t>Të ardhura nga paga dhe përfitimet e tjera financiare si deputet, *2 197 
012* lekë.</t>
  </si>
  <si>
    <t>*1)* Bashkëshortja, të ardhura nga paga si pedagoge në Universitetin e 
Arteve, *1 081 764* lekë.
*2)* Bashkëshortja të ardhura nga aktiviteti profesional, (pikturë @ design 
interior), *17 081* euro.</t>
  </si>
  <si>
    <t>*1)* Pronar i një autoveture, vlera *11 765* euro.
*2)* Pronar me 50 % i një ap. në Tiranë, me vlerë *8 760 000* lekë, dhuratë 
nga nëna.
*3)* Kredi në një bankë të nivelit të dytë, detyrimi financiar i pashlyer *2 
358 808* lekë, principali, *5 000 000* lekë, (marrë sipas VKM-së "Për 
strehimin e zyrtarëve të lartë".
*4)* Djali, pronar i një automjeti me vlerë *4 600* euro.
*5)* Djali, pagesë për shërbime të kryera për Sky Tower Hotel, *600 000* 
lekë.</t>
  </si>
  <si>
    <t>Të ardhura nga paga dhe pjesëmarrja në komisione, për periudhën 
shkurt-dhjetor, *1 980 000* lekë.</t>
  </si>
  <si>
    <t>*1)* Bashkëshortja, të ardhura nga paga si administratore e firmës ADAMB, *360 
000* lekë.
*2)* Të ardhura nga kontrata e qirasë, *20 000* lekë.</t>
  </si>
  <si>
    <t>*1)* Blerë në 2014 një ap. 122,79 m2, në Tiranë, vlera *234 815* euro.
*2)* Blerë një automjet, vlera *1 000 000* lekë.
*3)* Kredi (në emër të subjektit dhe bashkëshortes) në një bankë të nivelit 
të dytë, detyrimi financiar i pashlyer *169 279* euro, principali *170 000* 
euro, marrë më 09.11.2014, norma e interesit 5.5%.
*4)* Hua ndaj shoqërisë Albania-Energy-Solution shpk, detyrimi financiar i 
pashlyer *64 815* euro, principali *64 815* euro, marrë më 30.09.2014.
*5)* Kredi (në emër të subjektit dhe bashkëshortes) në një bankë të nivelit 
të dytë, detyrimi financiar i pashlyer, *43 517* euro, principali *44 000* 
euro, marrë më 21.10.214, normë interesi 4 %.
*6)* Kredi (në emër të subjektit dhe bashkëshortes) në një bankë të nivelit 
të dytë, detyrimi financiar i pashlyer *850 117* lekë, principali *1 000 
000* lekë, me afat 3-vjeçar, normën interesi 8.32 %.</t>
  </si>
  <si>
    <t>Të ardhura nga paga, *2 661 218* lekë.</t>
  </si>
  <si>
    <t>Të ardhura nga fond investimi në një bankë të nivelit të dytë, *15 793* 
lekë.</t>
  </si>
  <si>
    <t>*1)* Të ardhura nga qiraja, *20 187* dollarë.
*2)* Të ardhura nga qiraja, *3 240* euro.</t>
  </si>
  <si>
    <t>*1)* Bashkëshortja, të ardhura nga paga në UNICEF, *3 810 494* lekë.
*2)* Bashkëshortja, të ardhura nga puna si pedagoge në Fakultetin e 
Shkencave Sociale, *102 1600* lekë.
*3)* Bashkëshortja, të ardhura nga qiraja, *252 000* lekë.</t>
  </si>
  <si>
    <t>*1)* Gjendja e llogarisë bankare në një bankë të nivelit të dytë, shtuar me *2 
666 218* lekë.
*2)* Gjendja e llogarisë në një bankë të nivelit të dytë, pakësuar me - *213 
000* lekë.
*3)* Gjendja e llogarisë investime në një bankë të nivelit të dytë, shtuar 
me *213 000* lekë.
*4)* Gjendja e llogarisë bankare në një bankë të nivelit të dytë, pakësuar 
me - *2 785 783* lekë.
*5)* Gjendja e llogarisë bankare në një bankë të nivelit të dytë, rritur me *3 
036* euro.
*6)* Gjendja e llogarisë bankare në një bankë të nivelit të dytë, pakësuar 
me *1 842* euro.
*7)* Gjendja e llogarisë bankare në një bankë të nivelit të dytë, shtuar me *7 
448* dollarë.
*8)* Gjendja e llogarisë depozitë në një bankë të nivelit të dytë, shtuar 
me 344 euro.
*9)* Kredi bankare në një bankë të nivelit të dytë, detyrimi financiar i 
pashlyer *62 278* euro.
*10)* Detyrim i papaguar, vlera *48 000* euro.
*11)* Bashkëshortja, pronare me 100 % e një trualli 500 m2 në Priskë të 
Tiranës, vlera *400 000* lekë.
*12)* Bashkëshortja, pronare me 100 % e një ap. 67 m2, vlera *65 000* euro.
*13)* Bashkëshortja, pronare me 100 % e një ap. 100.94 m2 + garazh 19 m2 me 
vlerë *111 130* euro.
*14)* Bashkëshortja, pronare me 40 % e shtëpie me sip. 102 m2, vlera *170 
000* euro.
*15)* Bashkëshortja, pronare e 33 % të aksioneve në ndërmarrjen sh.a 
Ofiçina e Autombjeteve të Tregtisë Tiranë, vlera *75 000* lekë, trashëguar 
nga mamaja.
*16)* Bashkëshortja, gjendja e llogarisë depozitë në një bankë të nivelit 
të dytë, *40 953* euro.
*17)* Bashkëshortja, gjendja e llogarisë bankare në një bankë të nivelit të 
dytë *319 529* lekë.
*18)* Bashkëshortja, gjendja e llogarisë bankare në një bankë të nivelit të 
dytë 14 euro.
*19)* Bashkëshortja, gjendja e llogarisë bankare (e përbashkët me 
bashkëshortin) në një bankë të nivelit të dytë, *85 535* lekë.
*20)* Bashkëshortja, gjendja e llogarisë bankare në një bankë të nivelit të 
dytë, *2 851* lekë.
*21)* Bashkëshortja, gjendja e llogarisë bankare në një bankë të nivelit të 
dytë, 3 euro.
*22)* Bashkëshortja, gjendja e llogarisë bankare në një bankë të nivelit të 
dytë, *102 163* lekë.
*23)* Bashkëshortja, gjenda cash *32 500* euro.
*24)* Bashkëshortja, gjendja cash *700 000* lekë.</t>
  </si>
  <si>
    <t>*1)* Të ardhura nga paga dhe përfitimet e tjera financiare si deputet, *2 
963 229* lekë.
*2)* Të ardhura si pagesë kalimtare për detyrën si zëvendëskryetar nga 
09.09.2009 deri 09.09.2013, *386 400* lekë.</t>
  </si>
  <si>
    <t>*1)* Të ardhura qiraje nga pronat dhënë me qira për lloto, për periudhën 
01.01.2014 deri 31.03.2014, *108 000* lekë.
*2)* Të ardhura nga qiraja e pronës, *108 000* lekë.
*3)* Të ardhura nga qiraja e pronës, *162 000* lekë.
*4)* Të ardhura nga qiraja për vendosjen e një antene të telefonisë 
celulare, kontratë e lidhur më 01.09.2008, për 9 vjet, *450 000* lekë.
*5)* Të ardhura qiraje nga prona e vjetër, zyrë në oborrin e shtëpisë së 
vjetër, lënë nga babai e rivënë në punë, në proces legalizimi, 14m2, *216 
000* lekë.
*6)* Të ardhura qiraje nga prona në bashkëpronësi me xhaxhain, *108 000* 
lekë.</t>
  </si>
  <si>
    <t>*1)* Bashkëshortja, të ardhura nga paga si punonjëse e administratës në 
Univesitetin 'Aleksandër Xhuvani', Elbasan. *649 319* lekë.
*2)* Të ardhura nga mësimdhënia si pedagoge e jashtme në Universitetin 
'Aleksandër Xhuvani', Elbasan, *71 221* lekë.</t>
  </si>
  <si>
    <t>*1)* Tërheqje cash për parapagim, blerje trualli që do realizohet gjatë 
vitit 2015, *650 000* lekë.
*2)* Kreditim nga kompani siguracioni për makinën e shkatërruar në 
aksident, *840 000* lekë.</t>
  </si>
  <si>
    <t>Të ardhura nga paga, *2 647 014* lekë.</t>
  </si>
  <si>
    <t>Bashkëshortja, të ardhura nga paga, *234 432* lekë.</t>
  </si>
  <si>
    <t>*1)* Blerë në 2014 dhe pronar 100 % i një automjeti, vlera *30 000* euro.
*2)* Të ardhura nga shitja e një automjeti, vlera *25 000* euro.</t>
  </si>
  <si>
    <t>Të ardhura nga paga, *2 789 802* lekë.</t>
  </si>
  <si>
    <t>Bashkëshortja, të ardhura nga paga *504 687* lekë.</t>
  </si>
  <si>
    <t>*1)* Gjendja e llogarisë së pagës, në një bankë të nivelit të dytë, *1 427 
677* lekë.
*2)* Bashkëshortja, pakësimi në llogarinë e pagës, - *70 897* lekë.</t>
  </si>
  <si>
    <t>Të ardhura nga paga, *2 693 258* lekë.</t>
  </si>
  <si>
    <t>Kredi për strehim, detyrimi financiar i pashlyer *3 273 900* lekë.</t>
  </si>
  <si>
    <t>Të ardhura nga paga si deputet, *2 412 420* lekë.</t>
  </si>
  <si>
    <t>Të ardhura nga qiraja e një objekti dhënë kompanisë Vodafon, *57 456* 
euro.</t>
  </si>
  <si>
    <t>*1)* Kredi në një bankë të nivelit të dytë, *40 000* euro.
*2)* Të ardhura si dhuratë për dasmë, *1 000 000* lekë.
*3)* Kredi në një bankë të nivelit të dytë, likuiduar plotësisht.
*4)* Kredi bankare një bankë të nivelit të dytë, likuiduar plotësisht.
*5)* Shlyerje detyrimi për një kartë krediti në një bankë të nivelit të 
dytë, *4 065* euro.
*6)* Kredi në një bankë të nivelit të dytë, detyrimi financiar i pashlyer *38 
000* euro.</t>
  </si>
  <si>
    <t>*1)* Të ardhura nga paga dhe përfitime të tjera financiare si Deputet i 
Kuvendit të Shqipërisë *477 171* lekë.
*2)* Të ardhurat nga dietat e përfituara si Deputet i Kuvendit të 
Shqipërisë *206 936* lekë.
*3)* Kompensim për shpenzime transporti *91 020* lekë.</t>
  </si>
  <si>
    <t>*1)* Gjendje cash *550 000* lekë, e krijuar nga paga dhe përfitime të tjera 
financiare.</t>
  </si>
  <si>
    <t>Të ardhura nga paga si deputet, *2 153 100* lekë.</t>
  </si>
  <si>
    <t>Bashkëshortja, të ardhura nga paga si audituese në Kontrollin e Lartë të 
Shtetit, *841 800* lekë.</t>
  </si>
  <si>
    <t>*1)* Gjendja e llogarisë depozitë në një bankë të nivelit të dytë, *49 861* 
euro.
*2)* Gjendja e kursimeve vjetore, *1 300 000* lekë.
*3)* Bashkëshortja, pronare me 100 % e një are me sip. 3750 m2, si 
trashëgimi nga nëna.
*4)* Bashkëshortja, gjendja e llogarisë depozitë në një bankë të nivelit të 
dytë, *68 745* euro.
*5)* Vajza, gjendja e llogarisë bankare në një bankë në Londër, *3 700* 
paund, për shpenzime shkolle.</t>
  </si>
  <si>
    <t>Të ardhura nga paga si deputet, *2 229 989* lekë.</t>
  </si>
  <si>
    <t>*1)* Të ardhura nga interesat bankare, *273 489* lekë.
*2)* Të ardhura nga parapagimi i dividentit, *240 350* euro.</t>
  </si>
  <si>
    <t>Të ardhura nga qiratë, *12 654 642* lekë.</t>
  </si>
  <si>
    <t>Bashkëshortja, të ardhura nga paga si administratore e "UFO sh.p.k" dhe 
"UFO Security sh.p.k", *1 260 744* lekë.</t>
  </si>
  <si>
    <t>*1)* blere ne 25. 06. 2014, pronar me 100 % i një trualli me sip. 33 m2 dhe 
ndërtese me sip. 22.50 m2, në Fier, vlera *33 300* euro.
*2)* blere ne 25. 06. 2014 dhe Pronar me 100 % i një ap. me sip. 141 m2, në 
Fier, vlera *44 255* euro.
*3)* blerë më 25. 06. 2014 Pronar me 100 % i një ap. me sip. 49 m2, në 
lagjen "Kastriot", Fier, vlera *33 300* euro.
*4)* Blere më 25. 06. 2014 Pronar në regjim martesor, ap. me sip. 50.70 m2 
në lagjen "Kastriot", Fier, vlera *17 745* euro.
*5)* Fituar ne datën 23. 05. 2014 më kontrata shkëmbimi dhe pronar me 100 % 
i një ap. me sip. 71.5 m2, Tiranë, vlera *14 000 000* lekë.
*6)* Marrë në pronësi 2.36 % të aksioneve në shoqërinë "Stamles", vlera e 
aksioneve *67 343* euro.
*7)* blerë me datë 29. 08. 2014 një automjeti "Land Rover", vlera *88 000* 
euro.
*8)* Gjendja e llogarive bankare, në banka të nivelit të dytë, *18 677 270* 
lekë.
*9)* Gjendja cash, *5 000* euro.
*10)* Bashkëshortja, blerë më 25. 06. *2014 50* % e një ap. me sip. 50.70 
m2 blerë nga bashkëshorti.
*11)* Bashkëshortja, gjendja cash *8 426* dollarë, marrë si dhuratë me të 
dhëna konfidenciale.</t>
  </si>
  <si>
    <t>Të ardhura nga paga dhe përfitimet e tjera financiare si deputet, *2 607 
193* lekë.</t>
  </si>
  <si>
    <t>Të ardhura nga interesat bankare, *3 800* lekë.</t>
  </si>
  <si>
    <t>Të ardhura nga qiraja, *21 600* euro.</t>
  </si>
  <si>
    <t>*1)* Djali, të ardhura nga paga në "ANTA sh.a", *1 696 769* lekë.
*2)* Bashkëshortja, të ardhura nga aktiviteti privat për tregtimin me 
pakice të artikujve industrialë, *2 900 000* lekë.</t>
  </si>
  <si>
    <t>Të ardhura nga paga dhe përfitime të tjera financiare si deputet, *2 736 
603* lekë.</t>
  </si>
  <si>
    <t>*1)* Të ardhura nga interesat e depozitës në bono thesari, *146 708* lekë.
*2)* Të ardhura nga interesat e depozitës së kursimit, *87 000* lekë.</t>
  </si>
  <si>
    <t>*1)* Të ardhura nga qiraja e një ambienti në Klos, *240 000* lekë.
*2)* Të ardhura nga qiraja e një shtëpie në Tiranë, *360 000* lekë.</t>
  </si>
  <si>
    <t>*1)* Bashkëshortja, të ardhura nga paga si asistente ligjore në shoqërinë 
Euro-Alba-EA shpk, *60 000* lekë.
*2)* Bashkëshortja, të ardhura nga paga si administratore e shoqërisë 
IRARBA-ENERGJI shpk, *319 680* lekë.</t>
  </si>
  <si>
    <t>*1)* Kursime cash, nga paga dhe qiratë, *1 950 000* lekë.
*2)* shtesë pasurie një automjet "Ford Everest", *14 000* euro.
*3)* Gjendja cash pas tërheqjes nga një llogari bankare, *2 000 000* lekë.</t>
  </si>
  <si>
    <t>Të ardhura nga paga ai deputet, *2 112 039* lekë.</t>
  </si>
  <si>
    <t>Të ardhura nga interesat bankare, *65 106* lekë.</t>
  </si>
  <si>
    <t>*1)* Bashkëshortja, të ardhura nga puna pranë Spitalit të Traumës, Tiranë, *522 
516* lekë.
*2)* Djali, të ardhura nga puna pranë Spitalit Amerikan, *415 976* lekë.
*3)* Djali, të ardhura nga puna pranë Spitalit të Traumës, Tiranë, *89 970* 
lekë.</t>
  </si>
  <si>
    <t>Kredi në një bankë të nivelit të dytë, marrë në emër të djalit, detyrimi 
financiar i papaguar *28 097* euro, principali *30 000* euro, norma e 
interesit 4 %.</t>
  </si>
  <si>
    <t>Të ardhura nga paga si deputet, *2 506 545* lekë.</t>
  </si>
  <si>
    <t>Të ardhura nga interesat bankare, *2 044 349* lekë.</t>
  </si>
  <si>
    <t>*1)* Të ardhura nga libri, "Shqipëria", nga Fondacioni për Liri Ekonomike, *1 
400 000* lekë.
*2)* Të ardhura nga pagesa për të drejtën e autorit për botimin e librit 
"Hëna e Shqipërisë" nga UET, *3 600 000* lekë.
*3)* Të ardhura nga pagesa e çmimit Evropian për Literaturë, *5 000* euro.</t>
  </si>
  <si>
    <t>Bashkëshortja, të ardhura nga puna si notere *1 868 203* lekë.</t>
  </si>
  <si>
    <t>*1)* Gjendja në llogarinë bankare në një bankë të nivelit të dytë, *273 736* 
lekë.
*2)* Gjendja e llogarisë depozitë në një bankë të nivelit të dytë, pakësuar 
me - *26 102 800* lekë.
*3)* Gjendja e obligacionit, *29 000 000* lekë.
*4)* Gjendja e llogarisë depozitë në një bankë të nivelit të dytë, *37 057* 
euro.
*5)* Gjendja e llogarisë bankare në një bankë të nivelit të dytë, *7 634* 
euro.
*6)* Gjendja e llogarisë bankare në një bankë të nivelit të dytë, *4 990* 
euro.
*7)* Gjendja e llogarisë bankare në një bankë të nivelit të dytë, 27 
dollarë.
*8)* Gjendja e llogarisë bankare në një bankë të nivelit të dytë, *1 845 
271* lekë.
*9)* Kredi në një bankë të nivelit të dytë, detyrimi financiar i pashlyer *2 
589 796* lekë, marrë në vitin 2001 me VKM, interesi 1 %.
*10)* Bashkëshortja, kredi në një bankë të nivelit të dytë, detyrimi 
financiar i pashlyer *906 903* lekë, marrë më 2014, me afat 4-vjeçar, normë 
interesi 16 %.</t>
  </si>
  <si>
    <t>*1)* Të ardhura nga paga dhe shpërblimet si deputet, *2 569 000* lekë.
*2)* Të ardhura nga shpërblimet nga puna si pedagog i jashtëm në Fakultetin 
e Shkencave të Natyrës në Universitetin e Tiranës, *125 000* lekë.
*3)* Të ardhura nga shpërblimet nga puna si pedagog i jashtëm, në 
Universitetin "Zonja e Këshillit të Mirë", Tiranë, *2 140* euro.</t>
  </si>
  <si>
    <t>*1)* Bashkëshortja, të ardhura nga paga dhe shpërblimet nga puna si 
pedagoge në Universitetin Politeknik të Tiranës, si pedagoge e jashtme në 
Universitetin "Marlin Barleti" dhe si konsulente e kompanisë ALBAVIA shpk, *1 
471 000* lekë.
*2)* Bashkëshortja, të ardhura nga shpërblimet dhe dietat për ekspertizën 
afatshkurtër në kuadër të projektit "Harmonizimi i procedurave të 
prokurimit publik në Ukrainë me standardet e BE-së", *5 990* euro.</t>
  </si>
  <si>
    <t>*1)* Gjendja e llogarisë bankare në një bankë të nivelit të dytë, shtuar me *180 
000* lekë.
*2)* Gjendja e llogarisë bankare në një bankë të nivelit të dytë, pakësuar 
me *42 000* lekë, pjesa takuese 50 %.
*3)* Gjendja e llogarisë bankare në një bankë të nivelit të sytë, shtuar me *6 
180* euro.
*4)* Gjendja e llogarisë bankare në një bankë të nivelit të dytë, shtuar me *16 
000* lekë.
*5)* Gjendja e llogarisë bankare në një bankë të nivelit të dytë, shtuar me 
120 euro, pjesa takuese 50 %.
*6)* Kredi bankare në një bankë të nivelit të dytë, detyrimi financiar i 
pashlyer *2 301 000* lekë, principali *5 000 000* lekë, marrë më 2006 me 
afat 14-vjeçar, normë interesi 3%.</t>
  </si>
  <si>
    <t>Paga si Ambasador i Ministrisë së Punëve të Jashtme në vlerën *24 836* euro.</t>
  </si>
  <si>
    <t>*1)* Interesa bankare në vlerën 600 lekë nga llogari bankare në bankë të 
nivelit të dytë.
*2)* Interesa bankare në vlerën 600 lekë nga llogari bankare në bankë të 
nivelit të dytë.
*3)* Interesa bankare në vlerën *1 480* euro nga llogari bankare në valutë.</t>
  </si>
  <si>
    <t>Detyrime të papaguara në vlerën *2 000 000* lekë për një kredi në bankë të 
nivelit të dytë marrë më 28.06.2002 me principal *5 000 000* lekë, pjesë e 
regjimit martesor.</t>
  </si>
  <si>
    <t>Paga si Ambasador i Republikës së Shqipërisë në Danimarkë në vlerën *25 584* 
euro.</t>
  </si>
  <si>
    <t>Detyrime të papaguara në vlerën *3 098 187* lekë për një kredi për blerje 
apartamenti në bankë të nivelit të dytë marrë më 21.10.2005 me principal *5 
000 000* lekë, interes 3% dhe afat maturimi 240 muaj.</t>
  </si>
  <si>
    <t>Paga si Ambasador i Republikës së Shqipërisë në NATO në vlerën *24 852* 
euro.</t>
  </si>
  <si>
    <t>Dieta në vlerën *2 500* euro.</t>
  </si>
  <si>
    <t>Bashkëshortja zonja Ermira Kuko paga nga puna në Universitetin e Brukselit 
në vlerën *25 000* euro.</t>
  </si>
  <si>
    <t>*1)* Detyrime të papaguara në vlerën *205 524* euro për një kredi për 
blerje apartamenti me principal *180 000* euro, interes 3.784% dhe afat 
shlyerje 15 vjet, pjesë e regjimit martesor.
*2)* Detyrime të papaguara në vlerën *17 000* euro për një borxh pa interes 
prej *20 000* euro marrë prindërve të bashkëshortes, përkatësisht Z. 
Dhimitri Samara dhe Znj. Iliana Samara.</t>
  </si>
  <si>
    <t>Paga si Ambasador në Emiratet e Bashkuara Arabe në vlerën *29 271* dollar.</t>
  </si>
  <si>
    <t>Dieta nga udhëtimet brenda dhe jashtë vendit në vlerën *3 046* dollar.</t>
  </si>
  <si>
    <t>Qira banese në vlerën *360 000* lekë.</t>
  </si>
  <si>
    <t>Bashkëshortja paga si Financiere në Ambasadën Shqiptare në Emiratet e 
Bashkuara Arabe në vlerën *3 618* dollar.</t>
  </si>
  <si>
    <t>*1)* Detyrime të papaguara në vlerën *8 400* euro për studime universitare 
në Spanjë të vajzës.
*2)* Detyrime të papaguara në vlerën *5 400* euro si pagesë për konviktin 
gjatë studimeve të vajzës në Spanjë.</t>
  </si>
  <si>
    <t>Paga si Ambasadore në UNESCO në vlerën *22 284* euro.</t>
  </si>
  <si>
    <t>Paga si Ambasador në Japoni në vlerën *30 276* dollar.</t>
  </si>
  <si>
    <t>Paga neto si Ambasador në Greqi në vlerën *24 801* euro.</t>
  </si>
  <si>
    <t>*1)* Interesa bankare në vlerën 92 euro nga llogari bankare në bankë të 
nivelit të dytë.
*2)* Interesa bankare në vlerën 88 euro nga llogari bankare në bankë të 
nivelit të dytë.</t>
  </si>
  <si>
    <t>*1)* Para të tërhequra nga depozita e krijuar prej 1/3 së trashëgimisë nga 
babai zoti Filip Kota në vlerën *156 673* lekë.
*2)* Para të tërhequra nga depozita e krijuar prej 1/3 së trashëgimisë nga 
babai zoti Filip Kota në vlerën *200 000* lekë.</t>
  </si>
  <si>
    <t>*1)* Bashkëshortja zonja Elvira Dervishi të ardhura neto nga pensioni në 
vlerën *326 568* lekë.
*2)* Djali zoti Eldi Dervishi të ardhura si student kontrollor në Agjencinë 
Nacionale të Trafikut Ajror në vlerën *1 670 365* lekë.</t>
  </si>
  <si>
    <t>Paga në Bashkimin Europian në vlerën *266 938* lekë.</t>
  </si>
  <si>
    <t>Të ardhura nga anëtarësia në Bordin e Fondacionit Soros në vlerën *30 000* 
lekë.</t>
  </si>
  <si>
    <t>*1)*Bashkëshortja zonja Luena Tolica të ardhura në vlerën *130 000* lekë.
*2)* Bashkëshortja zonja Luena Tolica të ardhura nga shitja e apartamentit 
të trashëguar nga tezja në vlerën *60 000* euro.</t>
  </si>
  <si>
    <t>Paga si Ambasador në Portugali në vlerën *25 128* euro.</t>
  </si>
  <si>
    <t>*1)* Qira në vlerën *36 000* euro për dy dyqane në Greqi, përfituar me 
trashëgimi.
*2)* Qira në vlerën *60 000* euro për një ap. banimi në Greqi, përfituar me 
trashëgimi nga familja.
*3)* Qira në vlerën *60 000* euro për një ap. banimi në Greqi, përfituar me 
trashëgimi nga familja.
*4)* Qira në vlerën *60 000* euro për tre ap. banimi në Greqi, përfituar me 
trashëgimi nga familja.</t>
  </si>
  <si>
    <t>*1)*Bashkëshortja zonja Iris Trako paga bruto si Sekretare Teknike Part 
-Time pranë Ambasadës Portugaleze në vlerën *3 360* euro.
*2)*Bashkëshortja zonja Iris Trako para të depozituara në vlerën *142 061* 
euro pas shitjes së një terreni në Greqi pjesë e trashëgimisë.</t>
  </si>
  <si>
    <t>Detyrime të papaguara në vlerën *2 000* euro si pagesë e mbetur e një kuote 
ndaj firmës Beta shpk për një garazh dhe depo të papërfunduar në Tiranë.</t>
  </si>
  <si>
    <t>*1)* Paga neto si Drejtor i Protokollit të Shtetit në vlerën *829 244* lekë.
*2)* Paga dhe shpërblime si Konsull i Përgjithshëm i Republikës së 
Shqipërisë në Itali në vlerën *2 963* euro.</t>
  </si>
  <si>
    <t>Qira banese në vlerën *2 800* dollar, pjesë e regjimit martesor.</t>
  </si>
  <si>
    <t>Bashkëshortja zonja Ani Hasanaj paga si Presidente e Shkollës Jopublike 
The Independent College në vlerën *951 672* lekë.</t>
  </si>
  <si>
    <t>*1)* Detyrime të papaguara në vlerën *515 458* lekë për një kredi për arsye 
personale marrë më 07.09.2011 me principal *1 000 000* lekë dhe këst mujor *28 
289* lekë.
*2)* Detyrime të papaguara në vlerën *95 836* lekë për një overdraft marrë 
më 23.08.2013 në shumën *100 000* lekë.
*3)* Detyrime të papaguara në vlerën *97 277* për një overdraft marrë më 
20.09.2012 në shumën *90 000* lekë.</t>
  </si>
  <si>
    <t>Paga si Konsull i Përgjithshëm i Republikës së Shqipërisë në Turqi në 
vlerën *20 145* euro.</t>
  </si>
  <si>
    <t>Interesa në vlerën 490 euro prej maturimit të depozitës së kursimeve.</t>
  </si>
  <si>
    <t>*1)* Bashkëshortja zonja Alma Muça paga si Staf Teknik në Konsullatë në 
vlerën *5 616* euro.
*2)* Bashkëshortja zonja Alma Muça dhuratë nga babai para në vlerën *1 623 
520* lekë.
*3)* Bashkëshortja zonja Alma Muça paga si Konsulente Teknike Farmaceutike 
pranë Farma-Vlora shpk në vlerën *300 000* lekë.</t>
  </si>
  <si>
    <t>Paga si Ambasador i Republikës së Shqipërisë në Indi në vlerën *29 284* 
dollar.</t>
  </si>
  <si>
    <t>*1)* Interesa bankare në vlerën 123 euro nga depozita në valutë.
*2)* Interesa bankare në vlerën 540 euro nga depozita në valutë.
*3)* Interesa bankare në vlerën *6 587* lekë nga depozita në bankë të 
nivelit të dytë.
*4)* Interesa bankare në vlerën *103 664* lekë nga depozita në bankë të 
nivelit të dytë.</t>
  </si>
  <si>
    <t>*1)* Zonja Zhuljeta Kerciku (Lolaj) paga si menaxhere zyre në kompaninë 
Europartner Consulting në vlerën *1 556 719* lekë.
*2)* Zonja Zhuljeta Kerciku (Lolaj) paga si këshilltare ligjore pranë 
shoqërisë Ndreka në vlerën *2 200 000* lekë.</t>
  </si>
  <si>
    <t>*1)* Kthim i pjesës së borxhit në vlerën *11 000* euro nga i vëllai zoti 
Arben Kerciku.
*2)* Shitje veture tip Mercedes Benz në vlerën *5 000* euro.</t>
  </si>
  <si>
    <t>Paga si Ambasador i Republikës së Shqipërisë në OKB në vlerën *30 442* 
dollar.</t>
  </si>
  <si>
    <t>Bashkëshortja të ardhura nga mësimdhënia në vlerën *10 800* dollar.</t>
  </si>
  <si>
    <t>Paga si Ambasadore në vlerën *25 536* euro.</t>
  </si>
  <si>
    <t>Qira shtëpie në vlerën *100 000* lekë.</t>
  </si>
  <si>
    <t>*1)* Bashkëshorti zoti Astrit Kodra paga në vlerën *40 000* dollar.
*2)* E ëma zonja Elpiniqi Braco pension pleqërie në vlerën *271 572* lekë.</t>
  </si>
  <si>
    <t>*1)* Detyrime të papaguara në vlerën *277 149* lekë për një kredi në bankë 
të nivelit të dytë më maturim në vitin 2015.
*2)* Detyrime të papaguara në vlerën *408 807* lekë për një kredi për 
blerje pajisjesh shtëpiake marrë më 20.01.2012 në bankë të nivelit të dytë, 
më afat maturimi 4 vjet.</t>
  </si>
  <si>
    <t>Paga si Ambasador i Republikës së Shqipërisë në Bosnje Hercegovinë në 
vlerën *23 988* euro.</t>
  </si>
  <si>
    <t>Qira në vlerën 800 euro nga toka në pronësi në Kosovë, e cila shfrytëzohet 
nga familja.</t>
  </si>
  <si>
    <t>Paga si Ambasador i Republikës së Shqipërisë në Pragë në vlerën *29 532* 
euro.</t>
  </si>
  <si>
    <t>Bashkëshortja zonja Matilda Pecani paga pranë Albcontrol në vlerën *2 101 
902* lekë.</t>
  </si>
  <si>
    <t>*1)* Paga si Ambasador i Republikës së Shqipërisë në Turqi në vlerën *20 
000* euro.
*2)* Të ardhura nga mësimdhënia në universitet dhe nga përkthimet në vlerën *1 
000 000* lekë.</t>
  </si>
  <si>
    <t>Bashkëshortja paga në vlerën *900 000* lekë.</t>
  </si>
  <si>
    <t>Hua dhënë miqve dhe familjarëve në vlerën *25 000* euro.</t>
  </si>
  <si>
    <t>Paga si Ambasador i Republikës së Shqipërisë në SHBA në vlerën *29 928* 
dollar.</t>
  </si>
  <si>
    <t>Bashkëshortja zonja Etleva Galanxhi paga në vlerën *4 320* dollar.</t>
  </si>
  <si>
    <t>Paga si Ambasador i Republikës së Shqipërisë në Kuala Lumpur në vlerën *22 
524* dollar.</t>
  </si>
  <si>
    <t>Bashkëshortja zonja Lavdie Konjari paga në vlerën *900 000* lekë.</t>
  </si>
  <si>
    <t>*1)* Detyrime të papaguara në vlerën *2 716 000* lekë për një kredi bankare 
pa interes në bankë të nivelit të dytë marrë më 15.01.2010, me principal *3 
136 000* lek, afat maturimi 30 vjet dhe këst mujor *8 711* lekë.
*2)* Detyrime të papaguara në vlerën *15 468* euro për një kredi bankare në 
bankë të nivelit të dytë marrë më 07.01.2010, me principal *25 000* euro 
dhe afat maturimi 10 vjet.</t>
  </si>
  <si>
    <t>Paga pranë Kuvendit të Shqipërisë në vlerën *1 901 226* lekë.</t>
  </si>
  <si>
    <t>Bashkëshortja zonja Alma Gjoni paga në PNUD në vlerën *2 938 833* lekë.</t>
  </si>
  <si>
    <t>Paga dhe shpërblime si Ambasador i Republikës së Shqipërisë në Belgjikë në 
vlerën *24 801* euro.</t>
  </si>
  <si>
    <t>Bashkëshortja zonja Marsela Tepelena (Xhangolli) paga si Sekretare në NATO 
në vlerën *11 450* euro.</t>
  </si>
  <si>
    <t>Paga si Ambasador i Republikës së Shqipërisë në Madrid në vlerën *25 128* 
euro.</t>
  </si>
  <si>
    <t>Dieta e shërbime në vlerën 725 euro.</t>
  </si>
  <si>
    <t>*1)* Qira shtëpie në vlerën *240 000* lekë.
*2)* Qira shtëpie në vlerën *300 000* lekë.</t>
  </si>
  <si>
    <t>*1)* Djali zoti Besart Robo paga si Inxhinier Elektrik pranë Petrofac 
Engineering Ltd në vlerën *65 000* sterlina britanike.
*2)* Djali zoti Besart Robo të ardhura nga qira ambient banimi në vlerën *8 
400* sterlina britanike.
*3)* Djali zoti Besart Robo dieta në vlerën *1 750* sterlina britanike.</t>
  </si>
  <si>
    <t>Djali zoti Besart Robo detyrime të papaguara në vlerën *83 346* sterlina 
britanike për një kredi për blerjen e një apartamenti banimi.</t>
  </si>
  <si>
    <t>*1)* Paga si Ambasador i Republikës së Shqipërisë në Kuvajt në vlerën *24 
380* dollar.
*2)* Paga si Përgjegjës i Sektorit të Përkthimit në Ministrinë e Punëve të 
Jashtme në vlerën *170 000* lekë.</t>
  </si>
  <si>
    <t>*1)* Nëna zonja Raze Morina pension pleqërie në vlerën *141 600* lekë.
*2)* Vëllai zoti Arian Morina paga si Specialist finance pranë Kastriti 
në vlerën *540 000* lekë.</t>
  </si>
  <si>
    <t>Paga, dieta dhe shpërblime si Ambasador i Republikës së Shqipërisë në Pekin 
në vlerën *30 300* dollar.</t>
  </si>
  <si>
    <t>*1)* Djali zoti Glendi Xhani paga nga mësimdhënia në vlerën *79 595* jen.
*2)* Djali zoti Klodian Xhani paga nga mësimdhënia në vlerën *35 000* jen.</t>
  </si>
  <si>
    <t>*1)* Detyrime të papaguara në vlerën *2 637 905* lekë për një kredi për 
strehim marrë në shtator 2006 në bankë të nivelit të dytë me principal *5 
000 000* lekë, afat maturimi 14 vjet dhe interes 3%.
*2)* Detyrime të papaguara në vlerën *8 855* euro si pagesë kësti për 
blerje apartamenti.</t>
  </si>
  <si>
    <t>Paga si Deputet në vlerën *1 761 669* lekë.</t>
  </si>
  <si>
    <t>Bashkëshortja zonja Pranvera Komani paga si Shefe Sektori në Ministrinë e 
Arsimit dhe Shkencës në vlerën *87 394* lekë.</t>
  </si>
  <si>
    <t>Detyrime të papaguara në vlerën *2 781 202* lekë për një kredi bankare për 
blerje banese.</t>
  </si>
  <si>
    <t>Paga dhe shpërblime si Ambasador i Republikës së Shqipërisë në Mbretërinë e 
Bashkuar në vlerën *28 654* euro.</t>
  </si>
  <si>
    <t>*1)* Djali zoti Erion Berisha të ardhura nga kompania në pronësi American 
Global Consulting shpk në vlerën *3 816 878* lekë.
*2)* Djali zoti Erion Berisha të ardhura nga kompania në pronësi AGC Retail 
shpk në vlerën *7 625 522* lekë.
*3)* Djali zoti Erion Berisha të ardhura si konsulent i projektit Speedy 
pranë AKPT në vlerën *1 762 664* lekë.</t>
  </si>
  <si>
    <t>*1)* Djali zoti Erion Berisha detyrime të papaguara në vlerën *121 700* 
euro për një kredi marrë në bankë të nivelit të dytë me principal *300 000* 
euro./
*2)* Djali zoti Erion Berisha detyrime të papaguara në vlerën *38 550* euro 
për një overdraft marrë në bankë të nivelit të dytë më principal *50 000* 
euro./
*3)* Të ardhura nga pensioni OKB në vlerën *9 600* dollar.</t>
  </si>
  <si>
    <t>*1)* Detyrime të papaguara në vlerën *4 500* euro ndaj një banke të nivelit 
të dytë.
*2)* Detyrime të papaguara në vlerën *1 850 000* lekë për një kredi në 
bankë të nivelit të dytë me afat shlyerje 25 vjet.</t>
  </si>
  <si>
    <t>Paga si Ambasador i Republikës së Shqipërisë në Hungari në vlerën *24 816* 
euro.</t>
  </si>
  <si>
    <t>*1)* Të ardhura nga shtëpia botuese Dita 2000 në vlerën 20% të shitjeve 
vjetore.
*2)* Të ardhura si autore e tekstit të historisë në vlerën *100 000* lekë.</t>
  </si>
  <si>
    <t>Detyrime të papaguara në vlerën *40 000* euro për një hua marrë nga zonja 
Aishe Hajredini.</t>
  </si>
  <si>
    <t>*1)* Paga si Ambasador i Republikës së Shqipërisë në Itali në vlerën *19 
000* euro.
*2)* Paga në vlerën *269 000* lekë.</t>
  </si>
  <si>
    <t>*1)* Qira në vlerën *160 000* lekë për një apartament në Tiranë.
*2)* Qira në vlerën *480 000* lekë për një apartament në Tiranë.</t>
  </si>
  <si>
    <t>*1)* Bashkëshortja zonja Angjelika Ceka të ardhura nga aktiviteti privat me 
shtëpinë botuese Migjeni në vlerën *1 836 100* lekë.
*2)* Bashkëshortja zonja Angjelika Ceka të ardhura nga aksionet pranë 
Albinvest në vlerën *100 000* lekë.
*3)* Vajza zonja Olgita Ceka paga si arkeologe në Qendrën e Studimeve 
Albanologjike në vlerën *726 000* lekë
*4)* Djali zoti Egin Ceka paga si Sekretar i Ambasadës së Shqipërisë në 
Vjenë në vlerën *6 160* euro.
*5)* Bashkëshortja e djalit zonja Maide Ceka paga si punonjëse në Ambasadën 
Kanadeze në Vjenë në vlerën *19 360* euro.
*6)* Djali zoti Egin Ceka bursa studimore në vlerën *2 400* euro.</t>
  </si>
  <si>
    <t>Paga si Ambasador i Republikës së Shqipërisë në Egjipt në vlerën *29 000* 
dollar.</t>
  </si>
  <si>
    <t>Qira në vlerën *6 000* euro.</t>
  </si>
  <si>
    <t>Paga si Ambasador i Republikës së Shqipërisë në Kroaci në vlerën *23 820* 
euro.</t>
  </si>
  <si>
    <t>Të ardhura nga botimi i librit në vlerën 670 euro.</t>
  </si>
  <si>
    <t>*1)* Paga dhe shpërblime si Deputet në vlerën *1 839 037* lekë.
*2)* Paga si Ambasador i Republikës së Shqipërisë në Kroaci në vlerën *400 
000* lekë.</t>
  </si>
  <si>
    <t>Bashkëshortja zonja Luljeta Minxhozi paga si Dekane në Universitetin 
Europian të Tiranës në vlerën *37 000* euro.</t>
  </si>
  <si>
    <t>Detyrime të papaguara në vlerën *3 070 000* lekë për një kredi marrë në 
vitin 2012 në bankë të nivelit të dytë për rikonstruksion shtëpie me këst 
mujor *28 000* lekë.</t>
  </si>
  <si>
    <t>Paga si Konsull i Përgjithshëm i Republikës së Shqipërisë në Greqi në 
vlerën *19 500* euro.</t>
  </si>
  <si>
    <t>Qira ambienti në vlerën *120 000* lekë.</t>
  </si>
  <si>
    <t>*1)* Bashkëshortja zonja Ilda Poda paga si Operatore pranë Konsullatës së 
Republikës së Shqipërisë në Greqi në vlerën *3 600* euro.
*2)* Djali zoti Endrit Poda paga si Asistent Prof. Doktorant pranë 
Universitetit të Vienës në vlerën *66 067* franga zvicerane.</t>
  </si>
  <si>
    <t>Shitje veture tip Wolkswagen Tuareg në vlerën *13 000* euro.</t>
  </si>
  <si>
    <t>Detyrime të papaguara në vlerën *2 343 646* lekë për një kredi marrë në 
vitin 2005 në bankë të nivelit të dytë për blerje banese.</t>
  </si>
  <si>
    <t>*1)* Honorare nga mësimdhënia në Universitetin Mesdhetar në vlerën *200 000* 
lekë.
*2)* Honorare nga mësimdhënia në Universitetin Kristal në vlerën *68 000* 
lekë.
*3)* Paga si Drejtor i Departamentit të Marrëdhënieve me Jashtë të Partisë 
Socialiste në vlerën *810 000* lekë.</t>
  </si>
  <si>
    <t>*1)* Bashkëshortja zonja Mimoza Bimo paga në vlerën *480 000* lekë.
*2)* Djali zoti Florian Bimo paga në vlerën *720 000* lekë.
*3)* Djali zoti Andi Bimo paga në vlerën *33 100* euro.</t>
  </si>
  <si>
    <t>*1)* Paga si Drejtor i Drejtorisë Konsullore në Arabinë Saudite në vlerën *299 
691* lekë.
*2)* Paga si i Ngarkuar me Punë në Ambasadën e Republikës së Shqipërisë në 
Arabinë Saudite në vlerën *13 635* dollar.</t>
  </si>
  <si>
    <t>Detyrime të papaguara në vlerën *4 916 530* lekë për një kredi për të 
pastrehë me normë interesi 4%.</t>
  </si>
  <si>
    <t>Paga e shpërblime si Ambasador i Republikës së Shqipërisë në Rumani në 
vlerën *24 000* euro.</t>
  </si>
  <si>
    <t>Qira apartamenti banimi në vlerën *108 000* lekë.</t>
  </si>
  <si>
    <t>Djali zoti Orlen Shiba paga pranë kompanisë Daimler Trucks North America 
LLC në vlerën *4 667* dollar.</t>
  </si>
  <si>
    <t>Paga neto si Drejtore për Rajonin e Ballkanit në vlerën *1 196 714* lekë.</t>
  </si>
  <si>
    <t>*1)* Bashkëshorti pension në vlerën *386 681* lekë.
*2)* Vajza paga neto pranë Raiffeisen Bank në Vienë në vlerën *35 014* euro.</t>
  </si>
  <si>
    <t>Paga dhe dieta si Ambasador i Republikës së Shqipërisë në Federatën Ruse në 
vlerën *30 000* euro.</t>
  </si>
  <si>
    <t>*1)* Interesa bankare në vlerën *330 000* lekë nga tre depozitë në bankë të 
nivelit të dytë.
*2)* Interesa bankare në vlerën *1 500* euro nga dy depozita në valutë.
*3)* Interesa bankare në vlerën 530 dollar nga depozitë bankare në valutë.</t>
  </si>
  <si>
    <t>Qira lokali në Tiranë në vlerën *1 200 000* lekë.</t>
  </si>
  <si>
    <t>Paga si Ambasador i Republikës së Shqipërisë në Vjenë, Austri në vlerën *26 
400* euro.</t>
  </si>
  <si>
    <t>*1)* Interesa bankare në vlerën *540 084* lekë nga depozita në formë 
obligacionesh me afat dy vjeçar, shumë *6 000 000* lekë dhe interes 10%.
*2)* Interesa bankare në vlerën 145 euro nga depozita një vjeçare në valutë 
të huaj në shumën *10 000* euro dhe interes 2.8%.</t>
  </si>
  <si>
    <t>*1)* Bashkëshortja zonja Dolores Koçi paga si asistente e projektit EU IPA 
2010 në vlerën *2 160 000* lekë.
*2)* Bashkëshortja zonja Dolores Koçi paga si drejtuese projekti pranë 
Eptisa See në vlerën *18 000* euro.</t>
  </si>
  <si>
    <t>Detyrime të papaguara në vlerën *40 495* euro për një kredi në bankë të 
nivelit të dytë me interes 6.9% dhe këst mujor 300 euro.</t>
  </si>
  <si>
    <t>Paga si Ambasador i Republikës së Shqipërisë në Brazil në vlerën *29 856* 
dollar.</t>
  </si>
  <si>
    <t>Bashkëshorti zoti Vladimir Gjonaj paga në vlerën *3 240* dollar.</t>
  </si>
  <si>
    <t>Interesa bankare në vlerën 105 dollar.</t>
  </si>
  <si>
    <t>*1)* Bashkëshortja zonja Anila Beci fituar me trashëgimi prej prindërve 
vlerën *430 639* lekë./
*2)* Bashkëshortja zonja Anila Beci fituar me trashëgimi prej prindërve 
vlerën 542 euro./
*3)* Bashkëshortja zonja Anila Beci paga nga mësimdhënia në vlerën *104 883* 
lekë./
*4)* Bashkëshortja zonja Anila Beci fituar me trashëgimi prej prindërve 
vlerën *249 135* lekë./
*5)* Bashkëshortja zonja Anila Beci fituar me trashëgimi prej prindërve 
vlerën *3 945* euro./
*6)* Bashkëshortja zonja Anila Beci fituar me trashëgimi prej prindërve 
vlerën 293 dollar.</t>
  </si>
  <si>
    <t>Rimburësime shëndetësore në vlerën *5 531* lekë.</t>
  </si>
  <si>
    <t>Paga si Ambasador i Republikës së Shqipërisë në Gjermani në vlerën *29 892* 
euro.</t>
  </si>
  <si>
    <t>Përfitime si i përndjekur politikë nga Ministria Financave në vlerën *50 
000* lekë.</t>
  </si>
  <si>
    <t>Të ardhura nga Kuvendi i Shqipërisë, *2 400 000* lekë.</t>
  </si>
  <si>
    <t>*1)* Të ardhurat nga pensionet e prindërve, *360 000* lekë.
*2)* Bashkëshortja, të ardhura nga paga në kompaninë private Leonard&amp;Junior 
shpk si administratore e kësaj kompanie, *600 000* lekë.</t>
  </si>
  <si>
    <t>*1)* Pronar me 100 % i ndërtesës së ish-hotel Pensioni, në rrugën e 
Durrësit, me vlerë *6 000 000* euro.
*2)* Pronar me 100 % i një autoveturë tip Mercedez Benz 320 CDI 4 Matik, me 
vlerë *18 000* euro.
*3)* Pronar me 100 % i një autoveture Audi e 2007, me vlerë *900 000* lekë.
*4)* Pronar i një autoveturë Audi e 2001, me vlerë *5 000* euro.
*5)* Shpenzime për rikonstruksionin e godinës Leonard&amp;Junior shpk, *40 000 
000* lekë.</t>
  </si>
  <si>
    <t>Të ardhura nga paga si deputet, *1 873 849* lekë.</t>
  </si>
  <si>
    <t>*1)* Të ardhura nga dhënia me qira, Australia, *15 600* euro.
*2)* Të ardhura nga qiraja, 500 euro.</t>
  </si>
  <si>
    <t>*1)* Të ardhura nga shpërndarja e fitimit nga shoqëria ÄLDOSCH shpk, *25 
458 267* lekë.
*2)* Të ardhura nga revokim kontrate nga shoqëria EGS, *160 293* euro.</t>
  </si>
  <si>
    <t>Bashkëshortja, të ardhura nga paga *4 521 089* lekë.</t>
  </si>
  <si>
    <t>*1)* Pronar me 50 % i në një ndërtese dhe trualli në Tiranë, blerë *3 500 
000* lekë.
*2)* Pronar me 50 % i një trualli në Tiranë, blerë *300 000* euro.
*3)* Pronar me 100 % i një ap. në Tiranë, blerë *11 652 480* lekë.
*4)* Pronar me 100 % i një ap. në Durrës, për të cilin ka një kontratë 
premtim shitje në vlerën *4 200 000* lekë.
*5)* Pronar me 100 % i një ap. në Durrës për të cilin ka një kontratë 
premtim shitje në vlerën *2 240 00* lekë.
*6)* Pronar me 100 % i një ap. në Durrës për të cilin ka një kontratë 
premtim shitje në vlerën *39 000* euro.
*7)* Pronar me 100 % i një ap. blerë *8 927 600* lekë.
*8)* Pronar me 100 % i një ap. + garazh, vlera *308 000 000* lekë, blerë me 
shkëmbim.
*9)* Pronar me 100 % i një ap. + garazh, vlera *100 800 000* lekë, blerë me 
shkëmbim.
*10)* Pronar me 50 % i një ndërtese në Tiranë për të cilën është firmosur 
një kontratë dhurimi, vlera *53 200 000* lekë.
*11)* Pronar me 100 % i një ap. + garazh, vlera *57 680 000*, blerë me 
shkëmbim.
*12)* Të ardhura nga shitja e pasurive të paluajtshme, ndërtesa, truall, 
ap. në Tiranë, *840 259 450* lekë, pjesa takuese 100 %.
*13)* Pronar me 100 % i një autoveture, blerë *68 000* euro.
*14)* Pronar me 100 % i një autoveture, blerë *20 000* euro.
*15)* Pronar i 35 % të kuotave, aksioneve te shoqëria Beata, *35 000* 
lekë.
*16)* Pronar me 100 % i një ap. në Tiranë, blerë *17 784 000* lekë.
*17)* Pronar me 100 % i një ap. në Tiranë, blerë me shkëmbim.
*18)* Pronarë me 100 % i një ap. në Tiranë për të cilin ka një kontratë 
premtim shitje në vlerën *17 784 000* lekë.
*19)* Kredi bankare në një bankë të nivelit të dytë, detyrimi financiar i 
pashlyer 0 lekë, detyrimi financiar i shlyer *77 832 280* lekë.
*20)* Kredi bankare në një bankë të nivelit të dytë, detyrimi financiar i 
pashlyer 0 lekë, detyrimi financiar i shlyer, *27 950* lekë.
*21)* Kredi bankare në një bankë të nivelit të dytë, detyrimi financiar i 
pashlyer 0 lekë, detyrimi financiar i shlyer *514 615* euro.
*22)* Kredi marrë nga Xh. Doshi, , detyrimi financiar i pashlyer, *33 468 
308* lekë.
*23)* Detyrim për shlyerje huaje ndaj shoqërisë Profarma sha, detyrimi 
financiar i pashlyer *387 000* euro.
*24)* Shlyerje huaje ndaj shoqërisë Profarma sha, *70 000* euro.
*25)* Overdraft marrë në një bankë të nivelit të dytë në vlerë *200 000* 
euro, shlyer *204 993* euro.
*26)* Shlyerje kredie, *731 243* lekë.</t>
  </si>
  <si>
    <t>Të ardhura nga paga si deputet, *2 720 607* lekë.</t>
  </si>
  <si>
    <t>Të ardhura nga qiraja, *1 056 000* lekë.</t>
  </si>
  <si>
    <t>*1)* Të ardhura nga shitja e ap. me sip. 92 m2 në Orikum, Vlorë, *5 766 000* 
lekë.
*2)* Të ardhura nga shitja e ap. me sip. 59 m2 në Orikum, Vlorë, *3 658 000* 
lekë.</t>
  </si>
  <si>
    <t>Të ardhura nga paga si deputet, *2 512 172* lekë.</t>
  </si>
  <si>
    <t>Pronar me 50 % i një ap. blerë në 2014, vlera *28 700 000* lekë.</t>
  </si>
  <si>
    <t>Të ardhura nga paga dhe përfitime të tjera financiare si deputete, *2 295 
826* lekë.</t>
  </si>
  <si>
    <t>Bashkëshorti, të ardhura nga paga dhe përfitime të tjera financiare si 
deputet, *1 964 421* lekë.</t>
  </si>
  <si>
    <t>*1)* Pronare me 100 % e 13 ap. të banimit me sip. totale 1444.8 m2.
*2)* Të ardhura nga shitja e e ap. të banimit, *57 798* euro.
*3)* Të ardhura nga shitja e ap. të banimit, vlera e palikuiduar *64 020* 
euro.
*4)* Gjendja e llogarisë bankare në një bankë të nivelit të dytë, *56 778* 
euro.
*5)* Gjendja e llogarisë bankare dy emërore, në një bankë të nivelit të 
dytë, *2 336 669* lekë.
*6)* Gjendja cash, pakësuar me *8 000* euro.
*7)* Gjendja e llogarisë bankare në një bankë të nivelit të dytë, *11 038* 
euro.
*8)* Gjendja e llogarisë bankare në një bankë të nivelit të dytë, *82 086* 
lekë.
*9)* Kredi bankare në një bankë të nivelit të dytë, detyrimi financiar i 
pashlyer *163 506* euro.
*10)* Bashkëshorti, gjendja e llogarisë bankare në një bankë të nivelit të 
dytë, shtuar me *269 524* lekë.</t>
  </si>
  <si>
    <t>Të ardhura nga paga si deputet, *2 727 581* lekë.</t>
  </si>
  <si>
    <t>*1)* Bashkëshortja, të ardhura nga paga *700 000* lekë.
*2)* Djali Arbër Braho, të ardhura nga paga *800 000* lekë.
*3)* Djali Kreshnik Braho, të ardhura nga paga *600 000* lekë.</t>
  </si>
  <si>
    <t>*1)* Kredi bankare në një bankë të nivelit të dytë, detyrimi financiar i 
pashlyer *2 000* euro.
*2)* Kredi bankare në një bankë të nivelit të dytë, detyrimi financiar i 
pashlyer *1 200 00* lekë.</t>
  </si>
  <si>
    <t>*1)* Të ardhura nga paga si deputete, *2 277 002* lekë.
*2)* Të ardhura nga pagesat në Fakultetin Ekonomik, *136 389* lekë.</t>
  </si>
  <si>
    <t>Bashkëshorti, të ardhura nga paga si drejtor i shitjeve në "Birra Korça", *758 
653* lekë.</t>
  </si>
  <si>
    <t>*1)* Gjendja e kursimeve, *940 000* lekë.
*2)* Detyrim për t'u paguar, overdraft në një bankë të nivelit të dytë, *129 
537* lekë, shlyer plotësisht.
*3)* Bashkëshorti, gjendja e kursimeve, *300 000* lekë.
*4)* Kredi bankare në një bankë të nivelit të dytë, *851 698* lekë, 
principali *980 000* lekë, marrë më 2013, me afat 5-vjeçar.</t>
  </si>
  <si>
    <t>*1)* Të ardhurat nga paga si Nënkryetar i Qarkut Lezhë *756 000* lekë.
*2)* Të ardhura nga paga dhe përfitime të tjera financiare si Deputet i 
Kuvendit të Shqipërisë *2 309 098* lekë.</t>
  </si>
  <si>
    <t>*1)* Gjendja cash në fund të vitit *35 000* euro.</t>
  </si>
  <si>
    <t>*1)* Të ardhura nga paga si deputete, *2 649 383* lekë.
*2)* Të ardhura nga mësimdhënia dhe udhëheqje doktorature në Fakultetin 
Ekonomik dhe në fakultete të tjera (UMSH), *291 600* lekë.
*3)* Të ardhura nga universiteti AAB, Prishtinë për mësimdhënie në vitin 
2009.</t>
  </si>
  <si>
    <t>Të ardhura nga Parlamenti Evropian për një udhëtim në Bullgari, 797 euro.</t>
  </si>
  <si>
    <t>Të ardhura nga interesat bankare, *576 000* lekë.</t>
  </si>
  <si>
    <t>Të ardhura nga qiraja e një pike karburanti në pronësi të bashkëshortit, *2 
829 000* lekë.</t>
  </si>
  <si>
    <t>Bashkëshorti, të ardhura nga qiraja e një pike karburanti në bashkëpronësi 
që nga korriku i vitit 2014, rritur me *500 000* lekë.</t>
  </si>
  <si>
    <t>Të ardhura nga paga dhe shpërblime si deputet, *2 771 821* lekë.</t>
  </si>
  <si>
    <t>Të ardhura nga pensioni i bashkëshortes, ISSH, *200 000* lekë.</t>
  </si>
  <si>
    <t>*1)* Shtesë gjendje cash, *1 000 000* lekë.
*2)* Autoveturë e deklaruar në emër të djalit, në bazë të kontratës së 
dhurimit 12.08.2014, ka kaluar në emrin tim.</t>
  </si>
  <si>
    <t>Të ardhura nga paga si deputet, *2 546 167* lekë.</t>
  </si>
  <si>
    <t>Bashkëshortja, paga si punonjëse në televizionin KLAN sha, *99 000* lekë.</t>
  </si>
  <si>
    <t>Kredi bankare në një bankë të nivelit të dytë, detyrimi financiar i 
pashlyer *3 311 000* lekë, principali *5 000 000* lek, me afat 25-vjeçar.</t>
  </si>
  <si>
    <t>Të ardhura nga paga si deputet, *1 891 660* lekë.</t>
  </si>
  <si>
    <t>*1)* Bashkëshortja, të ardhura nga paga në shoqërinë Derveni shpk, *215 732* 
lekë.
*2)* Bashkëshortja, të ardhura nga paga në shoqërinë 
Eurogroup-Themele-Speciale shpk, *1 086 412* lekë.
*3)* Vajza të ardhura nga paga në shoqërinë, "Stok Internacional Albania", *71 
201* lekë.</t>
  </si>
  <si>
    <t>*1)* Gjendja e llogarisë depozitë në një bankë të nivelit të dytë, shtuar 
me 240 euro.
*2)* Gjendja e llogarisë bankare në një bankë të nivelit të dytë, pakësuar 
me *27 000* lekë.
*3)* Gjendja e llogarisë bankare në një bankë të nivelit të dytë, pakësuar 
me *39 625* dollarë.
*4)* Të ardhura nga shitja e ap. me sip, 68.7 m2 në Durrës, *3 150 000* 
lekë.
*5)* Gjendja e llogarisë bankare në një bankë të nivelit të dytë, shtuar me *2 
982 932* lekë.
*6)* Gjendja e llogarisë bankare në një bankë të nivelit të dytë, shtuar me *537 
952* lekë.
*7)* Gjendja e llogarisë bankare në një bankë të nivelit të dytë, shtuar me 
659 lekë.
*8)* Të ardhura nga shitja e ap. me sip. 90.3 m2 në Durrës, *6 679 310* 
lekë.
*9)* Huadhënie një personi fizik, *6 500 000* lekë.
*10)* Detyrim i papaguar për kartë krediti, vlera *224 891* lekë.</t>
  </si>
  <si>
    <t>*1)* Paga si Deputet i Kuvendit të Shqipërisë në vlerën *809 754* lekë.
*2)* Paga si Kryetar i Agjensisë Rajonale të Mjedisit në vlerën *110 000* 
lekë.</t>
  </si>
  <si>
    <t>Këshilltar pranë Ministrit të Mjedisit në vlerën *198 000* lekë.</t>
  </si>
  <si>
    <t>Të ardhura nga paga si deputet, *2 552 866* lekë.</t>
  </si>
  <si>
    <t>Të ardhura nga paga dhe shpërblime si deputet, *2 571 380* lekë.</t>
  </si>
  <si>
    <t>Të ardhura nga qiraja, *600 000* lekë.</t>
  </si>
  <si>
    <t>Bashkëshortja, të ardhura nga paga dhe shpërblime *830 270* lekë.</t>
  </si>
  <si>
    <t>*1)* Pronar i një autoveture "Benz" 280, blerë *10 000* euro.
*2)* Kredi bankare në një bankë të nivelit të dytë, detyrimi financiar i 
shlyer, *264 000* lekë, principali *1 000 000*, marrë më 2008.</t>
  </si>
  <si>
    <t>Të ardhura neto nga paga si deputete, *2 962 266* lekë.</t>
  </si>
  <si>
    <t>*1)* Të ardhura nga qiraja e njësisë me sip. 20 m2, nga objekti me sip. 
116.5 m2, *81 666* lekë.
*2)* Të ardhura nga qiraja e njësisë me sip. 35.34 m2, *120 000* lekë.
*3)* Të ardhura nga qiraja e njësisë me sip. 70 m2, *214 667* lekë.</t>
  </si>
  <si>
    <t>*1)* Bashkëpronare me 33,33 % e ap.banimi në Shkodër, sip. 64 m2, me 
kontratë shkëmbimi.
*2)* Bashkëpronare me 33,33% e ap. banimi në Shkodër, sip. 97 m2, me 
kontratë shkëmbimi.
*3)* Bashkëpronësi, njësi në Shkodër, sip.64 m2, me kontratë shkëmbimi.
*4)* Kredi në bankë të nivelit të dytë me vlerë detyrimi financiar të 
pashlyer - *3 473 963* lekë, me principal *385 168* lekë, interesa *239 323* 
lekë.</t>
  </si>
  <si>
    <t>Të ardhura nga paga dhe pjesëmarrja në komisione, *1 432 621* lekë.</t>
  </si>
  <si>
    <t>Të ardhura si bonuse për shpenzime karburanti, telefoni dhe dieta ditore 
për akomondim, *1 048 553* lekë.</t>
  </si>
  <si>
    <t>*1)* Bashkëshortja, të ardhura nga paga si administratore e Lani shpk, *959 
784* lekë.
*2)* Bashkëshortja, të ardhura nga paga si administratore e LAEL-2000 shpk, *347 
760* lekë.
*3)* Bashkëshortja, të ardhura nga paga si administratore e Sgro-Group 
sh.p.k, *258 764* lekë.</t>
  </si>
  <si>
    <t>*1)* Të ardhura nga shitja e aksioneve te shoqëria A.B.G shpk, *30 000* 
lekë, pjesa takuese 30 %.
*2)* Gjendja e llogarisë bankare në një bankë të nivelit të dytë, shtuar me 
978 euro.
*3)* Gjendja e llogarisë bankare në një bankë të nivelit të dytë, shtuar me *1 
291 949* lekë.
*4)* Gjendja cash, 21 euro.
*5)* Gjendja cash, *1 050 000* lekë.
*6)* Bashkëshortja, gjendja e llogarisë bankare në një bankë të nivelit të 
dytë, 84 lekë.
*7)* Bashkëshortja, gjendja e llogarisë bankare në një bankë të nivelit të 
dytë, *227 062* lekë.
*8)* Bashkëshortja, gjendja cash, *31 800* euro.</t>
  </si>
  <si>
    <t>Të ardhura nga paga si deputet, *2 312 120* lekë.</t>
  </si>
  <si>
    <t>*1)* Të ardhura nga qiraja e zyrës, *3 780* euro.
*2)* Të ardhura nga qiraja e zyrës, *300 000* lekë.
*3)* Të ardhura nga qiraja e njësisë me sip 90.26 m2 në Tiranë, *8 640* 
euro.
*4)* Të ardhura nga qiraja e njësisë me sip. 66.5 m2 në Tiranë, *540 000* 
lekë.</t>
  </si>
  <si>
    <t>*1)* Bashkëshortja, të ardhura nga paga si notere publike, *2 289 681* lekë.
*2)* Djali, të ardhura nga puna si Drejtor Kabineti dhe zëdhënës i 
Komisionit të Shërbimit Civil, *576 914* lekë.
*3)* Bashkëshortja, të ardhura nga ndarja e dividentit në shoqërinë Albsig 
sha, *129 748* lekë.
*4)* Vajza, Ilda Muçmataj, ta ardhura nga paga në Fakultetin Juridik, *576 
677* lekë.
*5)* Vajza, Ilda Muçmataj, të ardhura nga paga si anëtare e Këshillit 
Mbikëqyrës në shoqërinë Albsig sha, *540 000* lekë.
*6)* Vajza, Medea Kastrati, të ardhura nga paga si ekonomiste kontabël 
pranë shoqërisë Kastrati shpk, *810 2 88* lekë.
*7)* Vajza, Medea Kastrati, të ardhura nga paga e bashkëshortit, si 
këshilltar i Presidentit të Republikës, *1 257 630* lekë.</t>
  </si>
  <si>
    <t>*1)* Gjendja e llogarisë bankare në një bankë të nivelit të dytë, pakësuar 
me - *222 916* lekë.
*2)* Shlyerje kredie për blerje ap., *20 000* euro.
*3)* Detyrim huaje për shtesën e kapitalit në degën e shoqërisë Albsig sha 
në Maqedoni, detyrimi financiar i pashlyer, *4 575 500* lekë.
*4)* Bashkëshortja, gjendja e llogarisë bankare në një bankë të nivelit të 
dytë, *15 634* euro.
*5)* Bashkëshortja, gjendja e llogarisë bankare në një bankë të nivelit të 
dytë, *785 136* lekë.
*6)* Bashkëshortja, gjendja e llogarisë depozitë në një bankë të nivelit të 
dytë, *2 045 808* lekë.
*7)* Bashkëshortja, gjendja e llogarisë depozitë në një bankë të nivelit të 
dytë, *21 983* euro.
*8)* Bashkëshortja, gjendja e llogarisë bankare në një bankë të nivelit të 
dytë, *363 435* lekë.
*9)* Bashkëshortja, gjendja e llogarisë bankare në një bankë të nivelit të 
dytë, *348 152* lekë.
*10)* Bashkëshortja, gjendja e llogarisë depozitë në një bankë të nivelit 
të dytë, *810 106* lekë.
*11)* Bashkëshortja, gjendja e llogarisë bankare në një bankë të nivelit të 
dytë, *557 970* lekë.
*12)* Bashkëshortja, gjendja e llogarisë depozitë në një bankë të nivelit 
të dytë, *746 950* lekë.
*13)* Bashkëshortja, gjendja e llogarisë bankare në një bankë të nivelit të 
dytë, *234 805* lekë.
*14)* Bashkëshortja, gjendja e llogarisë bankare në një bankë të nivelit të 
dytë, mbyllur, - pakësuar me *1 060 980* lekë.
*15)* Bashkëshortja, pronare, (pasi është marrë certifikata e pronësisë), e 
një njësie me sip. 90.26 m2.
*16)* Bashkëshortja, pronare, (pasi është marrë certifikata e pronësisë), e 
një ap. me sip 125 m2.
*17)* Vajza, Ilda Muçmataj, pronare e një ap. me sip 125 m2, dhuruar nga 
prindërit.
*18)* Vajza, Ilda Muçmataj, gjendja e llogarisë bankare në një bankë të 
nivelit të dytë, *1 499 455* lekë.
*19)* Vajza, Ilda Muçmataj, gjendja e llogarisë bankare në një bankë të 
nivelit të dytë, *24 803* lekë.
*20)* Vajza, Medea Kastrati, gjendja e llogarisë depozitë në një bankë të 
nivelit të dytë, *71 493* lekë.
*21)* Vajza, Medea Kastrati, gjendja e llogarisë bankare në një bankë të 
nivelit të dytë, *1 937* euro.</t>
  </si>
  <si>
    <t>Të ardhura nga paga dhe përfitimet e tjera financiare, *2 691 434* lekë.</t>
  </si>
  <si>
    <t>Bashkëshortja, të ardhura nga paga si arsimtare, Drejtoria Arsimore e 
Epirit, Greqi, 8500 euro.</t>
  </si>
  <si>
    <t>*1)* Gjendja cash, *4 700* euro.
*2)* Kredi në një bankë të nivelit të dytë.</t>
  </si>
  <si>
    <t>Të ardhura nga paga si deputete, komisione e dieta, *2 574 670* lekë.</t>
  </si>
  <si>
    <t>Të ardhura nga UNDP, për dy udhëtime në OKB, (New York dhe Gjenevë), *3 468* 
dollarë.</t>
  </si>
  <si>
    <t>*1)* Të ardhura nga interesat bankare, *30 106* lekë.
*2)* Të ardhura nga interesat bankare *5 323* lekë.</t>
  </si>
  <si>
    <t>Të ardhura nga qiraja, *9 455* euro.</t>
  </si>
  <si>
    <t>*1)* Bashkëshorti, të ardhura nga pensioni, *257 502* lekë.
*2)* Bashkëshorti, të ardhura nga interesat bankare, 453 lekë.
*3)* Djali Arjan Leskaj, të ardhura si aksioner nga shoqëria 
Matrix-Konstruksion shpk.
*4)* Bashkëshortja e djalit, të ardhura nga paga *50 000* lekë/muaj.
*5)* Djali Arjan Leskaj, të ardhura nga qiraja e një ambienti me sip. 571.5 
m2, *1 080 00* lekë.
*6)* Djali Arjan Leskaj, të ardhura nga qiraja e një ambienti me sip. 520 
m2, *108 000* euro.
*7)* Djali Arjan Leskaj, të ardhura nga qiraja e një ambienti me sip. 970 
m2 + 2 garazhe ku zotëron 1/3 e pronësisë, *32 850* euro.
*8)* Djali Arjan Leskaj, të ardhura nga qiraja e një ambienti me sip. 400 
m2, *6 000* euro.
*9)* Djali Arjan Leskaj, të ardhura nga qiraja e një ambienti tregtar ku 
zotëron ½ e pronësisë, *29 982* euro.
*10)* Djali Arjan Leskaj, të ardhura nga qiraja e një ambienti tregtar me 
sip. 1744 m2, *75 341* euro.
*11)* Djali Arjan Leskaj, të ardhura nga qiraja e një ambienti me sip. *1 
200* m2 ku zotëron 1/3 e pronësisë, *16 500* euro.
*12)* Djali Arjan Leskaj, të ardhura nga qiraja e një ambienti tregtar me 
sip. 94 m2 ku zotëron ½ e pronësisë, *4 620* euro.
*13)* Djali Arjan Leskaj, të ardhura nga garancia për dhënien me qira të 
një ambienti me sip. 271 m2 ku zotëron ½ e pronësisë, *5 700* euro.
*14)* Djali, Besnik Leskaj, të ardhura nga paga dhe shpërblimet nga 
A&amp;B-Business-Consulting shpk, *3 800 009* lekë.
*15)* Djali, Besnik Lekaj, të ardhura nga dividenti në 
A&amp;B-Business-Consultingshpk, *24 325 959* lekë.
*16)* Djali, Besnik Leskaj, të ardhura nga paga nga ACR shpk, *259 512* 
lekë.
*17)* Djali, Besnik Lekaj, të ardhura nga shoqëria e thjeshtë me Arjan 
Leskaj dhe Delo Ahmeti, *865 680* lekë.
*18)* Djali, Besnik Leskaj, të ardhura nga shërbimet si ekspert pranë 
Bankës Botërore, *2 874* euro.
*19)* Djali, Besnik Leskaj, të ardhura nga D&amp;L-Administrim shpk *919 303* 
lekë.
*20)* Djali, Besnik Leskaj, të ardhura nga paga në bashkinë Elbasan, *659 
734* lekë.</t>
  </si>
  <si>
    <t>Të ardhura nga borxhi i kthyer nga djali Arian Leskaj, *2 500* euro.</t>
  </si>
  <si>
    <t>*1)* Djali Ajran Leskaj, pronar me 100 % i një vile në ndërtim në Sauk, 
Tiranë, *23 873 096* lekë.
*2)* Bashkëshortja e djalit, gjendja e llogarisë bankare në një bankë të 
nivelit të dytë, shtuar me *1 009* dollarë.
*3)* Djali Arjan Leskaj, gjendja e llogarisë bankare në një bankë të 
nivelit të dytë, *4 244* euro.
*4)* Djali Arjan Leskaj, gjendja e llogarisë bankare në një bankë të 
nivelit të dytë, 26 dollarë.
*5)* Djali Arjan Leskaj, gjendja e llogarisë bankare në një bankë të 
nivelit të dytë, *129 937* lekë.
*6)* Djali Arjan Leskaj, gjendja e llogarisë bankare në një bankë të 
nivelit të dytë, 809 euro.
*7)* Djali Arjan Leskaj, gjendja e llogarisë bankare në një bankë të 
nivelit të dytë, *77 308* lekë.
*8)* Djali Arjan Leskaj, gjendja e llogarisë bankare në një bankë të 
nivelit të dytë, *7 317* euro.
*9)* Djali Arjan Leskaj, gjendja e llogarisë bankare në një bankë të 
nivelit të dytë, *35 004* lekë.
*10)* Djali Arjan Leskaj, gjendja e llogarisë bankare në një bankë të 
nivelit të dytë, *29 643* euro.
*11)* Djali Arjan Leskaj, gjendja e llogarisë bankare në një bankë të 
nivelit të dytë, 13 euro.
*12)* Djali Arjan Leskaj, gjendja e llogarisë bankare në një bankë të 
nivelit të dytë, *2 420* euro.
*13)* Djali Arjan Leskaj, gjendja e llogarisë bankare në një bankë të 
nivelit të dytë, 345 euro.
*14)* Djali Arjan Leskaj, kredi bankare në një bankë të nivelit të dytë, 
detyrimi financiar i pashlyer 0 lekë, principali *1 061 711* euro, mbyllur 
4 dhjetor 2014.
*15)* Djali, Arjan Leskaj, detyrim për kthim borxhi ndaj nënës Valentina 
Leskaj, detyrimi financiar i pashlyer *17 500* euro.
*16)* Djali, Besnik Leskaj, dhënie huaje për ARC shpk për të mbuluar 
borxhin ndaj A&amp;B-Business-Consulting shpk, *846 500* lekë.</t>
  </si>
  <si>
    <t>Të ardhura nga paga *1 700 000* lekë</t>
  </si>
  <si>
    <t>Të ardhura nga paga e bashkëshortes znj. Jorida Ganaj *1 500 000* lekë</t>
  </si>
  <si>
    <t>Paga dhe shpërblime si Kryetar i Bashkisë Fushë Arrëz në vlerën *1 284 000* 
lekë.</t>
  </si>
  <si>
    <t>Shpërblim si anëtar i Këshillit të Qarkut Shkodër në vlerën *120 000* lekë.</t>
  </si>
  <si>
    <t>Paga si Kryetar i Bashkisë Ersekë në vlerën *691 296* lekë.</t>
  </si>
  <si>
    <t>Shpërblim si anëtar i Këshillit të Qarkut në vlerën *120 000* lekë.</t>
  </si>
  <si>
    <t>Bashkëshortja zonja Rajmonda Laho të ardhura nga aktivitet privat në vlerën *1 
000 000* lekë.</t>
  </si>
  <si>
    <t>Paga si kryetar i Bashkisë Libohovë në vlerën *524 415* lekë.</t>
  </si>
  <si>
    <t>Bonus për shpenzime udhëtimi si kryetar i Bashkisë Libohovë në vlerën *210 
000* lekë.</t>
  </si>
  <si>
    <t>Të ardhura si anëtar i Kryesisë së Qarkut në vlerën *46 800* lekë.</t>
  </si>
  <si>
    <t>Bashkëshortja paga si pedagoge në universitetin Eqerem Çabejnë vlerën *718 
001* lekë.</t>
  </si>
  <si>
    <t>Të ardhura nga paga dhe shpërblimet si kryetar Bashkie *736 148* lekë.</t>
  </si>
  <si>
    <t>Të ardhura nga bonuset, *135 000* lekë.</t>
  </si>
  <si>
    <t>Të ardhura nga Këshilli i Qarkut, *93 600* lekë.</t>
  </si>
  <si>
    <t>Të ardhura nga interesat bankare, *71 533* lekë.</t>
  </si>
  <si>
    <t>*1)* Bashkëshortja, të ardhura nga paga si mësuese në shkollën "1 Maji", 
Rashtan, *624 606* lekë.
*2)* I biri, të ardhura nga paga si operator në lloto sport, *300 000* lekë.</t>
  </si>
  <si>
    <t>Kredi me vlerë detyrimi financiar të pashlyer - *1 905 434* lekë , e marrë 
në datën 27.9.2013 me principal 2 milionë lekë, afat shlyerje 10 vjet, këst 
mujor *11 200* lekë, interes 3 %.</t>
  </si>
  <si>
    <t>Paga dhe shpërblime si Kryetar i Bashkisë Manëz në vlerën *1 069 464* lekë.</t>
  </si>
  <si>
    <t>Të ardhura nga Këshilli i Qarkut në vlerën *140 400* lekë.</t>
  </si>
  <si>
    <t>Qira magazine në vlerën *45 000* lekë.</t>
  </si>
  <si>
    <t>Bashkëshortja zonja Elida Huqi paga nga mësimdhënia pranë gjimnazit Naim 
Frashëri Durrës në vlerën *546 000* lekë.</t>
  </si>
  <si>
    <t>Paga si Kryetar i Bashkisë Leskovik në vlerën *660 000* lekë.</t>
  </si>
  <si>
    <t>Bonus si Kryetar i Bashkisë Leskovik në vlerën *360 000* lekë.</t>
  </si>
  <si>
    <t>Paga si anëtar i Këshillit të Qarkut në vlerën *158 000* lekë.</t>
  </si>
  <si>
    <t>Paga si Kryetar i Bashkisë Selenicë në vlerën *708 930* lekë.</t>
  </si>
  <si>
    <t>Të ardhura nga Këshilli i Qarkut në vlerën *156 000* lekë.</t>
  </si>
  <si>
    <t>Detyrime të papaguara në vlerën *26 249* euro për një kredi bankare në 
bankë të nivelit të dytë.</t>
  </si>
  <si>
    <t>Paga neto si Kryetar i Bashkisë Roskovec në vlerën *709 488* lekë.</t>
  </si>
  <si>
    <t>Bashkëshortja zonja Edmonda Çaushi të ardhura si Nëndrejtore e shkollës 
Alush Grepeka në vlerën *720 000* lekë.</t>
  </si>
  <si>
    <t>Kredi për restaurim shtëpie marrë më 28.10.2013 me principal *936 000* lekë 
dhe maturim më 02.12.2010.</t>
  </si>
  <si>
    <t>Paga dhe shpërblime neto si Kryetar i Bashkisë Maliq në vlerën *700 392* 
lekë.</t>
  </si>
  <si>
    <t>Të ardhura si anëtar i Këshillit të Qarkut në vlerën *128 304* lekë.</t>
  </si>
  <si>
    <t>Bashkëshortja zonja Filloreta Topçiu paga dhe shpërblime nga mësimdhënia në 
vlerën *467 547* lekë.</t>
  </si>
  <si>
    <t>Përfitim financiar për transport në vlerën *310 500* lekë sipas ligjit nr. 
10160, datë 15.10.2009.</t>
  </si>
  <si>
    <t>Detyrime të papaguara në vlerën *28 587* euro për një kredi për blerje 
apartamenti marrë më 08.10.2012 me principal *30 000* euro, afat maturimi 
15 vjet dhe këst mujor 255 euro.</t>
  </si>
  <si>
    <t>Paga dhe shpërblime si Kryetar i Bashkisë Rubik dhe si Këshilltar Qarku në 
vlerën *1 442 180* lekë.</t>
  </si>
  <si>
    <t>Bashkëshortja zonja Albina Vuka paga si Inspektore pranë Bashkisë Rubik në 
vlerën *381 264* lekë.</t>
  </si>
  <si>
    <t>Bashkëshortja zonja Albina Vuka detyrime të papaguara në vlerën *740 523* 
lekë për kredi bankare marrë më 28.04.2011 me principal *1 000 000* lekë, 
afat shlyerje 7 vjet dhe normë interesi 17.5%.</t>
  </si>
  <si>
    <t>Paga si Kryetar i Bashkisë Vau- Dejes në vlerën *708 000* lekë.</t>
  </si>
  <si>
    <t>Bonus transporti në vlerën *360 000* lekë.</t>
  </si>
  <si>
    <t>Të ardhura si Këshilltar i Qarkut në vlerën *132 000* lekë.</t>
  </si>
  <si>
    <t>*1)* Bashkëshortja paga nga mësimdhënia në vlerën *528 000* lekë.
*2)* Djali zoti Arion Marku të ardhura nga biznesi Studio Fotografike në 
vlerën *500 000* lekë.</t>
  </si>
  <si>
    <t>Paga si Kryetar i Bashkisë Mamurras në vlerën *828 000* lekë.</t>
  </si>
  <si>
    <t>Bashkëshortja zonja Pranvera Pjetraj paga si specialiste pranë shoqërisë 
Amadeu në vlerën *360 000* lekë.</t>
  </si>
  <si>
    <t>*1)* Shitur veturë tip Mercedes Benz në vlerën *23 000* euro.
*2)* Shitur veturë tip Mercedes Benz në vlerën *900 000* lekë.</t>
  </si>
  <si>
    <t>Paga si Kryetar i Bashkisë Shijak në vlerën *737 568* lekë.</t>
  </si>
  <si>
    <t>*1)* Të ardhura si anëtar i Këshillit të Qarkut Durrës në vlerën *140 400* 
lekë.
*2)* Të ardhura si anëtar i Këshillit Mbikëqyrës pranë Shoqërisë 
Ujësjellës-Kanalizime sha Durrës në vlerën *81 000* lekë.</t>
  </si>
  <si>
    <t>Interesa bankare në vlerën *16 218* lekë.</t>
  </si>
  <si>
    <t>*1)* Bashkëshortja zonja Aljona Buka paga pranë Eurotech-Cement shpk në 
vlerën *480 000* lekë.
*2)* Nëna pension pleqërie në vlerën *170 316* lekë.</t>
  </si>
  <si>
    <t>*1)* Detyrime të papaguara në vlerën *1 701 542* lekë për një kredi për 
blerje apartamenti me sip. 96 m2 marrë më 14.09.2010 në bankë të nivelit të 
dytë me principal *2 172 182* lekë, me interes 0%, afat shlyerje 180 muaj 
dhe këst mujor *12 500* lekë.
*2)* Detyrime të papaguara në vlerën *692 693* lekë për një kredi 
konsumatore marrë më 15.08.2013 në bankë të nivelit të dytë me principal *580 
000* lekë, interes 16.05%, afat shlyerje 42 muaj dhe këst mujor *18 195* 
lekë.</t>
  </si>
  <si>
    <t>Paga si Kryetar Bashkie Këlcyrë në vlerën *1 300 000* lekë.</t>
  </si>
  <si>
    <t>Bashkëshortja zonja Vjolanda Ndoni paga si drejtore dege pranë Raiffeisen 
Bank, Përmet në vlerën *1 260 000* lekë.</t>
  </si>
  <si>
    <t>Paga si Kryetar i Bashkisë Memaliaj në vlerën *948 000* lekë.</t>
  </si>
  <si>
    <t>Të ardhura si anëtar i Këshillit të Qarkut Gjirokastër në vlerën *46 800* 
lekë.</t>
  </si>
  <si>
    <t>*1)* Bashkëshortja zonja Liljana Meçi të ardhura nga ushtrimi i një 
aktiviteti privat në vlerën *1 458 897* lekë.
*2)* Vajza zonja Elvana Meçi paga pranë Plus-Communication sha në vlerën *1 
080 000* lekë.
*3)* Vajza zonja Jonida Bijo paga si ekonomiste pranë Hotel Sheraton në 
vlerën *1 440 000* lekë.</t>
  </si>
  <si>
    <t>*1)* Detyrime të papaguara në vlerën *423 080* lekë për një kredi bankare 
në bankë të nivelit të dytë me principal *860 000* lekë.
*2)* Detyrime të papaguara në vlerën *1 234 807* lekë për një kredi marrë 
në bankë të nivelit të dytë me principal *1 400 000* lekë pa interes.
*3)* Detyrime të papaguara në vlerën *310 000* lekë për një kredi marrë në 
bankë të nivelit të dytë me principal *600 000* lekë pa interes.</t>
  </si>
  <si>
    <t>Paga dhe shpërblime si Kryetar i Bashkisë Rrogozhinë në vlerën *684 000* 
lekë.</t>
  </si>
  <si>
    <t>Paga si Kryetar i Bashkisë Koplik në vlerën *741 312* lekë.</t>
  </si>
  <si>
    <t>Bashkëshortja paga në vlerën *661 920* lekë.</t>
  </si>
  <si>
    <t>Paga si Kryetar i Bashkisë Klos në vlerën *707 697* lekë.</t>
  </si>
  <si>
    <t>Shpërblim si anëtar i Këshillit të Qarkut Dibër në vlerën *142 560* lekë.</t>
  </si>
  <si>
    <t>Të ardhura nga paga si deputet, *2 648 509* lekë.</t>
  </si>
  <si>
    <t>*1)* Bashkëshortja, të ardhura nga paga nga Poliklinika nr. 10, Tiranë, *408 
053* lekë.
*2)* Bashkëshortja, të ardhura nga shpërblime, *71 531* lekë.</t>
  </si>
  <si>
    <t>*1)* Gjendja e llogarisë bankare në një bankë të nivelit të dytë, *600 000* 
lekë.
*2)* Gjendja e llogarisë bankare në një bankë të nivelit të dytë, *500 000* 
lekë.
*3)* Bashkëshortja, gjendja e llogarisë bankare në një bankë të nivelit të 
dytë, shtuar me *500 000* lekë.
*4)* Bashkëshortja, gjendja e llogarisë depozitë në një bankë të nivelit të 
dytë, shtuar me *396 003* lekë.</t>
  </si>
  <si>
    <t>Paga si Kryetar i Bashkisë Cërrik në vlerën *709 488* lekë.</t>
  </si>
  <si>
    <t>Shpërblim si anëtar i Këshillit të Qarkut Elbasan në vlerën *128 700* lekë.</t>
  </si>
  <si>
    <t>Interesa bankare në vlerën *17 218* lekë nga depozitë në bankë të nivelit 
të dytë.</t>
  </si>
  <si>
    <t>Bashkëshortja zonja Kledia Duzha paga si specialiste pranë Zyrës së punës 
në Elbasan në vlerën *473 548* lekë.</t>
  </si>
  <si>
    <t>Paga si Kryetar i Bashkisë Bilisht në vlerën *718 000* lekë.</t>
  </si>
  <si>
    <t>Shpërblime si anëtar i Këshillit të Qarkut në vlerën *142 600* lekë.</t>
  </si>
  <si>
    <t>Interesa bankare në vlerën *118 000* lekë.</t>
  </si>
  <si>
    <t>Bashkëshortja zonja Ilda Miza paga nga mësimdhënia në vlerën *505 000* lekë.</t>
  </si>
  <si>
    <t>Të ardhura nga paga dhe shpërblimet si deputet *1 836 356* lekë.</t>
  </si>
  <si>
    <t>Të ardhura nga punësimi part-time, *860 000* lekë.</t>
  </si>
  <si>
    <t>Fitimi neto për klinikën Petal shpk, *1 320 383* lekë.</t>
  </si>
  <si>
    <t>*1)* Bashkëshortja, të ardhura nga paga në MPJ, *199 807* lekë.
*2)* Djali Genti, të ardhura nga paga si administrator i klinikës Petal 
shpk, *897 576* lekë.</t>
  </si>
  <si>
    <t>Shuma prej *10 048* euro përfituar nga kthimi i TVSH-së për blerjen e 
makinës.</t>
  </si>
  <si>
    <t>*1)* Gjendje e datës 31.12.2014, në një bankë të niveli të dytë, llogaria 
rrjedhëse *54 221* lekë.
*2)* Gjendja e datës 31.12.2014 në një bankë të nivelit të dytë, llogaria 
në lekë *90 150* lekë.
*3)* Gjendja e datës 31.12.2014 në një bankë të nivelit të dytë, llogaria 
MC 424 euro.
*4)* Gjendja e datës 31.12.2014 në një bankë të nivelit të dytë, 323 euro.
*5)* Gjendja e një depozite në një bankë të nivelit të dytë, e 
bashkëshortes dhe nënës së saj, *3 500 000* lekë.
*6)* Gjendja e një depozite me afat 6-mujor, e bashkëshortes dhe nënës së 
saj, *513 987* lekë.
*7)* Gjendja e llogarisë rrjedhëse, e bashkëshortes dhe nënës së saj, *4 
125* lekë.
*8)* Gjendja e një depozite në dollarë me afat 1 vit, e bashkëshortes dhe 
nënës së saj, maturuar më datë 20.8.2014 për *10 098* lekë është *12 096* 
dollarë.
*9)* Gjendja e llogarisë rrjedhëse, e bashkëshortes, 395 lekë.
*10)* Gjendja e llogarisë, e djalit, në një bankë të nivelit të dytë, 6.43 
euro.
*11)* Kredi, djali, në bankë të nivelit të dytë me vlerë detyrimi financiar 
të pashlyer - *259 528* lekë , e marrë në datën 19.12.2013 me principal *280 
000* euro, afat shlyerje 10 vjet, këst mujor *3 195* euro, interes bazë 
6.7%.</t>
  </si>
  <si>
    <t>Të ardhura nga paga si deputete, *1 467 203* lekë.</t>
  </si>
  <si>
    <t>*1)* Të ardhura nga pjesëmarrja në komisione, *117 000* lekë.
*2)* Të ardhura për shpenzime telefoni, *204 000* lekë.
*3)* Të ardhura nga dieta e akomodim, *755 500* lekë.
*4)* Të ardhura për shpenzime qiraje, *297 000* lekë.
*5)* Të ardhura për shpenzime karburanti, *415 383* lekë.</t>
  </si>
  <si>
    <t>*1)* Të ardhura nga interesat bankare në një bankë të nivelit të dytë, *11 
800* euro.
*2)* Bashkëshorti, të ardhura nga interesat bankare në një bankë të nivelit 
të dytë, *68 851* lekë.
*3)* Bashkëshorti, të ardhura nga interesat në një bankë të nivelit të 
dytë, *68 854* lekë.</t>
  </si>
  <si>
    <t>Nuk ka Bashkëshorti, të ardhura nga qiratë, *306 000* lekë.</t>
  </si>
  <si>
    <t>*1)* Bashkëshorti, të ardhura nga paga si ekonomist në shoqërinë Anbi shpk, *428 
722* lekë.
*2)* Bashkëshorti, të ardhura nga shitja e aksioneve, *9 010 000* lekë.</t>
  </si>
  <si>
    <t>*1)* Pakësim në llogarinë personale në një bankë të nivelit të dytë, - *58 
417* lekë.
*2)* Pakësim në llogarinë personale në një bankë të nivelit të dytë, - *60 
983* lekë.
*3)* Bashkëpronësi në një godine ekonomike 574 m2, ndërtuar pas prishjes së 
një magazine në Roskovec, *7 203 702* lekë.
*4)* Kredi në bankë të nivelit të dytë me vlerë detyrimi financiarë të 
pashlyer - *26 940* euro, e marrë në datën 02. 06. 2014 me principal *30 
000* euro, afat shlyerje 5 vjet, kësti mujor 602 euro, interes Euribor 
1-vjeçar 7%.
*5)* Shtesa në depozitë në llogari të Iva Arben Bufi, në një bankë të 
nivelit të dytë, *458 851* lekë.
*6)* Shtesë në depozitë në llogari të Marvi Arben Bufi, në një bankë të 
nivelit të dytë, *458 854* lekë.
*7)* Bashkëshorti, shtesë në llogarinë rrjedhëse, në një bankë të nivelit 
të dytë, *1 100 000* lekë.
*8)* Bashkëshorti, shtesë në llogarinë rrjedhëse, në një bankë të nivelit 
të dytë, *6 320* lekë.
*9)* Bashkëshorti, pakësim në llogarinë rrjedhëse, në një bankë të nivelit 
të dytë - *155 243* lekë.
*10)* Bashkëshorti, shtesë në llogarinë rrjedhëse, në një bankë të nivelit 
të dytë, 208 lekë.
*11)* Bashkëshorti, pakësim i gjendjesh cash, *1 310 000* lekë.
*12)* Bashkëshorti, pakësim i aksioneve në shoqërinë Anbi shpk, - *31 800 
000* lekë.</t>
  </si>
  <si>
    <t>*1)* Të ardhura nga paga si deputete, *1 303 961* lekë.
*2)* Të ardhura nga pjesëmarrja në komisione, *100 800* lekë.
*3)* Të ardhura paga si pedagoge e jashtme pranë Universitetit të Tiranës, *80 
000* lekë.
*4)* Të ardhura nga paga si pedagoge e jashtme pranë Universitetit të 
Elbasanit, *114 322* lekë.</t>
  </si>
  <si>
    <t>Të ardhura nga bonuse për shpenzime karburanti, telefoni dhe dieta ditore, *1 
163 581* lekë.</t>
  </si>
  <si>
    <t>Bashkëshorti, të ardhura nga paga *1 267 000* lekë.</t>
  </si>
  <si>
    <t>Kredi bankare, e marrë në datën 12.05.2015 me principal *2 800 000*, afat 5 
vjet, normë interesi (Midas) 13.89 %, kësti mujor 64 991.</t>
  </si>
  <si>
    <t>*1)* Të ardhura nga paga si anëtare e Gjykatës Kushtetuese, *1 894 950* 
lekë.
*2)* Të ardhura si pedagoge e jashtme në Shkollën e Magjistraturës, *112 
500* lekë.
*3)* Të ardhura si trajnuese, projekti i BERZH-it për trajnimin e 
gjyqtarëve, *1 500* euro.</t>
  </si>
  <si>
    <t>Të ardhura nga qiraja e apartamentit në Tiranë, 3780 euro, kontrata e 
lidhur më 1 nëntor 2013, rifreskuar më 1 nëntor 2014.</t>
  </si>
  <si>
    <t>*1)* Bashkëjetuesi Arben Idrizi, të ardhura neto nga paga si sekretar i 
Përgjithshëm në institucionin e Presidentit të Republikës, *1 490 880* lekë.
*2)* Bashkëjetuesi, Arben Idrizi dieta, shërbime jashtë vendit në 
funksionin e sekretarit të Përgjithshëm, *1 885* dollarë.</t>
  </si>
  <si>
    <t>Kursime nga të ardhurat nga paga e vitit 2014, *1 100 000* lekë.</t>
  </si>
  <si>
    <t>*1)* Të ardhura nga paga si kryetar i Gjykatës Kushtetuese, *2 257 073* 
lekë.
*2)* Të ardhura nga paga si pedagog i jashtëm i Shkollës së Magjistraturës, *61 
200* lekë.</t>
  </si>
  <si>
    <t>Bashkëshortja, të ardhura nga paga si mësuese tek shkolla Jeronim De 
Rada, *548 588* lekë.</t>
  </si>
  <si>
    <t>Kredi në bankë të nivelit të dytë me vlerë detyrimi financiar të pashlyer, 
- *16 240 561* lekë, e marrë në vitin 2013, me principal 16.8 milionë lekë, 
afat shlyerje 20 vjet, këst mujor *110 116* lekë, bashkëshortja si dorëzanë.</t>
  </si>
  <si>
    <t>Të ardhura nga paga neto si anëtar i Gjykatës Kushtetuese, *1 896 470* lekë.</t>
  </si>
  <si>
    <t>Vajza, Marsela Imeraj, të ardhura nga paga si avokate, *1 207 780* lekë.</t>
  </si>
  <si>
    <t>*1)* Gjendja në llogarinë e pagës, në një bankë të nivelit të dytë, *80 000* 
lekë.
*2)* Gjendja në llogarinë e pagës, në një bankë të nivelit të dytë, *700 
000* lekë.
*3)* Depozita në emër të vajzës, në një bankë të nivelit të dytë, *920 462* 
lekë.
*4)* Kredi në bankë të nivelit të dytë me vlerë detyrimi financiar të 
pashlyer - *2 132 027* lekë, e marrë për blerje banese.</t>
  </si>
  <si>
    <t>Të ardhura nga paga si anëtar i Gjykatës Kushtetuese, *1 896 470* lekë.</t>
  </si>
  <si>
    <t>Bashkëshortja, të ardhura nga paga si inspektore pranë Komisionerit Kundër 
Diskriminimit, *710 280* lekë.</t>
  </si>
  <si>
    <t>*1)* Bashkëpronar me 50 %, me bashkëshorten Rudina Hoxha i një banesë në 
Shkodër, sip. 65 m2, shitur me vlerë *3 400 000* lekë.
*2)* Kredi në bankë të nivelit të dytë me vlerë detyrimi financiar të 
pashlyer - *4 609 533* lekë, marrë në datën 27.05.2012, afat shlyerje 15 
vjet, interes 4 %.
*3)* Kredi në një bankë të nivelit të dytë, detyrimi financiar i pashlyer - *233 
336* lekë, marrë më darë 14.07.2014, me principal *250 000* lekë, afat 
shlyerje 60 muaj, normë interesi 6 %.
*4)* Detyrim në vlerën *37 850* euro ndaj subjektit Gener-2 shpk (ish-Vigan 
Konstruksion dhe Ish - Daniela sh.p.k, për blerje banese.
*5)* Detyrim huaje *9 900* euro, ndaj shtetasit Ardian Guri.
*6)* Detyrim *404 145* lekë, për prekje overdrafti gjatë viteve 2013  2014.</t>
  </si>
  <si>
    <t>Bashkëshortja, të ardhura nga paga si mësuese pranë shkollës private Faik 
Konica, *24 000* lekë.</t>
  </si>
  <si>
    <t>*1)* Gjendja e llogarisë në një bankë të nivelit të dytë, *5 991* lekë, 
pjesa takuese 50%.
*2)* Gjendja e llogarisë në një bankë të nivelit të dytë, *20 281* lekë, 
pjesa takuese 50 %.</t>
  </si>
  <si>
    <t>*1)* Të ardhura nga paga si anëtar i Gjykatës Kushtetuese, *1 896 470* lekë.
*2)* Të ardhura nga paga si pedagog i jashtëm, Universiteti Luarasi, 
Fakulteti i Drejtësisë, *87 826* lekë.</t>
  </si>
  <si>
    <t>Të ardhura nga qiraja e apartamentit 2+ I, në Tiranë, janar - qershor 2014, *300 
000* lekë.</t>
  </si>
  <si>
    <t>*1)* Bashkëshortja të ardhura nga paga në pozicionin Përgjegjëse e Arkivit 
në Kuvendin e RSH në vlerën *797 587* lekë.
*2)* Vajza, të ardhura nga bursa në vlerën *8 900* euro nga universiteti i 
Utrecht, Hollandë.</t>
  </si>
  <si>
    <t>*1)* Kredi në bankë të nivelit të dytë me vlerë detyrimi financiar të 
pashlyer - *25 991* euro, e marrë në maj 2005 me principal *40 000* euro, 
afat shlyerje 20 vjet, për blerje apartamenti me sip. 102.4 m2 + 76.5 m2 
verandë.
*2)* Kredi në një bankë të nivelit të dytë me vlerë detyrimi financiar *7 
802* euro, e marrë në qershor 2008, me principal *20 000* euro, afat 
shlyerje 10 vjet, për arredim ap.
*3)* Bashkëjetuesja, Rudina Shiroka, pronare e një trualli me sip. 512 m2 
dhe një godinë banimi, me sip. 218 m2, në Tiranë, trashëgimi, nga babai, 
Nikolin Shiroka.</t>
  </si>
  <si>
    <t>Të ardhura vjetore nga paga, *1 896 470* lekë.</t>
  </si>
  <si>
    <t>*1)* Bashkëshortja, të ardhura vjetore nga puna si notere, *432 794* lekë.
*2)* Bashkëshortja, të ardhura nga pensioni, *164 400* lekë.</t>
  </si>
  <si>
    <t>*1)* Gjendja e depozitës, bono thesari, në Bankën e Shtetit, nëpërmjet një 
banke të nivelit të dytë, *19 000* euro.
*2)* Gjendja e llogarisë në një bankë të nivelit ë dytë, pakësuar me - *117 
500* lekë.
*3)* Gjendja e llogarisë në një bankë të nivelit të dytë, pakësuar me - *2 
658 000* lekë.
*4)* Gjendja e depozitës në Bankën e Shtetit, obligacione me afat 2-vjeçar, *2 
658 000* lekë.
*5)* Bashkëshortja, gjendja e llogarisë në një bankë të nivelit të dytë, 
pakësuar me *689 800* lekë.
*6)* Bashkëshortja, gjendja e depozitës në Bankën e Shtetit në bono 
thesari, *689 800* lekë.</t>
  </si>
  <si>
    <t>*1)* Bashkëjetuesja, Shefkie Kortoci, të ardhura nga paga si arsimtare nga 
viti 1997  2012; nga puna përkohësisht në INSTAT, qarku i Kukësit dhe 
kontribut nga vëllezërit, *1 415 000* lekë.
*2)* E bija, Anisa Dizdari, të ardhurat si notere te Dhoma e Noterisë, 
Tiranë, *301 304* lekë.</t>
  </si>
  <si>
    <t>*1)* Të ardhura nga paga si anëtar i Gjykatës Kushtetuese, *1 896 470* lekë.
*2)* Të ardhura nga paga si lektor në Universitetin Iliria, *27 000* lekë.
*3)* Të ardhura nga paga si lektor në Universitetin Luarasi, *189 601* 
lekë.
*4)* Të ardhura nga Shkolla e Magjistraturës, si eksperte në Trajnimin 
vazhdues të gjyqtarëve, *1 484* euro.</t>
  </si>
  <si>
    <t>*1)* E bija, Renisa Tusha, të ardhura nga punësimi në Milano, Itali, *11 
089* euro.
*2)* E bija, Elira Tusha, të ardhura nga paga te Avokatura e Shtetit, 
janar-prill 2014, *221 565* lekë.
*3)* E bija Elira Tusha, të ardhura nga aktiviteti privat - noteri, tetor - 
dhjetor 2014, *232 632* lekë.</t>
  </si>
  <si>
    <t>*1)* Gjendja në llogarinë bankare në një bankë të nivelit të dytë, *1 543* 
lekë.
*2)* Gjendja në llogarinë bankare në një bankë të nivelit të dytë, 69 euro.
*3)* Gjendja në llogarinë një bankë të nivelit të dytë, *9 751* lekë.
*4)* Detyrim në shumën *25 000* euro.
*5)* E bija, Renisa Tusha, gjendja e llogarisë në një bankë të nivelit të 
dytë, 183 euro.
*6)* E bija, Elira Tusha, pakësim i gjendjes së llogarisë në një bankë të 
nivelit të dytë, - 31 700, Overdraft.</t>
  </si>
  <si>
    <t>Paga si Kryetar Bashkie në vlerën *780 000* lekë.</t>
  </si>
  <si>
    <t>Shpërblime si anëtar i Këshillit të Qarkut në vlerën *144 000* lekë.</t>
  </si>
  <si>
    <t>Qira ambjenti në vlerën *188 000* lekë.</t>
  </si>
  <si>
    <t>Djali zoti Besion Arifaj paga në vlerën *292 610* lekë.</t>
  </si>
  <si>
    <t>Detyrime të papaguara në vlerën *605 405* lekë për një kredi bankare në 
bankë të nivelit të dytë, pjesë e regjimit martesor.</t>
  </si>
  <si>
    <t>*1)* Të ardhura nga paga si deputete nga 01.01.2014 - shtator 2014, në 
vlerën *2 038 969* lekë.
*2)* Të ardhura nga paga si ministre nga shtatori 2014 - 31.12.2014, në 
vlerën *480 254* lekë.</t>
  </si>
  <si>
    <t>*1)* Të ardhura nga interesat bankare, 360 euro, pjesa takuese 50 %.
*2)* Të ardhura nga interesat bankare, personale, 29 dollarë.</t>
  </si>
  <si>
    <t>*1)* Bashkëshorti, të ardhura nga puna si oficer policie i Policisë 
Gjyqësore në Prokurorinë e Krimeve të Rënda, *1 128 180* lekë.
*2)* Bashkëshorti, të ardhura nga interesat bankare, 37 dollarë.</t>
  </si>
  <si>
    <t>*1)* Gjendja cash, *10 000* euro.
*2)* Gjendja e llogarisë bankare në një bankë të nivelit të dytë, *10 000* 
euro.
*3)* Bashkëshorti, gjendja e llogarisë bankare në një bankë të nivelit të 
dytë, pakësuar me *3 261* lekë.
*4)* Bashkëshorti, gjendja e llogarisë bankare në një bankë të nivelit të 
dytë, *480 001* lekë.</t>
  </si>
  <si>
    <t>Të ardhura nga paga si deputet, *2 663 265* lekë.</t>
  </si>
  <si>
    <t>Të ardhura nga interesat bankare, *3 128* euro.</t>
  </si>
  <si>
    <t>Bashkëshortja, të ardhura nga puna, *1 710 531* lekë.</t>
  </si>
  <si>
    <t>*1)* Gjendja e kursimeve shtuar me, *800 000* lekë.
*2)* Gjendja e kursimeve të mbartura, *25 000* euro.
*3)* Kredi bankare në një bankë të nivelit të dytë, detyrimi financiar i 
pashlyer *4 712 000* lekë, principali *5 000 000* lekë.</t>
  </si>
  <si>
    <t>Të ardhura nga paga dhe përfitimet e tjera financiare si deputet, *3 031 
925* lekë.</t>
  </si>
  <si>
    <t>Bashkëshortja, të ardhura nga paga si punonjëse e Autoritetit të 
Mbikëqyrjes Financiare, *679 748* lekë.</t>
  </si>
  <si>
    <t>*1)* Gjendja e llogarisë bankare në një bankë të nivelit të dytë, shtuar me *133 
449* lekë.
*2)* Gjendja cash, shtuar me *4 500* dollarë.
*3)* Bashkëshortja, gjendja e llogarisë bankare në një bankë të nivelit të 
dytë, shtuar me *23 592* lekë.
*4)* Kartë krediti në një bankë të nivelit të dytë, në shumën *300 000* 
lekë, afat vlefshmërie deri në 2020.
*5)* Kartë krediti në një bankë të nivelit të dytë në shumë *50 000* lekë, 
afat vlefshmërie deri në 2020.</t>
  </si>
  <si>
    <t>Të ardhura nga paga si deputete, *2 595 440* lekë.</t>
  </si>
  <si>
    <t>Kredi bankare në një bankë të nivelit të dytë, detyrimi financiar i 
pashlyer *1 200 000* lekë, principali *2 000 000* lekë.</t>
  </si>
  <si>
    <t>Të ardhura nga paga si deputete, *3 105 017* lekë.</t>
  </si>
  <si>
    <t>Bashkëshorti, të ardhura nga paga si përgjegjës sektori pranë DAR-it, 
Elbasan, *632 435* lekë.</t>
  </si>
  <si>
    <t>*1)* Gjendja e llogarisë bankare në një bankë të nivelit të dytë, *433 400* 
lekë.
*2)* Gjendja e kursimeve, *1 500 000* lekë.
*3)* Gjendja cash, *700 000* lekë.
*4)* Kredi bankare në një bankë të nivelit të dytë, detyrimi financiar i 
pashlyer, *1 064* euro.
*5)* Bashkëshorti, gjendja e llogarisë bankare në një bankë të nivelit të 
dytë, *33 730* lekë.</t>
  </si>
  <si>
    <t>Të ardhura nga paga dhe shpërblimet, *2 755 157* lekë.</t>
  </si>
  <si>
    <t>*1)* Të ardhura nga interesat bankare, *130 880* lekë.
*2)* Të ardhura nga interesat bankare, 749 dollarë.
*3)* Të ardhura nga interesat bankare, 9 euro.</t>
  </si>
  <si>
    <t>*1)* Bashkëshortja, të ardhura nga paga si administratore e Shtëpisë 
Botuese "Toena", *774 480* lekë.
*2)* Bashkëshortja, të ardhura nga interesat bankare, *2 559* lekë.
*3)* Bashkëshortja, të ardhura nga interesat bankare, 644 lekë.
*4)* Bashkëshortja, të ardhura nga interesat bankare, *24 259* lekë.
*5)* Bashkëshortja, të ardhura nga interesat bankare, *63 532* lekë.
*6)* Vajza, Ermela Kraja, të ardhura nga paga si punonjëse në Drejtorinë e 
Përgjithshme të ALUIZNI-t, *690 027* lekë.
*7)* Vajza, Majlinda Bami, të ardhura nga paga si punonjëse në Bibliotekën 
Kombëtare, *606 024* lekë.</t>
  </si>
  <si>
    <t>Të ardhura nga paga si deputet, *2 234 305* lekë.</t>
  </si>
  <si>
    <t>Të ardhura nga qiraja, *39 200* euro.</t>
  </si>
  <si>
    <t>Bashkëshortja, të ardhura nga puna si mësuese në Shkollën Publike në 
Distriktin e Kolumbias, SHBA, *19 989* dollarë.</t>
  </si>
  <si>
    <t>*1)* Gjendja e llogarisë bankare në një bankë të nivelit të dytë, *2 672 
387* lekë.
*2)* Gjendja e llogarisë depozitë në një bankë të nivelit të dytë, 2 euro.
*3)* Gjendja e llogarisë depozitë në një bankë të nivelit të dytë, 88 euro.
*4)* Gjendja e llogarisë bankare në një bankë të nivelit të dytë, pakësuar 
me *3 811* lekë.
*5)* Gjendja e llogarisë bankare në një bankë të nivelit të dytë, *52 797* 
lekë.
*6)* Gjendja e llogarisë depozitë në një bankë të nivelit të dytë, 50 euro.
*7)* Gjendja e llogarisë bankare në një bankë të nivelit të dytë, 143 
dollarë.
*8)* Gjendja e llogarisë bankare në një bankë të nivelit të dytë, 74 
dollarë.
*9)* Gjendja e llogarisë bankare në një bankë të nivelit të dytë, *15 887* 
euro.
*10)* Gjendja e llogarisë bankare në një bankë të nivelit të dytë, *3 751* 
dollarë.
*11)* Gjendja e llogarisë bankare në një bankë të nivelit të dytë, *98 720* 
lekë.
*12)* Gjendja e llogarisë bankare në një bankë të nivelit të dytë, *20 169* 
euro.
*13)* Gjendja e llogarisë bankare në një bankë të nivelit të dytë, *102 296* 
lekë.
*14)* Gjendja cash, shtuar me *6 843 454* lekë.
*15)* Detyrim i mbartur ndaj shoqërisë Tirana-International-Development 
shpk, *39 389* euro.
*15)* Detyrim huaje ndaj shoqërisë, "House of Arts", *100 000* euro.</t>
  </si>
  <si>
    <t>*1)* Të ardhura nga paga dhe shtesa si deputet, *1 857 098* lekë.
*2)* Të ardhura nga mësimdhënia te Akademia e Biznesit, *110 525* lekë.</t>
  </si>
  <si>
    <t>*1)* Të ardhura nga interesat bankare, *132 562* lekë.
*2)* Të ardhura nga interesat bankare, *151 744* lekë.</t>
  </si>
  <si>
    <t>*1)* Bashkëshortja, të ardhura nga puna në SKEP shpk, *36 000* euro.
*2)* Bashkëshortja, të ardhura nga interesat bankare, *601 000* lekë.
*3)* Bashkëshortja, të ardhura nga interesat bankare, *2 200* euro.
*4)* Bashkëshortja, të ardhura nga interesat bankare *131 583* lekë.
*5)* Bashkëshortja, të ardhura nga interesa në Bankën e Shqipërisë, *598 
351* lekë.
*6)* Bashkëshortja, të ardhura nga interesat bankare, 377 euro.
*7)* Bashkëshortja, të ardhura nga disbursimi i kredisë, *10 000* euro.
*8)* Bashkëshortja, të ardhura nga transferimi i garazhit të SKEP, *15 000* 
euro.
*9)* Nëna, të ardhura nga pensioni i pleqërisë, *170 000* lekë.
*10)* Vajza, të ardhura nga punësimi në Itali, *5 000* euro.
*11)* Vajza, të ardhura nga shërbime parti-time për SKEP shpk, *170 000* 
lekë.</t>
  </si>
  <si>
    <t>*1)* Gjendja e llogarisë bankare në një bankë të nivelit të dytë, shtuar me *784 
967* lekë.
*2)* Gjendja e llogarisë bankare në një bankë të nivelit të dytë, shtuar me *51 
451* lekë.
*3)* Gjendja e llogarisë bankare në një bankë të nivelit të dytë, shtuar me *81 
111* lekë.
*4)* Gjendja e llogarisë depozitë në një bankë të nivelit të dytë, shtuar 
me *151 744* lekë.
*5)* Bashkëshortja, gjendja e llogarisë depozitë në një bankë të nivelit të 
dytë, shtuar me *30 000* euro.
*6)* Bashkëshortja, gjendja e llogarisë bankare në një bankë të nivelit të 
dytë, pakësuar me *30 000* euro.
*7)* Bashkëshortja, gjendja e llogarisë depozitë në një bankë të nivelit të 
dytë, shtuar me *20 370* euro.
*8)* Bashkëshortja, gjendja e llogarisë bankare në një bankë të nivelit të 
dytë, pakësuar me *20 000* euro.
*9)* Bashkëshortja, bono thesari në Bankën e Shqipërisë, shtuar me *10 600 
000* lekë.
*10)* Bashkëshortja, gjendja e llogarisë depozitë në një bankë të nivelit 
të dytë, e përbashkët me nënën, pakësuar me *4 600 000* lekë.
*11)* Bashkëshortja, gjendja e llogarive depozitë në një bankë të nivelit 
të dytë, pakësuar me *6 000 000* lekë.
*12)* Bashkëshortja, gjendja e llogarisë depozitë në një bankë të nivelit 
të dytë, pakësuar me 135 euro.
*13)* Bashkëshortja, gjendja e llogarisë bankare në një bankë të nivelit të 
dytë, shtuar me 310 lekë.
*14)* Bashkëshortja, gjendja e llogarisë bankare në një bankë të nivelit të 
dytë, pakësuar me *56 312* lekë.
*15)* Bashkëshortja, gjendja e llogarisë bankare në një bankë të nivelit të 
dytë, pakësuar me *5 091* euro.
*16)* Vajza, gjendja e llogarisë bankare në një bankë në Itali, *2 159* 
euro.
*17)* Nëna, gjendja e llogarisë depozitë në një bankë të nivelit të dytë, *1 
163 988* lekë.
*18)* Bashkëshortja, detyrim për shtëpinë në Lalz, vlera *4 000* euro.
*19)* Bashkëshortja, detyrim kredie, detyrimi financiar i pashlyer, *1 934* 
euro.
*20)* Bashkëshortja, parapagim për garazhin e shtëpisë, detyrimi financiar 
i pashlyer, *2 500* euro.
*21)* Bashkëshortja, parapagim për garazhin e punës, detyrimi financiar i 
pashlyer *5 000* euro.</t>
  </si>
  <si>
    <t>Të ardhura nga paga si deputet, *1 843 549* lekë.</t>
  </si>
  <si>
    <t>*1)* Gjendja e llogarisë bankare në një bankë të nivelit të dytë, pakësuar 
me *163 510* lekë.
*2)* Kredi bankare një një bankë të nivelit të dytë, detyrimi financiar i 
pashlyer, 0 lekë.
*3)* Overdraft në një bankë të nivelit të dytë me limit kreditimi *500 000* 
lekë, detyrimi financiar i pashlyer *53 081* lekë.
*4)* Overdraft në një bankë të nivelit të dytë me limit kreditimi *1 000 
000* lekë, detyrimi financial i pashlyer *78 664* lekë.</t>
  </si>
  <si>
    <t>*1)* Të ardhura nga paga si deputet, *1 333 306* lekë.
*2)* Të ardhura nga pjesëmarrja në komisione parlamentare, *127 800* lekë.</t>
  </si>
  <si>
    <t>Të ardhura nga dieta dhe shpenzime telefoni si deputet, *1 166 342* lekë.</t>
  </si>
  <si>
    <t>*1)* Bashkëshortja, të ardhura nga paga dhe përfitime si hulumtuese 
shkencore e punësuar në Co-PLAN, Instituti për Zhvillimin e Habitatit, *3 
216 005* lekë.
*2)* Bashkëshortja, të ardhura nga paga dhe përfitime si planifikuese 
urbane pranë studios të projektimit, "MetroPOLIS", *105 917* lekë.
*3)* Bashkëshortja, të ardhura nga paga si pedagoge në Universitetin Polis, *549 
828* lekë.
*4)* Bashkëshortja, të ardhura nga ekspertiza e ofruar për Bankën Botërore 
në "Programin e Partneritetit Urban në Ballkan", 833 dollarë.
*5)* Bashkëshortja, të ardhura nga ekspertiza e ofruar për UNDP në 
programin "Star", *1 089 000* lekë.</t>
  </si>
  <si>
    <t>*1)* Gjendja e llogarisë bankare në një bankë të nivelit të dytë, *250 000* 
lekë.
*2)* Bashkëshortja, gjendja e llogarisë depozitë në një bankë të nivelit të 
dytë, 900 dollarë.
*3)* Bashkëshortja, gjendja e llogarisë depozitë në një bankë të nivelit të 
dytë, *500 000* lekë.
*4)* Bashkëshortja, kredi në një bankë të nivelit të dytë, detyrimi 
financiar i pashlyer *4 626* euro, principali *9 000* euro, marrë në 2012 
me afat 48 muaj.</t>
  </si>
  <si>
    <t>Të ardhura nga paga si deputet, *1 793 647* lekë.</t>
  </si>
  <si>
    <t>Bashkëshortja, të ardhura nga paga si drejtuese në Rrjetin Barazi në 
Vendimmarrje dhe në Rrjetin A.S.A.N, *138 000* lekë.</t>
  </si>
  <si>
    <t>*1)* Pronar i një autoveture, blerë *4 700* euro.
*2)* Kredi bankare në një bankë të nivelit të dytë.</t>
  </si>
  <si>
    <t>*1)* Të ardhura nga paga si deputet, *2 682 205* lekë.
*2)* Të ardhura të përfituara si pedagog i ftuar në Fakultetin e Bujqësisë, 
Universiteti "Fan Noli", Korçë, *115 962* lekë.</t>
  </si>
  <si>
    <t>*1)* Bashkëshortja, të ardhura nga paga si zëvendësdrejtore në shkollën 
9-vjeçare "Sevasti Qirjazi", Korçë, *692 025* lekë.
*2)* Vajza Stela, të ardhura nga paga si pedagoge në Fakultetin e Shkencave 
të Natyrës, Universiteti i Tiranës, *708 575* lekë.</t>
  </si>
  <si>
    <t>*1)* Kredi bankare në një bankë të nivelit të dytë, sipas VKM-së nr. 600 e 
vitit 2007 "Për trajtimin me strehim të nëpunësve civilë të administratës 
së lartë shtetërore dhe të funksionarëve publikë", detyrimi financiar i 
pashlyer *4 765 294* lekë, principali *5 000 000* lekë, norma e interesit 4 
%, me afat 30 vjet filluar në vitin 2012.
*2)* Kredi bankare në një bankë të nivelit të dytë, detyrimi financiar i 
pashlyer *4 876 610* lekë, principali *5 000 000* lekë, norma e interesit 6 
%, me afat 20 vjet, filluar në vitin 2014.</t>
  </si>
  <si>
    <t>Të ardhura nga paga si deputet, *2 517 160* lekë.</t>
  </si>
  <si>
    <t>*1)* Pronar me 100 % i një banesë dykatëshe me sip. 104 m2, blerë në 
Koplik, vlera *40 000* euro.
*2)* Gjendja e llogarisë bankare në një bankë të nivelit të dytë, *66 468* 
lekë.
*3)* Kredi bankare në një bankë të nivelit të dytë, detyrimi financiar i 
pashlyer *17 496* euro, principali *19 000* euro, norma e interesit 6 %, me 
afat 6 vjet.
*4)* Detyrim për shlyerje huaje ndaj kunatit, detyrimi financiar i pashlyer *5 
000* euro.
*5)* Detyrim për shlyerje huaje ndaj kushëririt, detyrimi financiar i 
pashlyer *2 500* euro.</t>
  </si>
  <si>
    <t>Të ardhura nga paga dhe dieta si deputet, *3 103 775* lekë.</t>
  </si>
  <si>
    <t>*1)* Të ardhura nga qiraja e ap., *628 000* lekë.
*2)* Të ardhura nga qiraja e lokalit në Shëngjin, *600 000* lekë.</t>
  </si>
  <si>
    <t>*1)* Djali, të ardhura nga paga si administrator në shoqërinë 
Iridiani&amp;Kadeli shpk, *362 310* lekë.
*2)* Djali, të ardhura nga paga te shoqëria "Payroll System", *360 00* lekë.
*3)* Djali, të ardhura nga paga te shoqëria Pelikan shpk(POA), *40 000* 
lekë.
*4)* Djali, të ardhura nga shitja e një autoveture Mercedes Benz, *6 500* 
euro.</t>
  </si>
  <si>
    <t>Të ardhura nga SIGAL, (nga sigurimi i jetës për likuidim kredie për shkak 
të vdekjes së bashkëkredimarrëses, bashkëshortes), *27 395* euro.</t>
  </si>
  <si>
    <t>*1)* Gjendja e llogarisë bankare në një bankë të nivelit të dytë, *1 629 
739* lekë.
*2)* Gjendja e llogarisë bankare në një bankë të nivelit të dytë, 6 euro.
*3)* Gjendja e llogarisë bankare në një bankë të nivelit të dytë, *1 918* 
lekë.
*4)* Gjendja e llogarisë bankare në një bankë të nivelit të dytë, *1 265* 
lekë.
*5)* Gjendja e llogarisë bankare në një bankë të nivelit të dytë, *13 690* 
dollarë.
*6)* Gjendja e llogarisë bankare në një bankë të nivelit të dytë, *70 534* 
lekë.
*7)* Gjendja e llogarisë bankare në një bankë të nivelit të dytë, 50 paund 
britanikë (GBP).
*8)* Gjendja e llogarisë bankare në një bankë të nivelit të dytë, 6 euro.
*9)* Gjendja e llogarisë bankare në një bankë të nivelit të dytë, *60 180* 
lekë.
*10)* Gjendja e llogarisë bankare në një bankë të nivelit të dytë, 8 euro.
*11)* Djali, Admir Kadeli, gjendja e llogarisë bankare në një bankë të 
nivelit të dytë, 401 lekë.
*12)* Djali, Admir Kadeli, gjendja e llogarisë bankare në një bankë të 
nivelit të dytë, *113 785* lekë.
*13)* Djali, Admir Kadeli, gjendja e llogarisë bankare në një bankë të 
nivelit të dytë, 41 dollarë.
*14)* Djali, Admir Kadeli, gjendja e llogarisë bankare në një bankë të 
nivelit të dytë, *40 000* lekë.
*15)* Djali, Admir Kadeli, gjendja e llogarisë bankare në një bankë të 
nivelit të dytë, *140 020* lekë.
*16)* Hua nga shoqëria Iridiani&amp;Kadeli shpk, *5 600 000* lekë.
*17)* Hua nga shoqëria Iridiani&amp;Kadeli shpk, shpk, *4 800 000* lekë.
*18)* Kredi bankare në një bankë të nivelit të dytë, detyrimi financiar i 
shlyer plotësisht *68 712* euro.
*19)* Hua nga shoqëria Colosseo-Construction shpk, detyrimi financiar i 
pashlyer *8 000* euro.
*20)* Hua nga shoqëria Iridiani&amp;Kadeli shpk, detyrimi financiar i shlyer 
plotësisht *1 260 000* lekë.
*21)* Djali, pronar me 100 % i një autoveture Mercedes Benz me vlerë *1 400* 
euro.
*22)* Djali, pronar me 100 % i një fuoristrade Mitsubish Pajero Sport me 
vlerë *5 000* euro.</t>
  </si>
  <si>
    <t>Të ardhura nga puna si deputet, *2 975 399* lekë.</t>
  </si>
  <si>
    <t>*1)* Bashkëshortja, të ardhura të përfituara nga puna si mjeke në Qendrën 
Shëndetësore në Otllak të Beratit, *676 421* lekë.
*2)* Bashkëshortja, të ardhura nga puna si mjeke specialiste pranë 
Kontrollit të Mjekut.</t>
  </si>
  <si>
    <t>*1)* Posedues së bashku me bashkëshorten me 50 % secili, i të ardhurave të 
krijuara nga shitja e ap. me sip. 63.7 m2 në Linzë të Tiranës, vlera *3 681 
860* lekë.
*2)* Posedues së bashku me bashkëshorten me 50 % secili, i të ardhurave të 
krijuara nga shitja e ap. me sip. 65 m2 në Linzë të Tiranës, vlera *3 757 
000* lekë.
*3)* Pronar me 100 % i një toke arë me sip. 3700 m2 në Duhanas, Berat, me 
vlerë *751 100* lekë.
*4)* Pronar me 100 % i një toke me sip. 3000 m2 në Duhanas, Berat, me vlerë *950 
000* lekë.</t>
  </si>
  <si>
    <t>Të ardhura nga paga si deputet, *2 843 295* lekë.</t>
  </si>
  <si>
    <t>*1)* Bashkëshortja, të ardhura nga pensioni, *132 000* lekë.
*2)* Djali, të ardhura nga paga, *1 440 000* lekë.
*3)* Djali, të ardhura nga qiraja, *31 000* euro.
*4)* Vajza, të ardhura nga puna si notere, *4 745 079* lekë.
*5)* Vajza, të ardhura nga puna e bashkëshortit si mjek, *960 000* lekë.</t>
  </si>
  <si>
    <t>*1)* Gjendja cash, shtuar me *1 000 000* lekë.
*2)* Gjendja cash pas shitjes së makinës, *10 000* euro.
*3)* Djali, pronar me 100 % i një dyqani me sip. 69.8 m2 në Tiranë, vlera *41 
880* euro.
*4)* Vajza, gjendja cash shtuar me *4 745 079* lekë.</t>
  </si>
  <si>
    <t>Të ardhura nga paga si deputet, *2 697 533* lekë.</t>
  </si>
  <si>
    <t>Të ardhura nga interesat bankare *53 744* lekë.</t>
  </si>
  <si>
    <t>Bashkëshortja, të ardhura nga punësimi në QSUT, *498 729* lekë.</t>
  </si>
  <si>
    <t>*1)* Të ardhura nga shitja e autoveturës Skoda, *7 000* euro.
*2)* Pronar i një automjeti Mercedes Benz, blerë *24 000* dollarë.
*3)* Gjendja e llogarisë bankare depozitë në një bankë të nivelit të dytë, *4 
950 000* lekë, dhuruar nga babai.
*4)* Kredi bankare në një bankë të nivelit të dytë shlyer tërësisht. 
Detyrimi financiar i shlyer në 2014, *55 896* lekë, principali *300 000* 
lekë, norma e interesit 18 %.
*5)* Kredi bankare në një bankë të nivelit të dytë, shlyer tërësisht. 
Detyrimi financiar i shlyer në 2014, *3 845* euro, principali *11 680* 
euro, norma e interesit 8 %.
*6)* Kredi bankare në një bankë të nivelit të dytë, detyrimi financiar i 
pashlyer *7 441* euro, principali *11 250* euro, norma e interesit 8 %, 
marrë në 2013.
*7)* Detyrimi financiar i pashlyer për blerje automjeti në 2014, *18 000* 
dollarë, principali *24 000* dollarë.</t>
  </si>
  <si>
    <t>Të ardhura nga paga dhe përfitimet e tjera financiare si deputet, *2 498 
636* lekë.</t>
  </si>
  <si>
    <t>*1)* Të ardhura nga interesat bankare, *18 912* lekë.
*2)* Të ardhura nga interesat bankare, *216 000* lekë.
*3)* Të ardhura nga interesat bankare, *52 646* lekë.</t>
  </si>
  <si>
    <t>Të ardhura nga qiraja, *4 200* dollarë.</t>
  </si>
  <si>
    <t>*1)* Bashkëshortja, të ardhura nga paga si administratore dhe ortake e 
vetme e IRC-Studio shpk, *319 680* lekë.
*2)* Të ardhura nga fitimi pas tatimit i IRC-Studio shpk, *571 677* lekë.
*2)* Të ardhura nga fitimi pas tatimit i biznesit të vogël, *300 524* lekë.</t>
  </si>
  <si>
    <t>*1)* Gjendja e llogarisë bankare në një bankë të nivelit të dytë, *2 498 
636* lekë.
*2)* Gjendja cash pakësuar me *37 000* euro.
*3)* Të ardhura nga shitja e dyqanit me sip. 33.5 m2 ku ishte bashkëpronar 
me 33.33 %, *28 500* euro.
*4)* Pronar me 50 % i një toke arë me sip. *1 000* m2, blerë *600 000* lekë.
*5)* Pronar me 50 % i një toke arë me sip. *1 428* m2, blerë *856 800* lekë.
*6)* Pronar me 50 % i një toke arë me sip. *9 817* m2, blerë *3 750 000* 
lekë.
*7)* Bashkëshortja, hua dhënë motrës në vlerën e *50 000* euro.
*8)* Bashkëshortja, pronare me 100 % e një autoveture Benz Daimler 
Chrysler, blerë *950 000* lekë.</t>
  </si>
  <si>
    <t>Të ardhura nga paga, përfitimet e tjera financiare dhe bonuset si deputet, *3 
108 248* lekë.</t>
  </si>
  <si>
    <t>Të ardhura nga dhënia me qira e një pjese të dyqanit, *4 200* dollarë.</t>
  </si>
  <si>
    <t>*1)* Bashkëshortja, të ardhura nga paga si psikologe te shkolla "Asim 
Vokshi", nga data 22 tetor-31 dhjetor 2014, *90 203* lekë.
*2)* Vajza, të ardhura nga paga si specialiste pranë Ministrisë së 
Zhvillimit Ekonomik, Tregtisë dhe Sipërmarrjes, *239 214* lekë.
*3)* Të ardhura nga paga si specialiste pranë Sekretariatit Teknik të 
Këshillit Kombëtar të Ujit, *147 088* lekë.</t>
  </si>
  <si>
    <t>*1)* Shtuar depozitë në një bankë të nivelit të dytë në vlerën *2 517 548* 
lekë.
*2)* Shtuar depozitë në një bankë të nivelit të dytë në vlerën *216 000* 
lekë nga të ardhurat e depozitës së mësipërme.
*3)* Shtuar depozitë në një bankë të nivelit të dytë në vlerën *52 646* 
lekë nga të ardhurat e depozitës së mësipërme.
*4)* Të ardhura nga shitja e një autoveture "Range Rover", *30 000* euro.</t>
  </si>
  <si>
    <t>*1)* Të ardhura nga paga dhe shpërblime si deputetë, *1 354 143* lekë.
*2)* Të ardhura nga pjesëmarrja në komisione parlamentare, *717 313* lekë.</t>
  </si>
  <si>
    <t>*1)* Të ardhura nga pagesa e telefonit, *204 000* lekë.
*2)* Të ardhura nga dietat, *777 538* lekë.
*3)* Të ardhura nga pagesa për qira, *453 000* lekë.
*4)* Të ardhura për blerje karburanti, *353 453* lekë.</t>
  </si>
  <si>
    <t>*1)* Vajza Jonida, të ardhura nga paga vjetore në farmacinë "Mars Farma", 
Elbasan, *396 000* lekë.
*2)* Vajza Jonida, të ardhura nga fitimi vjetor nga biznesi i farmacisë 
"Mars Farma", Elbasan, *1 016 914* lekë.
*3)* Vajza Marsida, të ardhura nga paga vjetore, *20 300* euro.</t>
  </si>
  <si>
    <t>*1)* Gjendja e llogarisë depozitë në një bankë të nivelit të dytë, shtuar 
me *1 000 000* lekë.
*2)* Gjendja e llogarisë depozitë në një bankë të nivelit të dytë, shtuar 
me 27 dollarë.
*3)* Vajza Jonida, gjendja e llogarisë depozitë në një bankë të nivelit të 
dytë, *12 000* dollarë.
*4)* Vajza Marsida, kredi bankare marrë në një bankë të Itali, detyrimi 
financiar i pashlyer, *153 000* euro, principali *155 000* euro, me afat 
30-vjeçar.
*5)* Vajza Marsida, pronare me 50 % e një shtëpie në Itali me sip. 130 m2, 
vlera *180 000* lekë.</t>
  </si>
  <si>
    <t>Të ardhura nga paga dhe përfitimet e tjera si deputet, *2 516 531* lekë.</t>
  </si>
  <si>
    <t>*1)* Të ardhura nga qiraja e ap, *180 000* lekë.
*2)* Të ardhura nga qiraja e një njësie shërbimi, *54 000* lekë.</t>
  </si>
  <si>
    <t>*1)* Djali, të ardhura nga paga dhe shpërblime si administrator i shoqërisë 
Bailiff-Services-Albania shpk, *1 041 956* lekë.
*2)* Vajza Lediona Kamberi, të ardhura nga puna si financiere pranë 
shoqërisë "Price water housecooper Audit", *6 708* euro.
*4)* Vajza, Suela Selimi, të ardhura nga puna si nëndrejtore e spitalit 
Tepelenë, *660 000* lekë.</t>
  </si>
  <si>
    <t>*1)* Pronar i një automjeti "Mercedes Benz", blerë më 2014, vlera *300 000* 
lekë , blerë në 2014.
*2)* Të ardhura nga shitja e një automjeti "Mercedes Benz", vlera *300 000* 
lekë.
*3)* Kredi bankare në një bankë të nivelit të dytë, detyrimi financiar i 
pashlyer *2 845 320* lekë, principali *5 000 000* lekë, me afat 25-vjeçar, 
normë interesi 3 %.
*4)* Hua pa interes marrë në emër të djalit Alsid Kamberi, detyrimi 
financiar i pashlyer *11 107 000* lekë.
*5)* Hua pa interes marrë në emër të djalit Alsid Kamberi, detyrimi 
financiar i pashlyer *12 666 000* lekë.
*6)* Djali, përfitime nga shpërndarja e dividentit si aksioner në shoqërinë 
Bailiff-Services-Albania shpk, *9 296 398* lekë, pjesa takuese 97 %.
*7)* Djali, të ardhura nga qiraja e makinës, *54 000* lekë.
*8)* Djali, të ardhura nga shitja e automjetit "Nisan", vlera *200 000* 
lekë.
*9)* Djali, pronar i një automjeti "Daimler Chrysler", vlera *200 000* lekë.
*10)* Djali, gjendja e llogarisë depozitë në një bankë të nivelit të dytë, 
shtuar me *553 375* lekë.
*11)* Djali, kontratë huaje me shoqërinë Bailiff-Services-Albania shpk, 
principali *9 500 000* lekë, shlyer plotësisht.
*12)* Djali, shpenzime për energjinë elektrike *411 123* lekë.
*13)* djali, dhënie huaje pa interes për bashkëshorten Theodhora Kamberi, *84 
000* euro.
*14)* Vajza Lediona Kamberi, gjendje cash, *800 000* lekë.
*15)* Vajza, Suela Selimi, gjendja cash, *1 000 000* lekë.
*16)* Vajza Suela Selimi, pronare me 33 % e një ap. me sip. 66.7 m2, 
Tepelenë, vlera *7 000* lekë.
*17)* Vajza, Suela Selimi, pronare me 50 %e një ap. me sip. 56 m2 në Vlorë, *1 
250 000* lekë.</t>
  </si>
  <si>
    <t>Të ardhura nga paga dhe përfitimet si deputet, *2 295 000* lekë.</t>
  </si>
  <si>
    <t>Të ardhura nga aktiviteti si person fizik, "Il Paese", *1 852 220* lekë.</t>
  </si>
  <si>
    <t>*1)* Bashkëshortja, të ardhura nga puna si administratore e "Luna 1", *915 
600* lekë.
*2)* Vajza, të ardhura nga paga si administratore e "Anima Pictures", *1 
202 496* lekë.
*3)* Djali, të ardhura nga paga si punonjës i "Anima Pictures", *398 651* 
lekë.</t>
  </si>
  <si>
    <t>*1)* 2014, Legalizim i banesës në Pezë të Madhe dhe biznesit restorant me 
bono privatizimi, vlera *321 000* lekë.
*2)* Pronar i një toke arë të blerë në 2014 Domen, Kavajë, vlera *25 000* 
euro.
*3)* Pronar i një autoveture "Mitsubish Pajero", vlera *500 000* lekë, 
blerë më 2014.
*4)* Pronar i një autoveture "Ford Focus", vlera *14 750* euro, blerë më 
2014.
*5)* Kredi bankare në një bankë të nivelit të dytë, detyrimi financiar i 
pashlyer, *194 000* euro.
*6)* Kredi bankare në një bankë të nivelit të dytë, *24 700* euro.
*7)* Kredi bankare në një bankë të nivelit të dytë dhe overdraft, detyrimi 
financiar i pashlyer *1 260 000* lekë.
*8)* Kartë Amex në një bankë të nivelit të dytë, detyrimi financiar i 
pashlyer 0 lekë.
*9)* Bashkëshortja, overdraft në një bankë të nivelit të dytë, detyrimi 
financiar i pashlyer, *3 700* euro.
*10)* Kartë debiti në një bankë të nivelit të dytë, detyrimi financiar i 
pashlyer *105 000* lekë.
*11)* Kredi bankare në një bankë të nivelit të dytë, mbyllur pas shlyerjes 
së detyrimit financiar prej *60 538* lekë.
*12)* Kredi bankare në një bankë të nivelit të dytë, mbyllur pas shlyerjes 
së detyrimit financiar prej *1 613 338* lekë.</t>
  </si>
  <si>
    <t>Të ardhura nga paga dhe përfitimet e tjera financiare të deputetëve, *2 032 
943* lekë.</t>
  </si>
  <si>
    <t>*1)* Të ardhura nga interesat e bonove të thesarit më 06.06.2014, *40 392* 
lekë, pjesa takuese 50 %.
*2)* Të ardhura nga interesat e bonove të thesarit më 30.10.2014, *30 960* 
lekë, pjesa takuese 50 %.</t>
  </si>
  <si>
    <t>Të ardhura mujore nga botime dhe publikime në gazeta dhe periodike të 
ndryshme, 250 euro në muaj.</t>
  </si>
  <si>
    <t>Bashkëshortja, të ardhura nga si kryetare e Autoritetit të Mbikëqyrjes 
Financiare, *1 694 007* lekë.</t>
  </si>
  <si>
    <t>*1)* Gjendja e llogarisë bankare në një bankë të nivelit të dytë, *180 000* 
lekë.
*2)* Gjendja e llogarisë bankare në një bankë të nivelit të dytë, *350 000* 
lekë.
*3)* Gjendja e llogarisë depozitë në një bankë të nivelit të dytë, *11 075* 
euro, pjesa takuese 50 %.
*4)* Bashkëpronar i disa pronave dosje të depozituara pranë Komisionit të 
Kthimit të Pronave.</t>
  </si>
  <si>
    <t>Të ardhura nga paga dhe përfitimet e tjera si deputet, *2 279 222* lekë.</t>
  </si>
  <si>
    <t>Bashkëjetuesja, të ardhura nga paga, *373 119* lekë.</t>
  </si>
  <si>
    <t>Pakësim pasurie, dhuratë motrës të pjesës takuese të ap. në Tiranë.</t>
  </si>
  <si>
    <t>Të ardhura nga paga si deputet, *1 387 380* lekë.</t>
  </si>
  <si>
    <t>Të ardhura për karburant, telefona dhe nga dietat, *646 383* lekë.</t>
  </si>
  <si>
    <t>Të ardhura nga qiraja, *216 000* lekë.</t>
  </si>
  <si>
    <t>*1)* Bashkëshortja, të ardhura nga paga si administratore në shoqërinë 
Unipress shpk, *544 130* lekë.
*2)* Bashkëshortja, të ardhura nga paga si administratore në shoqërinë 
Sirius sha, *828 496* lekë.
*3)* Bashkëshortja, të ardhura nga paga në shoqërinë 2K-Group shpk, *138 
034* lekë.
*4)* Bashkëshortja, të ardhura nga paga në shoqërinë Abissnet sha, *211 809* 
lekë.
*5)* Vajza, Besa Kokëdhima, të ardhura nga pjesëmarrja në aktivitete 
artistike, *1 300 000* lekë.
*6)* Vajza, Besa Kokëdhima, të ardhura paguar nga Shoqëri me Përgjegjësi të 
Kufizuar, *10 000* lekë.</t>
  </si>
  <si>
    <t>*1)* Shitja e *510 661* aksionesh të shoqërisë Abissnet sha te Shoqëri me 
Përgjegjësi të Kufizuar, *500 000 000* lekë.
*2)* Shitja e 68.30 kuotash të shoqërisë Inerte-Co shpk te subjekt juridik, *32 
100 000* lekë.
*3)* Shitja e 5 kuotave të shoqërisë Unipress shpk tek individ, *150 000* 
euro.
*4)* Shitja e 5 kuotave të shoqërisë Unipress shpk, tek individ, *150 000* 
euro.
*5)* Pronar me 100 % i objekteve me vlera artistike, blerë *7 115 000* lekë.
*6)* Pronar me 100 % i monedhave antike, blerë *30 275* dollarë.
*7)* Pronar me 100 % i monedhave antike, blerë *5 342 817* lekë.
*8)* Dhënë hua një individi, *8 000 000* lekë.
*9)* Gjendja kreditore në Shoqëri me Përgjegjësi të Kufizuar, shtuar me *474 
610 776* lekë.
*10)* Gjendja kreditore në Shoqëri Aksionere, pakësuar me *40 000* lekë.
*11)* Gjendja kreditore në Shoqëri Aksionere pakësuar me *121 450* lekë.
*12)* Gjendja kreditore në Shoqëri me Përgjegjësi të Kufizuar, shtuar me *9 
792 421* lekë.
*13)* Gjendja kreditore në Shoqëri Aksionere, pakësuar me *44 940* lekë.
*14)* Gjendja kreditore në Shoqëri Aksionere, shtuar me *1 592 450* lekë.
*15)* Gjendja kreditore në Shoqëri me Përgjegjësi të Kufizuar, pakësuar me *6 
136 108* lekë.
*16)* Gjendja kreditore Shoqëri Aksionere, pakësuar me *10 565 560* lekë.
*17)* Gjendja kreditore në Shoqërinë Aksionere *93 702* lekë.
*18)* Gjendja kreditore në Shoqëri me Përgjegjësi të Kufizuar, *1 251 200* 
lekë.
*19)* Është rritur në 1818.42 numri i aksioneve në Shoqëri Aksionere, pjesa 
takuese 90.92 %.
*20)* Gjendja e llogarive bankare në disa banka të nivelit të dytë, 
pakësuar me *514 237* lekë.
*21)* Gjendja e debisë në Shoqëri Aksionere, 0 lekë, shuma e shlyer, *4 241 
448* lekë.
*22)* Gjendja e debisë në Shoqëri Aksionere, 0 lekë, shuma e shlyer *4 578 
035* lekë.
*23)* Gjendja e debisë në Shoqëri Aksionerë, pakësuar me *405 790* lekë, 
shuma e shlyer *236 851* lekë.
*24)* Bashkëshortja, themeluese e qendrës "Media Research and Development 
Center".
*25)* Bashkëshortja, gjendja kreditore në Shoqëri Aksionere, pakësuar me *1 
800* lekë.
*26)* Bashkëshortja, gjendja në llogaritë bankare në banka të nivelit të 
dytë, shtuar me *91 808* lekë.
*27)* Bashkëshortja, gjendja debitore në Shoqëri Aksionere, *9 000* lekë.
*28)* Vajza, Besa Kokëdhima, gjendja në llogaritë bankare të nivelit të 
dytë, pakësuar me *340 625* lekë.
*29)* Vajza, Bora Kokëdhima, pronare e shoqërisë Savage shpk, themeluar më 
21.05.2014, kapitali 100 lekë.
*30)* Vajza, Bora Kokëdhima, gjendja e llogarisë bankare në një të nivelit 
të dytë, *17 008* lekë. 31 Vajza, Bora Kokëdhima, gjendja debitore në 
Shoqëri më Përgjegjësi të Kufizuar, *1 194 987* lekë.</t>
  </si>
  <si>
    <t>Të ardhura nga paga dhe të tjera, nga Kuvendi i Shqipërisë, *1 964 421* 
lekë.</t>
  </si>
  <si>
    <t>Bashkëshortja, të ardhura nga paga dhe të tjera nga Kuvendi i Shqipërisë, *2 
295 826* lekë.</t>
  </si>
  <si>
    <t>*1)* Gjendja e llogarisë bankare në një bankë të nivelit të dytë, shtuar me *269 
524* lekë.
*2)* Kredi në një bankë të nivelit të dytë, detyrimi financiar i pashlyer, *163 
506* euro.
*3)* Bashkëshortja, pronare me 100 % e 13 apartamenteve të banimit me sip. 
totale 1444.8 m2, përfituar nga shtojca e kontratës së sipërmarrjes me 
Agi-Kons shpk, për caktimin në natyrë të pjesës takuese.
*4)* Bashkëshortja, të ardhura nga shitja e apartamentit të banimit, të 
përfituar nga kontrata e sipërmarrjes, *57 798* euro.
*5)* Bashkëshortja, kontratë shitje e apartamenti të banimit, të përfituar 
nga kontrata e sipërmarrjes, e palikuiduar deri më 31.12.2014, *64 020* 
euro.
*6)* Bashkëshortja, gjendja e llogarisë bankare në një bankë të nivelit të 
dytë, *56 778* euro.
*7)* Bashkëshortja, gjendja e llogarisë bankare në një bankë të nivelit të 
dytë, *2 336 669* lekë.
*8)* Bashkëshortja, gjendja cash, pakësuar me *8 000* euro.
*9)* Bashkëshortja, gjendja e llogarisë bankare në një bankë të nivelit të 
dytë, (në emër të fëmijës), *11 038* euro.
*10)* Gjendja e llogarisë bankare në një bankë të nivelit të dytë, (në emër 
të fëmijës), *82 086* lekë.
*11)* Bashkëshortja, detyrim financiar i shlyer në formën e overdraftit në 
një bankë të nivelit të dytë, *1 500 000* lekë.</t>
  </si>
  <si>
    <t>Të ardhura nga paga dhe përfitime të tjera financiare si deputet, *2 303 
395* lekë.</t>
  </si>
  <si>
    <t>*1)* Bashkëshortja, të ardhura nga paga si punonjëse e ISSH-së gjatë 
periudhës 01.01.2014 - 01.10.2014, *675 851* lekë.
*2)* Vajza, Amantia Xhafaj, të ardhura nga paga dhe shpërblimet nga 
"Deloitte Albania", *683 520* lekë.
*3)* Vajza, Aulona Xhafaj, të ardhura nga paga dhe shpërblimet nga "Intesa 
Sanpaolo Bank", *590 484* lekë.
*4)* Bashkëshortja, të ardhura nga shlyerja e huasë nga vëllai, *5 200 000* 
lekë.</t>
  </si>
  <si>
    <t>*1)* Gjendja e llogarisë bankare në një bankë të nivelit të dytë, 0 euro.
*2)* Gjendja e llogarisë bankare në një bankë të nivelit të dytë, *56 793* 
lekë.
*3)* Gjendja e llogarisë bankare në një bankë të nivelit të dytë, *7 832* 
euro.
*4)* Gjendja e llogarisë bankare në një bankë të nivelit të dytë, 604 
dollarë.
*5)* Gjendja e llogarisë depozitë në një bankë të nivelit të dytë, *1 035 
234* lekë.
*6)* Gjendja e llogarisë bankare në një bankë të nivelit të dytë, 8 euro.
*7)* Gjendja cash, *4 200 000* lekë.
*8)* Bashkëshortja, gjendja e llogarisë bankare në një bankë të nivelit të 
dytë, 0 lekë.
*9)* Bashkëshortja, gjendja e llogarisë bankare në një bankë të nivelit të 
dytë, *9 300* lekë.
*10)* Bashkëshortja, gjendja e llogarisë bankare në një bankë të nivelit të 
dytë, *37 215* euro.
*11)* Vajza, Amantia Xhafaj, gjendja e llogarisë bankare në një bankë të 
nivelit të dytë, 457 euro.
*12)* Vajza, Aulona Xhafaj, gjendja e llogarisë bankare në një bankë të 
nivelit të dytë, *69 347* lekë.
*13)* Kredi bankare në një bankë të nivelit të dytë, detyrimi financiar i 
pashlyer *44 999* euro, principali *100 000* euro, norma e interesit 13 
euro, e marrë më 18.07.2006 me afat 15 vjet.
*14)* Bashkëshortja, gjendja e llogarisë bankare të biznesit në një bankë 
të nivelit të dytë, *4 750* lekë.
*15)* Bashkëshortja, gjendja e llogarisë bankare të biznesit në një bankë 
të nivelit të dytë, 48 euro.</t>
  </si>
  <si>
    <t>*1)* Të ardhura nga paga si deputet, *2 618 160* lekë.
*2)* Të ardhura nga pagesa nga Universiteti "Marin Barleti", *120 000* lekë.</t>
  </si>
  <si>
    <t>Të ardhura nga Qendra Kombëtare e Trajnimeve dhe Asistencës Teknike, *620 
000* lekë.</t>
  </si>
  <si>
    <t>Të ardhura nga interesat e depozitave dhe bonove të thesarit, *300 000* 
lekë.</t>
  </si>
  <si>
    <t>Të ardhura nga qiraja e ap. në rrugën Don Bosko, *360 000* lekë.</t>
  </si>
  <si>
    <t>Bashkëshortja, të ardhura nga paga dhe pagesa për punë jashtë orarit, *825 
000* lekë.</t>
  </si>
  <si>
    <t>Të ardhura nga dëmshpërblimi i dhënë nga EUROSIG, për aksidentin e pësuar 
në nëntor 2014, *3 000 000* lekë.</t>
  </si>
  <si>
    <t>*1)* Kredi ndaj Entit të Banesave, detyrimi financiar i pashlyer *469 436* 
lekë, principali *1 760 000* lekë.
*2)* Bashkëshortja, pronare me 50 % e një ap. 67 m2 në Tiranë, vlera *3 000 
000* lekë, trashëgimi pas vdekjes së prindërve.
*3)* Bashkëshortja, pronare me 100 % e një shtëpie 60 m2 me 250 m2 kopsht, 
vlera *3 200 000* lekë, trashëgimi pas vdekjes së prindërve.
*4)* Bashkëshortja, bono thesari në Bankën e Shqipërisë, vlera takuese *3 
300 000* lekë nga *4 400 000* që është vlera e tyre, trashëgimi pas vdekjes 
së prindërve.
*5)* Bashkëshortja, pronare me 100 % e bonove të thesarit në Bankën e 
Shqipërisë, vlera *1 500 000* lekë, transferuar nga bashkëshorti.</t>
  </si>
  <si>
    <t>Të ardhura nga paga si deputet, *1 789 178* lekë.</t>
  </si>
  <si>
    <t>Të ardhura nga biznesi në USA dhe qiraja, *74 288* dollarë.</t>
  </si>
  <si>
    <t>*1)* Gjendja e llogarisë bankare në një bankë të nivelit të dytë, shtuar me *11 
000* euro.
*2)* Gjendja e llogarisë bankare në një bankë të nivelit të dytë, shtuar me *1 
230 780* lekë.
*3)* Gjendja e llogarisë bankare në një bankë në Amerikë, pakësuar me *8 
500* dollarë.
*4)* Gjendja e llogarisë bankare në një bankë të nivelit të dytë, shtuar me *11 
000* dollarë.
*5)* Kredi në një bankë në USA, detyrimi financiar i pashlyer *162 542* 
dollarë, principali *252 000* dollarë, normë interesi 5 %, me afat 30 vjet, 
filluar në vitin 2005, për blerje ap. në USA.</t>
  </si>
  <si>
    <t>Të ardhura nga paga si deputet, *2 712 240* lekë.</t>
  </si>
  <si>
    <t>Të ardhura nga qiraja e ap., *7 623* euro.</t>
  </si>
  <si>
    <t>*1)* Bashkëshortja, të ardhura nga kurse private për programin AUTOCADIT, *380 
000* lekë.
*2)* Bashkëshortja, të ardhura nga puna si pedagoge dhe shefe e 
Departamentit të Arkitekturës në "Albanian University", *1 252 591* lekë.</t>
  </si>
  <si>
    <t>*1)* Gjendja e llogarisë bankare në një bankë të nivelit të dytë, *540 001* 
lekë.
*2)* Kredi bankare në një bankë të nivelit të dytë, detyrimi financiar i 
pashlyer, *35 989* euro, principali *42 000* euro, norma e interesit 6 %, 
afati 20 vjet.
*3)* Bashkëshortja, gjendja e llogarisë bankare në një bankë të nivelit të 
dytë, shtuar me *38 000* lekë.
*4)* Bashkëshortja, gjendja e llogarisë bankare në një bankë të nivelit të 
dytë, shtuar me *2 002* euro.
*5)* Bashkëshortja, gjendja e llogarisë bankare në një bankë të nivelit të 
dytë, *290 215* lekë.</t>
  </si>
  <si>
    <t>Të ardhura nga paga si deputet, *2 929 859* lekë.</t>
  </si>
  <si>
    <t>*1)* Bashkëshortja, të ardhura nga paga si laborante pranë DSHP-së, Berat, *447 
564* lekë.
*2)* Nëna, të ardhura nga pensioni, *237 600* lekë.</t>
  </si>
  <si>
    <t>Gjendja e kursimeve, shtuar me *1 500 000* lekë.</t>
  </si>
  <si>
    <t>Të ardhura nga paga dhe përfitimet financiare si deputete, *3 067 168* lekë.</t>
  </si>
  <si>
    <t>Të ardhura nga paga si deputete, *1 758 000* lekë.</t>
  </si>
  <si>
    <t>Bashkëshorti, të ardhurat *550 000* lekë.</t>
  </si>
  <si>
    <t>*1)* Gjendja cash, pakësuar me *2 000* euro.
*2)* Bashkëshorti, gjendja e llogarisë bankare në një bankë të nivelit të 
dytë, *350 000* lekë.</t>
  </si>
  <si>
    <t>*1)* Të ardhura nga paga si sekretare e Përgjithshme e Kuvendit të 
Shqipërisë, *1 381 986* lekë.
*2)* Të ardhura si pagesë kalimtare për efekt të mbarimit të mandatit si 
anëtare e KQZ-së,*181 160* lekë.
*3)* Të ardhura si pedagoge e jashtme në Universitetin Luarasi, *217 441* 
lekë.</t>
  </si>
  <si>
    <t>Të ardhura për shpenzime transporti/karburanti si sekretare e Përgjithshme 
e Kuvendit të Shqipërisë, *31 500* lekë.</t>
  </si>
  <si>
    <t>Të ardhura si anëtare e Këshillit për Reformën Ligjore pranë Ministrisë së 
Drejtësisë, *364 670* lekë.</t>
  </si>
  <si>
    <t>*1)* Bashkëshorti, të ardhura nga paga si administrator në shoqërinë Smart 
shpk, komuna Farkë, Tiranë, *58 970* lekë.
*2)* Bashkëshorti, të ardhura nga paga si drejtor në Ministrinë e Energjisë 
dhe Industrisë, (Janar-prill
*2014)*, *233 104* l lekë.
*3)* Bashkëshorti, të ardhura nga paga si menaxher i projektit të Burimeve 
Ujore dhe Ujitjes në Ministrinë e Bujqësisë, Zhvillimit Rural dhe 
Administrimit të Ujërave, (Prill-Dhjetor
*2014)*, *480 466* lekë.
*4)* Bashkëshorti, të ardhura nga e qiraja e ap. 91.3 m2 në Selitë, Tiranë, *2 
700* euro.
*5)* Bashkëshorti, të ardhura nga qiramarrësi Sanitermika sh.p.k për 
ambientet e zyrave me sip. 187.5 m2, në katin e parë të godinës 9-katëshe 
në Rr. Ndre Mjeda, Tiranë ku është bashkëpronar me 25 % të sipërfaqes së 
pjesës së pandarë, *5 840* euro.
*6)* Bashkëshorti, të ardhura nga qiraja dt. 14.09.2014, për ap. me sip. 
67.4 m2 në Rr. Komuna e Parisit, Tiranë, *270 000* lekë.</t>
  </si>
  <si>
    <t>*1)* Gjendja e llogarisë bankare në një bankë të nivelit të dytë, *896 072* 
lekë.
*2)* Gjendja e llogarisë bankare në një bankë të nivelit të dytë, 23 euro.
*3)* Gjendja e llogarisë bankare në një bankë të nivelit të dytë, 21 lekë.
*4)* Gjendja e llogarisë bankare në një bankë të nivelit të dytë, 33 lekë.
*5)* Kontrata e sipërmarrjes me shoqërinë Global-Construction shpk me vlerë 
totale *71 200* euro për ap. 91 m2 në Selitë, Tiranë, është finalizuar me 
kontratën e shitblerjes më dt. 17.12.2014, duke shlyer këstin e mbetur prej *6 
180* euro si dhe regjistrimin e pasurive në ZRPP, në emër të blerësve.
*6)* Kredi në një bankë të nivelit të dytë, detyrimi financiar i pashlyer, 
- *14 820* euro, principali *46 000* dollarë, e marrë më 17.12.2003, afat 
shlyer e 15 vjet, normë interesi 4,75 %.
*7)* Kredi në një bankë të nivelit të dytë, *6 666* euro, shtesë për 
kredinë e parë.
*8)* Shlyer detyrimi ndaj Global-Construction shpk për këstin e fundit, 
sipas kontratës së sipërmarrjes, për ap. 91 m2+garazh në Selitë, Tiranë, 
shuma e shlyer *6 180* euro.
*9)* Detyrim për Viza Credit Card, lëshuar nga një bankë e nivelit të dytë, 
detyrimi financiar i pashlyer - *50 549* lekë, principali *150 549* lekë.
*10)* Detyrim për Master Card, lëshuar nga një bankë e nivelit të dytë, 
detyrimi financiar i pashlyer, - 370 euro, principali 655 euro.
*11)* Bashkëshorti, gjendja e llogarisë bankare në një bankë të nivelit të 
dytë, 467 lekë.
*12)* Bashkëshorti, gjendja e llogarisë bankare në një bankë të nivelit të 
dytë, 2 lekë.
*13)* Bashkëshorti, gjendja e llogarisë bankare në një bankë të nivelit të 
dytë, 10 euro.
*14)* Bashkëshorti, gjendja cash *5 000* euro.
*15)* Bashkëshorti, kredi në një bankë të nivelit të dytë, detyrimi 
financiar i pashlyer, - *13 958* euro, principali *30 000* euro, e marrë më 
1011.2008, afat shlyerje 10 vjet, normë interesi 3,56 % .
*16)* Bashkëshorti, detyrim për Visa Credit Card, lëshuar nga një bankë e 
nivelit të dytë, detyrimi financiar i pashlyer, - *225 049* lekë, 
principali *372 049* lekë.
*17)* Bashkëshorti, detyrim për Master Card, Credit Card, lëshuar nga një 
bankë e nivelit të dytë, detyrimi financiar i pashlyer, - *43 988* lekë, 
principali *287 988* lekë.</t>
  </si>
  <si>
    <t>*1)* Pagesë në masën 10% të tatimit mbi të ardhurat ndaj zyrës së tatimeve 
për të ardhurat e realizuara nga IFC, detyrimi i shlyer *80 000* lekë.
*2)* Detyrim i shlyer në emër të vëllait, vlera *16 390* euro.</t>
  </si>
  <si>
    <t>Të ardhura nga paga dhe shpërblimet si deputete, *2 294 895* lekë.</t>
  </si>
  <si>
    <t>*1)* Bashkëshorti, të ardhura nga paga në RTSH dhe Radio Tirana, *427 
500* lekë.
*2)* Bashkëshorti, të ardhura nga paga në Egnatia Televizion, *925 104* 
lekë.
*3)* Bashkëshorti, të ardhura nga paga në Ora News, *351 227* lekë.
*4)* Bashkëshorti, të ardhura nga Media +, *1 360* dollarë.</t>
  </si>
  <si>
    <t>*1)* Kredi bankare në një bankë të nivelit të dytë, detyrimi financiar i 
pashlyer, *58 911* euro, principali *88 585* euro, afati 15-vjeçar, norma e 
interesit 3 %.
*2)* Kredi bankare në një bankë të nivelit të dytë, detyrimi financiar i 
pashlyer, *2 513 997* lekë, principali *5 000 000* lekë, afati 25-vjeçar, 
norma e interesit 3 %.</t>
  </si>
  <si>
    <t>*1)* Të ardhura nga paga si deputete, *2 480 998* lekë.
*2)* Të ardhura nga paga si pedagoge e jashtme në Departamentin e Fizikës 
në Fakultetin e Shkencave të Natyrës në Universitetin e Tiranës, *194 722* 
lekë.</t>
  </si>
  <si>
    <t>Të ardhura nga qiraja e ap., *330 000* lekë.</t>
  </si>
  <si>
    <t>*1)* Të ardhura nga shitja e teksteve të Fizikës, Shtëpia Botuese e Librit 
Shkollor, Tiranë, *260 880* lekë.
*2)* Të ardhura nga shitja e teksteve universitare, *72 500* lekë.</t>
  </si>
  <si>
    <t>*1)* Vajza, Adra Hafizi, të ardhura nga paga si inxhiniere në Charge 
Daffaires, Bureau Veritas, Francë, *24 090* euro.
*2)* Bashkëshorti, të ardhura nga paga si këshilltar sipërmarrjeje i 
shoqërisë, Albavia shpk, *1 656 056* lekë.
*3)* Bashkëshorti, të ardhura nga qiraja, 727 euro.
*4)* Bashkëshorti, të ardhura nga qiratë, por të palikuiduara, *11 673* 
euro.</t>
  </si>
  <si>
    <t>*1)* Gjendja e llogarisë bankare në një bankë të nivelit të dytë, pakësuar 
me - *64 254* lekë.
*2)* Gjendja e llogarisë bankare në një bankë të nivelit të dytë, pakësuar 
me - *5 111* euro.
*3)* Gjendja e llogarisë bankare në një bankë të nivelit të dytë, pakësuar 
me - 31 euro.
*4)* Gjendja e llogarisë bankare në një bankë të nivelit të dytë, shtuar me *775 
076* lekë.
*5)* Gjendja e llogarisë bankare në një bankë të nivelit të dytë, pakësuar 
me - *212 520* lekë.
*6)* Të ardhura nga shitja e ap. me sip. 108 m2, vlera e shitjes *45 000* 
euro, likuiduar vetëm *20 000* euro.
*7)* Bashkëshorti, gjendja e llogarisë bankare në një bankë të nivelit të 
dytë, pakësuar me - 500 euro.
*8)* Bashkëshorti, gjendja e llogarisë depozitë në një bankë të nivelit të 
dytë, pakësuar me - 475 euro.
*9)* Bashkëshorti, gjendja e llogarisë bankare në një bankë të nivelit të 
dytë, shtuar me *182 708* lekë.
*10)* Bashkëshorti, gjendja e llogarisë bankare në një bankë të nivelit të 
dytë, pakësuar me - *16 100* lekë.
*11)* Bashkëshorti, pronar i një ap. me sip. 101.6 m2, përfituar nga 
këmbimi me një ap. me sip. 85.5 m2 + verandë 56 m2.
*12)* Bashkëshorti, pronar i dy ap. me sip. 100.9 m2 dhe 102.18 m2, vlera *127 
942* euro, përfituar sipas kontratës së sipërmarrjes me shoqërinë Primavera 
shpk, pas anulimit të kontratës të lidhur në 2013 me këtë shoqëri, për një 
ap. me sip. 223 m2 me vlerë *178 400* euro.
*13)* Bashkëshorti, detyrim ndaj shoqërisë Primavera shpk, për dy ap., 
detyrimi financiar i pashlyer *10 427 370* lekë.
*14)* Vajza, Adra Hafizi, gjendja e llogarisë bankare në një bankë të 
nivelit të dytë, shtuar me 586 euro.
*15)* Vajza, Adra Hafizi, gjendja e llogarisë bankare në një bankë të 
nivelit të dytë, shtuar me *1 210* euro.
*16)* Vajza, Olivia Hafizi, gjendja e llogarisë bankare në një bankë të 
nivelit të dytë, *7 405* euro.
*17)* Vajza, Olivia Hafizi, gjendja e llogarisë bankare në një bankë të 
nivelit të dytë, *1 183* euro.</t>
  </si>
  <si>
    <t>Të ardhura nga paga dhe përfitime të tjera financiare si deputet, *2 516 
983* lekë.</t>
  </si>
  <si>
    <t>Bashkëshortja, të ardhura nga paga dhe shpërblime si punonjëse e Bankës së 
Shqipërisë, *1 497 165* lekë.</t>
  </si>
  <si>
    <t>*1)* Pronar i një ap. banimi me sip. 109.2 m2 në Tiranë.
*2)* Kredi bankare marrë në Bankën e Shqipërisë, detyrimi financiar i 
pashlyer *7 103 498* lekë, principali *7 600 000* lekë, norma e interesit 
0.5 %, me afat 30 vjet.
*3)* Kredi bankare në një bankë të nivelit të dytë, detyrimi financiar i 
pashlyer *2 636 187* lekë, principali *2 500 000* lekë, norma e interesit 
9.5 %, me afat 7 vjet.
*4)* Overdraft në një bankë të nivelit të dytë, detyrimi financiar i 
pashlyer *314 733* lekë, principali *635 000* lekë, norma e interesit 14 %.</t>
  </si>
  <si>
    <t>*1)* Të ardhura nga paga dhe përftime të tjera financiare si deputet, *2 
488 160* lekë.
*2)* Të ardhura nga paga kalimtare si ish-nënkryetar kuvendi, *369 600* 
lekë.</t>
  </si>
  <si>
    <t>*1)* Bashkëshortja, të ardhura nga pensioni, *173 052* lekë.
*2)* Vajza, Anika Dokle, të ardhura nga paga si mjeke në maternitetin "Koço 
Glozheni", Tiranë, *781 236* lekë.
*3)* Vajza, Anika Dokle, të ardhura nga konferencë shkencore, *94 615* lekë.
*4)* Vajza, Manjola Dokle, të ardhura nga paga në spitalin "Domus Nova", 
Ravena, Itali, *97 840* euro.
*5)* Vajza, Manjola Dokle, të ardhura nga qiraja, *360 000* lekë.
*6)* Djali, Bleron Dokle, të ardhura nga paga si ndihmëskomisioner te 
Avokati i Popullit.</t>
  </si>
  <si>
    <t>*1)* Gjendja e llogarisë bankare, në një bankë të nivelit të dytë, pakësuar 
me *517 535* lekë.
*2)* Gjendja e llogarisë bankare në një bankë të nivelit të dytë pakësuar 
ne *6 467* lekë.
*3)* Pronar me 100 % i një minishtëpie druri me sip. 27 m2, vlera *1 252 
253* lekë.
*4)* Kredi bankare në nja bankë të nivelit të dytë, detyrimi financiar i 
pashlyer 0 lekë, principali *2 500 000* lekë.
*5)* Kredi bankare në një bankë të nivelit të ditë, detyrimi financiar i 
pashlyer, *2 474* euro, principali *20 000* euro, me afat 5 vjet.
*6)* Kredi bankare në një bankë të nivelit të dytë, detyrimi financiar i 
pashlyer 0 lekë, principali *840 000* lekë.
*7)* Overdraft në një bankë të nivelit të dytë, detyrimi financiar i 
pashlyer *500 000* lekë, principali *700 000* lekë, marrë në shtator 2014 
me afat 6 muaj.
*8)* Vajza, Anika Dokle, gjendja e llogarisë bankare në një bankë të 
nivelit të dytë, shtuar me *50 296* lekë.
*9)* Vajza, Anika Dokle, gjendja cash, shtuar me *100 000* lekë.
*10)* Vajza, Manjola Dokle, gjendja e llogarisë bankare në një bankë të 
nivelit të dytë, *90 675* euro.
*11)* Vajza, Manjola Dokle, gjendja e llogarisë bankare në një bankë në 
Itali, pakësuar me 256 euro.</t>
  </si>
  <si>
    <t>*1)* Të ardhura nga paga dhe përfitimet e tjera si deputet, *2 606 000* 
lekë.
*2)* Të ardhura nga paga si pedagog i jashtëm në Fakultetin e Inxhinierisë 
së Ndërtimit, *150 000* lekë.</t>
  </si>
  <si>
    <t>*1)* Bashkëshortja, të ardhura nga paga si punonjëse e Fondit të Sigurimit 
të Detyrueshëm të Kujdesit Shëndetësor, Tiranë, *833 000* lekë.
*2)* Vajza, të ardhura nga paga si punonjëse e kompanisë "Leon Gros", 
Francë, *9 200* euro.</t>
  </si>
  <si>
    <t>*1)* Pronar i një autoveture "Mercedes Benz", vlera *17 500* euro.
*2)* Gjendja cash *2 010 000* lekë.</t>
  </si>
  <si>
    <t>Të ardhura nga paga si deputet, *3 087 821* lekë.</t>
  </si>
  <si>
    <t>*1)* Të ardhura nga interesat bankare, *802 846* lekë.
*2)* Të ardhura nga interesat bankare *344 810* lekë.</t>
  </si>
  <si>
    <t>*1)* Bashkëshortja, të ardhura nga paga si specialiste pranë Ministrisë së 
Bujqësisë, *625 433* lekë.
*2)* Djali, të ardhura nga paga si specialist pranë bashkisë Tiranë, *476 
895* lekë.
*3)* Djali, të ardhura dhuratë nga prindërit, *2 100 000* lekë.</t>
  </si>
  <si>
    <t>*1)* Gjendja e llogarisë bankare në një bankë të nivelit të dytë, *120 036* 
lekë.
*2)* Gjendja e llogarisë bankare në një bankë të nivelit të dytë, *897 566* 
lekë.
*3)* Gjendja e llogarisë depozitë në një bankë të nivelit të dytë, *204 333* 
lekë.
*4)* Gjendja e llogarisë bankare në një bankë të nivelit të dytë, 107 
dollarë.
*5)* Bashkëshortja, gjendja e llogarisë bankare në një bankë të nivelit të 
dytë, *102 418* lekë.
*6)* Djali Elvis Ndoka, mbyllja e kartës së kreditit në një bankë të 
nivelit të dytë, *100 000* lekë.
*7)* Djali Elvis Ndoka, overdraft në një bankë të nivelit të dytë, *100 000* 
lekë.
*8)* Djali Elvis Ndoka, gjendja e llogarisë bankare në një bankë të nivelit 
të dytë, pakësuar me - *100 204* lekë.
*9)* Djali Elvis Ndoka, detyrim i papaguar ndaj subjektit Lastminute-Albania 
shpk ku është administrator, me vlerë *224 044* euro për blerjen e një 
apartamenti + garazh.
*10)* Djali Elvis Ndoka, detyrim i papaguar me vlerë *90 000* si kontratë 
huamarrjeje.</t>
  </si>
  <si>
    <t>Të ardhura nga paga dhe përfitime të tjera financiare si deputete, *2 177 
784* lekë.</t>
  </si>
  <si>
    <t>*1)* Babai, të ardhura nga paga dhe përfitimet e tjera financiare si 
nëpunës i ZQRPP-së, Tiranë, *1 030 915* lekë.
*2)* Nëna, të ardhura nga një biznes i vogël privat, *310 000* lekë.</t>
  </si>
  <si>
    <t>*1)* Gjendja e llogarisë bankare në një bankë të nivelit të dytë, *45 500* 
lekë.
*2)* Gjendja cash, *500 000* lekë.
*3)* Babai, detyrimi i shlyer për qiranë e banesës, *420 000* lekë.</t>
  </si>
  <si>
    <t>Të ardhura nga paga dhe përfitime të tjera financiare si deputete, *2 415 
812* lekë.</t>
  </si>
  <si>
    <t>*1)* Të ardhura nga interesat bankare, *34 682* lekë.
*2)* Të ardhura nga interesat bankare *31 599* lekë.</t>
  </si>
  <si>
    <t>*1)* Bashkëshorti, të ardhura nga aktiviteti privat si person fizik, 
"Kabinet Mjekësor dhe Laborator Biokimik-Klinik", *2 386 683* lekë.
*2)* Bashkëshorti, të ardhura nga paga si pedagog endokrinolog në Spitalin 
Rajonal Durrës, *773 676* lekë.
*3)* Bashkëshorti, pagesë si lektor, trajnim, paguar nga "Sanofi Aventis", *53 
363* lekë.
*4)* Bashkëshorti, pagesë si lektor, trajnim, paguar nga "Sanofi Aventis", *53 
154* lekë.
*5)* Bashkëshorti, pagesë si lektor nga "Novartis Pharma Servis Inc", 500 
euro.
*6)* Bashkëshorti, pagesë si lektor nga "Novartis Pharma Servis Inc", 400 
euro.
*7)* Bashkëshorti, paga për mësimdhënie në Universitetin "Zoja e Këshillit 
të Mirë", *1 350* euro.</t>
  </si>
  <si>
    <t>*1)* Gjendja e llogarisë bankare në një bankë të nivelit të dytë, *623 163* 
lekë.
*2)* Gjendja e bankare në një bankë të nivelit të dytë, *5 197* euro.
*3)* Gjendja e llogarisë së përbashkët bankare me bashkëshortin, në një 
bankë të nivelit të dytë, *2 019* euro.
*4)* Pronare e një ullishte me sip. 426 m2, dhuratë nga babai.
*5)* Pronare e një ullishte me një sip. 1574 m2, dhuratë nga babai.
*6)* Kredi bankare në një bankë të nivelit të dytë, detyrimi financiar i 
pashlyer, *8 618* euro, principali *20 000* euro, marrë në vitin 2008.
*7)* Bashkëshorti, gjendja e llogarisë bankare në një bankë të nivelit të 
dytë, *3 044* euro.
*8)* Gjendja e llogarisë së përbashkët bankare me bashkëshorten, *2 385* 
lekë.
*9)* Vajza, gjendja e llogarisë bankare në Gjermani, *9 000* euro, 
transferuar nga prindërit për studime universitare.</t>
  </si>
  <si>
    <t>Të ardhura nga paga si deputet, *2 580 576* lekë.</t>
  </si>
  <si>
    <t>Të ardhura nga qiraja e dyqanit, *120 000* lekë.</t>
  </si>
  <si>
    <t>*1)* Bashkëshortja, të ardhura nga paga si mësuese në shkollën e mesme 
Janaq Kilica, Fier, *154 237* lekë.
*2)* Djali, të ardhura nga paga si punonjës në firmën INEL shpk, Fier, *49 
714* lekë.</t>
  </si>
  <si>
    <t>*1)* Gjendja e llogarisë depozitë në një bankë të nivelit të dytë, *3 018* 
euro.
*2)* Gjendja e Fondit të Investimit në një bankë të nivelit të dytë, *21 
003 305* lekë.
*3)* Bashkëshortja, gjendja e llogarisë depozitë në një bankë të nivelit të 
dytë, *67 560* euro.
*4)* Pronar me 100 % i një vendparkimi 14 m2, blerë *19 000* euro.
*5)* Pronar me 100 % i 4 pikturave, blerë *12 500* euro.
*6)* Gjendja cash, *700 000* lekë.
*7)* Gjendja cash, *3 000* euro.
*8)* Gjendja e llogarisë bankare në një bankë të nivelit të dytë, *2 499 
484* lekë.</t>
  </si>
  <si>
    <t>Të ardhura nga paga dhe pjesëmarrja në komisione si deputet, *1 463 943* 
lekë.</t>
  </si>
  <si>
    <t>Të ardhura si bonuse për shpenzime karburanti, telefoni, qiraje dhe dieta 
ditore, *1 488 036* lekë.</t>
  </si>
  <si>
    <t>Bashkëshortja, të ardhura nga paga si shefe e Pranimit, Kontrollit 
dokumentar dhe Kontrollit fizik në degën doganore, Elbasan, *978 765* lekë.</t>
  </si>
  <si>
    <t>*1)* Pronar me 50 % i një toke arë me sip. 2000 m2, blerë *472 000* lekë.
*2)* Pronar me 100 % i një autoveture "Daimler", blerë *500 000* lekë.
*3)* Të ardhura nga shitja e një autoveture "Mercedes Benz", *500 000* lekë.
*4)* Hua marrë nga një person fizik, detyrimi financiar i pashlyer, *85 000* 
euro.</t>
  </si>
  <si>
    <t>Të ardhura nga paga si deputet, *2 336 618* lekë.</t>
  </si>
  <si>
    <t>Bashkëshortja, të ardhura nga paga dhe përfitimet e tjera financiare nga 
punësimi në kompaninë Sigma sha, *542 910* lekë.</t>
  </si>
  <si>
    <t>*1)* Gjendja e llogarisë depozitë, të përbashkët me bashkëshorten, në një 
bankë të nivelit të dytë, *1 160 000* lekë, pjesa takuese 50 % secili.
*2)* Gjendja e llogarisë depozitë, të përbashkët me bashkëshorten, në një 
bankë të nivelit të dytë, *1 789 037* lekë, pjesa takuese, 50 % secili.
*3)* Gjendja e llogarisë depozitë, në emër të vajzës Tea, në një bankë të 
nivelit të dytë, *16 214* euro, pjesa takuese 50 %.
*4)* Bashkëshortja, gjendja e llogarisë depozitë në një bankë të nivelit të 
dytë, *16 285* euro, pjesa takuese 50 %.
*5)* Kartë krediti në një bankë të nivelit të dytë, vlera 176 euro.
*6)* Gjendja cash, *4 700* euro.
*7)* Kartë krediti në një bankë të nivelit të dytë, vlera *988 287* lekë.
*8)* Bashkëshortja, kartë krediti për llogari të vajzës, vlera *4 180* lekë.
*9)* Detyrimi ndaj kompanisë Hekla, në Tiranë për blerje ap., detyrimi 
financiar i pashlyer *87 0000* euro.</t>
  </si>
  <si>
    <t>Të ardhura nga paga si deputet, *2 928 827* lekë.</t>
  </si>
  <si>
    <t>Bashkëshortja, të ardhura nga puna si punonjëse e Këshillit të Qarkut 
Elbasan, *722 448* lekë.</t>
  </si>
  <si>
    <t>*1)* Të ardhura nga shitja e ap. 80 m2 në Elbasan, *3 722 784* lekë.
*2)* Të ardhura nga shitja e ap. 81.38 m2 në Elbasan, *1 300 000* lekë, 
pjesa takuese 25 %.
*3)* Të ardhura nga shitja e garazhit 39 m2, *1 915 660* lekë.
*4)* Pronar i një toke me sip. 552.9 m2, blerë *181 608* lekë.
*5)* Gjendja e llogarisë depozitë në një bankë të nivelit të dytë, *1 000 
000* lekë.
*6)* Pronar i një autoveture "BMV", blerë *200 000* lekë.
*7)* Kartë krediti, detyrimi i shlyer *5 000* euro.
*8)* Kartë krediti, detyrimi i shlyer, *5 000* euro.
*9)* Bashkëshortja, pronare me 100 % e një dyqani me sip. 67.39 m2, të 
përfituar nga ndërtimi në truallin e dhuruar në vitin 2012.</t>
  </si>
  <si>
    <t>Paga dhe shpërblime si deputet në vlerën *2 466 296* lekë.</t>
  </si>
  <si>
    <t>*1)* Bashkëshorti zoti Gjergj Xhuvani paga pranë Universitetit të Arteve 
në vlerën *1 088 316* lekë.
*2)* Bashkëshorti zoti Gjergj Xhuvani paga si anëtar i Këshillit Drejtues 
të Radio Televizionit Publik Shqiptar në vlerën *528 000* lekë.</t>
  </si>
  <si>
    <t>*1)* Llogari bankare ne banke te nivelit te dyte ne vleren *3 400 000* leke.
*2)* Llogari bankare ne banke te nivelit te dyte ne vleren *9 900* euro.
*3)* Llogari bankare ne banke te nivelit te dyte ne vleren *100 000* euro, 
te ardhura nga shitja e nje shtepie.
*4)* Llogari rrjedhese ne nje banke te nivelit te dyte ne vleren *330 000* 
leke.
*5)* Llogari rrjedhese ne nje banke te nivelit te dyte ne vleren *670 000* 
leke.</t>
  </si>
  <si>
    <t>Të ardhura nga paga si deputet, *3 133 565* lekë.</t>
  </si>
  <si>
    <t>Bashkëshortja, të ardhura mujore nga punësimi në Ujësjellës-Kanalizime-Korçë 
sha, *1 210 967* lekë.</t>
  </si>
  <si>
    <t>Kredi bankare, detyrimi financiar i pashlyer *65 365* euro, marrë më 2010 
deri në 2025.</t>
  </si>
  <si>
    <t>Të ardhura nga paga dhe përfitimet e tjera financiare si deputete, *2 123 
867* lekë.</t>
  </si>
  <si>
    <t>*1)* Të ardhura nga paga dhe shpërblime si pedagog në Fakultetin e 
Ekonomisë, Universiteti i Tiranës, *801 214* lekë.
*2)* Të ardhura nga pagesa si anëtar i bordit të bankës "Credins", *3 150* 
euro.
*3)* Të ardhura nga paga nga REPIM, UK, *37 185* paund britanikë.
*4)* Të ardhura nga projekti "Adriatic Welfare Mix", *880 866* euro.</t>
  </si>
  <si>
    <t>Kredi bankare në një bankë të nivelit të dytë, detyrimi financiar i 
pashlyer *45 549* euro, principali *130 000* euro, me afat 10 vjet, norma e 
interesit 5 % për 5 vitet e para dhe euribor + 3,75 % për periudhën e 
mbetur.</t>
  </si>
  <si>
    <t>Të ardhura nga paga si deputete, *2 074 201* lekë.</t>
  </si>
  <si>
    <t>*1)* Bashkëshorti, të ardhura nga puna si noter publik, *2 700 000* lekë.
*2)* Vajza, të ardhura nga paga dhe shpërblime nga puna në Bankën e 
Shqipërisë, *1 000 000* lekë.
*3)* Vajza, të ardhura nga paga për mësimdhënie si pedagoge e jashtme, 
pranë Fakultetit Ekonomik, Tiranë, *10 000* lekë.</t>
  </si>
  <si>
    <t>Të ardhura nga paga si deputet, *2 143 949* lekë.</t>
  </si>
  <si>
    <t>*1)* Bashkëshortja, të ardhura nga paga në Kontrollin e Lartë të Shtetit, *1 
082 738* lekë.
*2)* Bashkëshortja, të ardhura nga interesat bankare, *44 600* lekë.
*3)* Djali, të ardhura nga paga në AlbControl sha, *310 027* lekë.
*4)* Vajza, të ardhura nga paga në Societe Generale Albania, *1 116 769* 
lekë.</t>
  </si>
  <si>
    <t>*1)* Gjendja e llogarisë bankare në një bankë të nivelit të dytë, *538 051* 
lekë.
*2)* Gjendja e llogarisë depozitë në një bankë të nivelit të dytë, *4 160* 
lekë.
*3)* Gjendja e llogarisë depozitë në një bankë të nivelit të dytë, *1 065 
000* lekë.
*4)* Djali, kartë debiti në një bankë të nivelit të dytë, *95 576* lekë.
*5)* Gjendja e llogarisë bankare në një bankë të nivelit të dytë, pakësuar 
me - 12 euro.
*6)* Bashkëshortja, gjendja e llogarisë depozitë në një bankë të nivelit të 
dytë, shtuar me 82 euro.
*7)* Bashkëshortja, gjendja e llogarisë bankare në një bankë të nivelit të 
dytë, pakësuar me - *267 646* lekë.
*8)* Bashkëshortja, gjendja e llogarisë bankare në një bankë të nivelit të 
dytë, *524 795* lekë.
*9)* Gjendja e llogarisë depozitë në një bankë të nivelit të dytë, shtuar 
me *2 605 400* lekë.
*10)* Djali, gjendja e llogarisë bankare në një bankë të nivelit të dytë, 
pakësuar me *296 094* lekë.
*11)* Vajza, gjendja e llogarisë bankare në një bankë të nivelit të dytë, 
shtuar me *16 210* lekë.
*12)* Vajza, gjendja e llogarisë depozitë në një bankë të nivelit të dytë, *99 
795* lekë.
*13)* Vajza, gjendja e llogarisë depozitë në një bankë të nivelit të dytë, *600 
000* lekë.
*14)* Bashkëshortja, gjendja e Fondit të Investimit në një bankë të nivelit 
të dytë, *950 000* lekë.</t>
  </si>
  <si>
    <t>Të ardhura nga paga si deputet, *1 993 161* lekë.</t>
  </si>
  <si>
    <t>Të ardhura nga paga si deputete, *2 564 825* lekë.</t>
  </si>
  <si>
    <t>Të ardhura nga paga si deputet, *2 571 437* lekë.</t>
  </si>
  <si>
    <t>Bashkëshortja, të ardhura nga paga si punonjëse tek firma O+P Petrol shpk, *234 
432* lekë.</t>
  </si>
  <si>
    <t>*1)* Të ardhura nga shitja e ap. me sip. 109.4 m2, *6 585 880* lekë, pjesa 
takuese 50 %.
*2)* Të ardhura nga shitja e ap. me sip. 135.8 m2, *6 580 000* lekë, pjesa 
takuese 50 %.
*3)* Të ardhura nga shitja e ap. me sip. 126.2 m2, *5 040 000* lekë, pjesa 
takuese 50 %.
*4)* Të ardhura nga shitja e ap. me sip. 109.4 m2, *6 900 000* lekë, pjesa 
takuese 50 %.
*5)* Të ardhura nga shitja e ap. me sip. 107.8 m2, *5 851 980* lekë, pjesa 
takuese 50 %.
*6)* Të ardhura nga shitja e ap. me sip. 332.8 m2, *12 600 000* lekë, pjesa 
takuese 50 %.
*7)* Të ardhura nga shitja e ap. me sip. 77.6 m2, *4 000 000* lekë, pjesa 
takuese 50 %.
*8)* Të ardhura nga shitja e ap., *4 620 000* lekë, pjesa takuese 50 %.
*9)* Të ardhura nga shitja e ap. me sip. 107.8 m2, *6 160 000* lekë, pjesa 
takuese 50 %.
*10)* Të ardhura nga shitja e ap. me sip. 107.8 m2, *6 100 000* lekë, pjesa 
takuese 50 %.
*11)* Të ardhura nga shitja e ap. me sip. 109.4 m2, *6 230 000* lekë, pjesa 
takuese 50 %.
*12)* Të ardhura nga shitja e ap. me sip. 107.8 m2, *4 480 000* lekë, pjesa 
takuese 50 %.
*13)* Të ardhura nga shitja e ap. me sip. 332.8 m2, *12 600 000* lekë, 
pjesa takuese 50 %.
*14)* Të ardhura nga shitja e automjetit BMW, 983 000, pjesa takuese 50 %.
*15)* Pronar i një automjeti "Range Rover", blerë *102 500* euro.</t>
  </si>
  <si>
    <t>Të ardhura nga paga si deputet, *2 154 250* lekë.</t>
  </si>
  <si>
    <t>Të ardhura nga qiraja e banesës së deklaruara për vitet 2010-2014, *58 320* 
euro.</t>
  </si>
  <si>
    <t>*1)* Të ardhura nga shitja e autoveturës, *2 000* euro.
*2)* Kredi bankare, detyrimi financiar i pashlyer *3 044 387* lekë, 
principali 5 milionë lekë, marrë në 2003.
*3)* Detyrim për blerjen e banesës, detyrimi financiar i pashlyer *42 000* 
euro.</t>
  </si>
  <si>
    <t>Të ardhura nga paga si deputet, *2 500 000* lekë.</t>
  </si>
  <si>
    <t>*1)* Bashkëshortja, të ardhura nga shitja e 35 % të aksioneve në shoqërinë, 
"Cmp S.R.L dI Cara Nezmi e.c", *8 750* euro.
*2)* Bashkëshortja, të ardhura nga paga, *24 000* euro.</t>
  </si>
  <si>
    <t>*1)* Gjendja e llogarisë bankare në një bankë të nivelit të dytë, 230 euro.
*2)* Gjendja e llogarisë bankare në një bankë të nivelit të dytë, *9 000* 
euro.
*3)* Gjendja e llogarisë bankare në një bankë të nivelit të dytë, *1 060 
000* lekë.
*4)* Kredi bankare në një bankë në Itali, detyrimi financiar i pashlyer *84 
000* euro, principali *220 000* euro.
*5)* Kredi bankare në një bankë të nivelit të dytë, detyrimi financiar i 
pashlyer, *484 000* euro, principali *550 000* euro.</t>
  </si>
  <si>
    <t>Të ardhura nga paga dhe përfitimet e tjera financiare si deputet, *2 593 
430* lekë.</t>
  </si>
  <si>
    <t>*1)* Të ardhura nga qiraja, *9 000* euro.
*2)* Të ardhura nga qiraja, *2 000* euro.</t>
  </si>
  <si>
    <t>*1)* Bashkëshortja, të ardhura nga biznesi bar-kafe "Elit", *1 440 000* 
lekë.
*2)* Djali, Martin Sterkaj, të ardhura nga puna në QSUT, *35 000* lekë.
*3)* Bashkëshortja, shlyerje detyrim qiraje për një pikë karburanti në 
Fushë Milot-Kurbin, marrë me qira nga shoqëria Kastrati shpk, detyrimi 
financiar i shlyer *100 000* lekë.</t>
  </si>
  <si>
    <t>*1)* Gjendja e llogarisë bankare në një bankë të nivelit të dytë, *1 284 
244* lekë.
*2)* Pronar i një autoveture "Tuareg", blerë *50 000* euro.</t>
  </si>
  <si>
    <t>Të ardhura nga paga si deputet, *2 563 139* lekë.</t>
  </si>
  <si>
    <t>Të ardhura nga interesat bankare, 576 dollarë.</t>
  </si>
  <si>
    <t>*1)* Bashkëshortja, të ardhura nga paga si pedagoge në Fakultetin e 
Shkencave, *497 225* lekë.
*2)* Bashkëshortja, të ardhura nga trajnime, 400 euro.
*3)* Bashkëshortja, të ardhura nga trajnime, *90 000* lekë.</t>
  </si>
  <si>
    <t>*1)* Gjendja e llogarisë bankare në një bankë të nivelit të dytë, *934 150* 
lekë.
*2)* Gjendja e llogarisë bankare në një bankë të nivelit të dytë, 959 euro.
*3)* Gjendja e llogarisë bankare në një bankë të nivelit të dytë, *1 087* 
dollarë.
*4)* Gjendja cash pakësuar me *7 000* euro.
*5)* Vajza, gjendja e llogarisë bankare në një bankë të nivelit të dytë, *140 
425* lekë.
*6)* Djali, gjendja e llogarisë bankare në një bankë të nivelit të dytë, *200 
111* lekë.
*7)* Djali, gjendja e llogarisë bankare në një bankë depozitë në një bankë 
të nivelit të dytë, *19 727* dollarë.
*8)* Vajza, gjendja e llogarisë depozitë në një bankë të nivelit të dytë, *18 
620* dollarë.
*8)* Kredi bankare në një bankë të nivelit të dytë, detyrimi financiar i 
pashlyer *80 000* euro.
*9)* Kredi bankare në një bankë të nivelit të dytë, detyrimi financiar i 
pashlyer 0 lekë, principali *112 000* euro.
*10)* Detyrim ndaj bashkë-kredimarrësit, *56 000* euro.
*11)* Bashkëshortja, gjendja e llogarisë depozitë në një bankë të nivelit 
të dytë, *17 000* dollarë.
*12)* Bashkëshortja, gjendja e llogarisë depozitë në një bankë të nivelit 
të dytë, *20 610* dollarë.
*13)* Bashkëshortja, gjendja e obligacionit në një bankë të nivelit të 
dytë, *1 500 000* lekë.
*14)* Bashkëshortja, gjendja e Fondit të Investimit në një bankë të nivelit 
të dytë, *212 779* lekë.
*15)* Bashkëshortja, gjendja e llogarisë depozitë në një bankë të nivelit 
të dytë, pakësuar me *1 000 000* lekë.
*16)* Gjendja e llogarisë bankare depozitë në një bankë të nivelit të dytë, *1 
000 000* lekë.</t>
  </si>
  <si>
    <t>Të ardhura nga paga dhe përfitimet e tjera financiare si deputet, *2 760 
874* lekë.</t>
  </si>
  <si>
    <t>Gjendja cash shtuar me *508 411* lekë.</t>
  </si>
  <si>
    <t>Të ardhura nga paga, *3 182 233* lekë.</t>
  </si>
  <si>
    <t>*1)* Të ardhura nga qiraja, *240 000* lekë.
*2)* Të ardhura nga qiraja, *4 000* euro.
*3)* Të ardhura nga qiraja, *4 800* euro.
*4)* Të ardhura nga qiraja, *4 860 000* lekë.
*5)* Të ardhura nga qiraja, *780 000* lekë.
*6)* Të ardhura nga qiraja, *780 000* lekë.
*7)* Të ardhura nga qiraja, *1 200 000* lekë.
*8)* Të ardhura nga qiraja, *1 200 000* lekë.
*9)* Të ardhura nga qiraja, *600 000* lekë.
*10)* Të ardhura nga qiraja, *240 000* lekë.
*11)* Të ardhura nga qiraja, *360 000* lekë.
*12)* Të ardhura nga qiraja, *360 000* lekë.</t>
  </si>
  <si>
    <t>Bashkëshortja, të ardhura nga paga si inspektore e përgjithshme koordinuese 
pranë Drejtorisë Rajonale të Sigurimeve Shoqërore, Korçë, *785 495* lekë.</t>
  </si>
  <si>
    <t>*1)* Gjendja e llogarisë bankare në një bankë të nivelit të dytë, *1 516 
179* lekë.
*2)* Gjendja e llogarisë bankare në një bankë të nivelit të dytë, *214 664* 
lekë.
*3)* Gjendja e llogarisë bankare një bankë të nivelit të dytë, pakësuar me *1 
785* euro.
*4)* Gjendja e llogarisë bankare në një bankë të nivelit të dytë, shtuar *7 
850* euro.
*5)* Gjendja e llogarisë bankare në një bankë të nivelit të dytë, shtuar me *380 
368* lekë.
*6)* Gjendja e llogarisë bankare në një bankë të nivelit të dytë, shtuar *664 
900* lekë.
*7)* Gjendja e llogarisë bankare në një bankë të nivelit të dytë, pakësuar *775 
200* lekë.
*8)* Gjendja e llogarisë bankare në një bankë të nivelit të dytë, pakësuar 
me - 800 euro.
*9)* Kredi bankare në një bankë të nivelit të dytë, detyrimi financiar i 
pashlyer, *4 278 140* lekë, principali *5 000 000* lekë.
*10)* Kredi bankare në një bankë të nivelit të dytë, detyrimi financiar i 
pashlyer, *24 140 079* lekë, principali *29 125 781* lekë.
*11)* Bashkëshortja, gjendja e llogarisë bankare në një bankë të nivelit të 
dytë, *339 950* lekë.</t>
  </si>
  <si>
    <t>Të ardhura nga paga, *2 655 274* lekë.</t>
  </si>
  <si>
    <t>Bashkëshortja, të ardhura nga paga, *500 000* lekë.</t>
  </si>
  <si>
    <t>*1)* Pronar i një automjeti, blerë *700 000* lekë.
*2)* Të ardhura nga shitja e një automjeti, *700 000* lekë.
*3)* Pronar i një trualli me sip. 298 m2 dhe ndërtesë me sip. 47 m2.</t>
  </si>
  <si>
    <t>Të ardhura nga paga si deputet, *2 405 923* lekë.</t>
  </si>
  <si>
    <t>*1)* Bashkëshortja, të ardhura nga paga *700 000* lekë.
*2)* Djali, të ardhura nga paga, *24 400* lekë.</t>
  </si>
  <si>
    <t>Bashkëshortja, pronare e një "Fiat Punto", blerë *50 000* lekë.</t>
  </si>
  <si>
    <t>Të ardhura nga paga si deputet, *2 432 832* lekë.</t>
  </si>
  <si>
    <t>*1)* Bashkëshortja, të ardhura nga paga, *234 458* lekë.
*2)* Djali, Saimir Suli të ardhura nga paga *713 762* lekë.
*3)* Bashkëshortja e djalit Saimir Suli, të ardhura nga paga *681 696* lekë.</t>
  </si>
  <si>
    <t>*1)* Të ardhura nga shitja e automjetit "Benz", *900 000* lekë.
*2)* Bashkëshortja, gjendja e llogarisë depozitë në një bankë të nivelit të 
dytë, të mbyllur, pakësuar me - *6 000* dollarë.
*3)* Pronar i një toke me sip. 36.4 m2, blerë *1 270 000* lekë.
*4)* Pronar i një toke me sip. 20 m2, blerë *800 000* lekë.
*5)* Gjendja e llogarisë bankare në një bankë të nivelit të dytë, *123 930* 
lekë.</t>
  </si>
  <si>
    <t>Të ardhura nga paga dhe përfitime të tjera financiare, *2 969 267* lekë.</t>
  </si>
  <si>
    <t>Djali, të ardhura nga paga, *616 332* lekë.</t>
  </si>
  <si>
    <t>*1)* Të ardhura nga shitja e ap. me sip. 70 m2, *25 000* euro.
*2)* Pronar i një makine "BMW", blerë *22 521* euro.
*3)* Të ardhura nga shitja e një ap. 3+1, me këste, *600 000* lekë.</t>
  </si>
  <si>
    <t>Të ardhura nga paga si deputet, *2 106 837* lekë.</t>
  </si>
  <si>
    <t>*1)* Bashkëshortja, të ardhura nga paga si ekonomiste në USLUGA shpk, *854 
373* lekë.
*2)* Vajza, Aurore Abazi, të ardhura nga paga si administratore e USLUGA 
shpk, *1 404 062* lekë.
*3)* Vajza, Adela Abazi, të ardhura nga paga si drejtore e Drejtorisë së 
Planifikimit Strategjik për Sigurinë Publike dhe Integrimin në Ministrinë e 
Punëve të Brendshme, *740 903* lekë.</t>
  </si>
  <si>
    <t>*1)* Transferim i 75 % të kapitalit nga Sadri Abazi në favor të fëmijëve, 
z. Erigers Abazi; znj. Adela Abazi; znj. Aurore Abazi, vlera *405 000 000* 
lekë, ndarë nga 25 % për secilin.
*2)* Vajza, Aurore Abazi, gjendja e llogarisë bankare në një bankë të 
nivelit të dytë, *507 379* lekë.</t>
  </si>
  <si>
    <t>*1)* Të ardhura nga paga dhe përfitime të tjera financiare si deputet, *2 
278 179* lekë.
*2)* Të ardhura nga mësimdhënia, pjesëmarrje në bord dhe bashkëpunime të 
tjera me Institutin Kanadez të Teknologjisë, Tiranë, *9 000* euro.</t>
  </si>
  <si>
    <t>Të ardhura nga interesat e bonove të thesarit, *81 764* lekë.</t>
  </si>
  <si>
    <t>*1)* Bashkëshortja, të ardhura nga paga dhe shpërblime në Ministrinë e 
Punëve të Jashtme, *763 498* lekë.
*2)* Vajza, Ilda Shehu, të ardhura nga komisione nga Keller Williams 
Realty, 1680 Meridian Ave, Miami Beach, Florida, *21 000* dollarë.
*3)* Vajza, Besiana Shehu, të ardhura nga paga dhe shpërblime nga Acuen 
Inc, 225 N, Michigan Ave, Chicago, *52 000* dollarë.</t>
  </si>
  <si>
    <t>*1)* Gjendja e llogarisë bankare në një bankë të nivelit të dytë, *80 000* 
lekë.
*2)* Gjendja e llogarisë bankare në një bankë të nivelit të dytë, *3 300* 
euro.
*3)* Bashkëshorti, gjendja e llogarisë bankare në një bankë të nivelit të 
dytë, *122 500* lekë.
*4)* Vajza, Besiana Shehu, gjendja e llogarisë bankare në një bankë në 
Chicago, USA, *15 000* dollarë.
*5)* Shlyerje detyrimi ndaj firmës "TID" për blerje ap. me sip, 145.4 m2, + 
garazh 31.41 m2, *7 000* euro, vlera totale e kontraktuar *190 000* euro, 
pjesa takuese 38 %.
*6)* Kontratë sipërmarrje për blerje ap. me sip. 83 m2, *30 000* euro, 
pjesa takuese 75 %.
*7)* Pronar i një automjeti "Toyota RAV4", blerë *16 765* euro.
*8)* Të ardhura nga shitja e një automjeti Ford, *2 300 000* lekë.
*9)* Të ardhura nga shitja e makinës, "Ford", *1 960 000* lekë.
*10)* Kredi bankare në një bankë të nivelit të dytë, *57 056* euro, 
principali *50 000* euro, me afat 20 vjet, normë interesi 6.5 %.</t>
  </si>
  <si>
    <t>Të ardhura nga paga si deputet, *2 098 510* lekë.</t>
  </si>
  <si>
    <t>*1)* Të ardhura nga interesat bankare, *2 160* euro.
*2)* Të ardhura nga interesat bankare, *629 999* lekë.</t>
  </si>
  <si>
    <t>Bashkëshortja, të ardhura nga paga si nënkryetare e AMF-së, *1 440 503* 
lekë.</t>
  </si>
  <si>
    <t>*1)* Gjendja e llogarisë bankare në një bankë të nivelit të dytë, *616 212* 
lekë.
*2)* Gjendja e llogarisë bankare në një bankë të nivelit të dytë, *77 812* 
lekë.
*3)* Gjendja e llogarisë bankare në një bankë të nivelit të dytë, 531 euro.
*4)* Gjendja e llogarisë bankare në një bankë të nivelit të dytë, 2 paund.
*5)* Kartë krediti, *55 418* lekë.
*6)* Të ardhura nga likuidimi i mallit të shoqërisë, "EXTYN", *622 973* 
lekë.
*7)* Kredi bankare barrë në Bankën e Shqipërisë, *1 683 584* lekë, 
principali *3 000 000* lekë, marrë në vitin 1998.
*8)* Kredi bankare në një bankë të nivelit të dytë, detyrimi financiar i 
shlyer, *4 374* euro.</t>
  </si>
  <si>
    <t>*1)* Të ardhura nga paga si deputete, *1 340 921* lekë.
*2)* Të ardhura nga pjesëmarrja në komisione, *97 200* lekë.</t>
  </si>
  <si>
    <t>Të ardhura si bonuse për shpenzime karburanti, telefoni e dieta, *948 449* 
lekë.</t>
  </si>
  <si>
    <t>Bashkëshorti, të ardhura nga paga pranë Zyrës Qendrore të Regjistrimit të 
Pasurive të Paluajtshme, *781 752* lekë.</t>
  </si>
  <si>
    <t>*1)* Gjendja cash, *1 500 000* lekë.
*2)* Overdraft në një bankë të nivelit të dytë, detyrimi financiar i shlyer *129 
561* lekë.
*3)* Bashkëshorti, kredi bankare në një bankë të nivelit të dytë, detyrimi 
financiar i pashlyer 0 lekë, principali *196 000* lekë.
*4)* Kartë krediti në një bankë të nivelit të dytë, limiti *20 000* lekë.
*5)* Kartë krediti në një bankë të nivelit të dytë, limiti *50 000* lekë.</t>
  </si>
  <si>
    <t>Të ardhura nga paga si deputet, *2 187 171* lekë.</t>
  </si>
  <si>
    <t>Të ardhura nga qiratë, *27 000* euro.</t>
  </si>
  <si>
    <t>*1)* Nxjerrja jashtë përdorimit e Skanerit të deklaruar më parë, *135 000* 
dollarë.
*2)* Gjendja cash, *60 000* euro.
*3)* Kredi bankare në një bankë të nivelit të dytë, detyrimi financiar i 
pashlyer *148 000* euro, principali *150 000* euro, afati 10 vjet.
*4)* Detyrim shlyer familjarëve pas vdekjes së nënës, *95 000* euro.</t>
  </si>
  <si>
    <t>Të ardhura nga paga dhe shpërblime si deputet, *2 555 843* lekë.</t>
  </si>
  <si>
    <t>Bashkëshortja, të ardhura nga paga nga kompania "AMC", *3 975 624* lekë.</t>
  </si>
  <si>
    <t>*1)* Gjendja e llogarisë bankare në një bankë të nivelit të dytë, *1 474 
732* lekë.
*2)* Gjendja e llogarisë bankare në një bankë të nivelit të dytë, 50 euro.
*3)* Gjendja e llogarisë bankare në një bankë të nivelit të dytë, *258 174* 
lekë.
*4)* Gjendja e llogarisë bankare në një bankë të nivelit të dytë, shtuar me *2 
929* euro.
*5)* Kredi bankare në një bankë të nivelit të dytë, detyrimi financiar i 
pashlyer *3 154 502* lekë, marrë në vitin 2006 me afat 20 vjet, normë 
interesi 3 %.
*6)* Detyrim huaje ndaj vëllait, *15 000* dollarë.
*7)* Bashkëshortja, gjendja e llogarisë bankare në një bankë të nivelit të 
dytë, *181 936* lekë.
*8)* Bashkëshortja, gjendja e llogarisë bankare në një bankë të nivelit të 
dytë, *2 686* paund britanikë.
*9)* Bashkëshortja, gjendja e llogarisë bankare në një bankë të nivelit të 
dytë, *352 386* lekë.
*10)* Bashkëshortja, gjendja e llogarisë depozitë në një bankë të nivelit 
të dytë, pakësuar me *7 121* euro.
*11)* Bashkëshortja, gjendja e llogarisë depozitë në një bankë të nivelit 
të dytë, *15 551* dollarë.
*12)* Bashkëshortja, gjendja e llogarisë depozitë në një bankë të nivelit 
të dytë, *20 000* euro.
*13)* Bashkëshortja, gjendja cash *100 000* lekë.
*14)* Kredi bankare në një bankë të nivelit të dytë, detyrimi financiar i 
pashlyer *20 412* euro, marrë në 2006, me afat 25 vjet, normë interesi 8 %.</t>
  </si>
  <si>
    <t>Të ardhura nga paga si deputet, *2 781 820* lekë.</t>
  </si>
  <si>
    <t>Bashkëshortja, të ardhura nga paga, *185 590* lekë.</t>
  </si>
  <si>
    <t>*1)* Gjendja e llogarisë bankare në një bankë të nivelit të dytë, *315 915* 
lekë.
*2)* Bashkëshortja, gjendja e llogarisë bankare në një bankë të nivelit të 
dytë, *20 455* lekë.</t>
  </si>
  <si>
    <t>Të ardhura nga paga dhe përfitime të tjera si deputet, *2 924 463* lekë.</t>
  </si>
  <si>
    <t>*1)* Pronar i një toke ullishte, 5500 m2 në Petrelë, vlera *1 100 000* lekë.
*2)* Pronar i një makine "Range Rover", *20 000* euro.
*3)* Të ardhura nga nga shitja e makinës "ML", *15 000* euro.
*4)* Kredi bankare në një bankë të nivelit të dytë, detyrimi financiar i 
pashlyer, *2 525 396* lekë, marrë në vitin 2000.</t>
  </si>
  <si>
    <t>*1)* Të ardhura nga paga si deputete, *2 227 757* lekë.
*2)* Të ardhura nga mësimdhënia, programi master, pranë Fakultetit të 
Drejtësisë dhe Shkencave sociale, UT &amp; OSBE, *1 778* euro.
*3)* Të ardhura nga mësimdhënia në Shkollën e Magjistraturës, *21 600* lekë.
*4)* Të ardhura nga mësimdhënia në Shkollën e Lartë, "Beder", *345 000* 
lekë.
*5)* Të ardhura nga mësimdhënia në UT gjatë vitit akademik 2012-2013, *892 
080* lekë.
*6)* Të ardhura nga mësimdhënia në UT gjatë vitit akademik 2013-2014, *661 
616* lekë.
*7)* Të ardhura nga mësimdhënia në Universitetin e "New Yorkut", *1 244* 
euro.
*8)* Të ardhura nga pagesa nga shkolla doktorale, UET, *1 260* euro.</t>
  </si>
  <si>
    <t>*1)* Të ardhura nga interesat bankare, *44 709* lekë.
*2)* Të ardhura nga interesat bankare, *115 959* lekë.
*3)* Të ardhura nga interesat bankare, *36 820* lekë.</t>
  </si>
  <si>
    <t>*1)* Të ardhura si autore nga ribotimi i teksteve mësimore nga SHBLSH e Re, *48 
600* lekë.
*2)* Të ardhura nga shitja e tekstit mësimor universitar, *349 700* lekë.</t>
  </si>
  <si>
    <t>*1)* Bashkëshorti, të ardhura nga paga në Drejtorinë e Përgjithshme të 
Shërbimit të Provës, *641 168* lekë.
*2)* Bashkëshorti, të ardhura nga paga në Entin Kombëtar të Banesave, *82 
11* lekë.
*3)* Bashkëshorti, të ardhura nga mësimdhënia në Fakultetin e Drejtësisë, 
"Justiniani i Parë", *44 400* lekë.
*4)* Vajza, të ardhura nga paga si pedagoge në Fakultetin e Drejtësisë, UT, *1 
035 192* lekë.
*5)* Vajza, të ardhura nga honorare nga projekti qendra "Fëmijët sot", *1 
034* euro.
*6)* Vajza, të ardhura nga ekspertiza dhënë për OEDC-SIGMA, *1 334* euro.
*7)* Vajza, të ardhura nga ekspertiza dhënë për OEDC-SIGMA, *8 079* euro.
*8)* Vajza, të ardhura nga ekspertiza dhënë për OEDC-SIGMA, 794 euro.
*9)* Vajza, të ardhura nga mësimdhënia në ASPA dhe DAP, *173 700* lekë.
*10)* Vajza, të ardhura nga interesat bankare *108 338* lekë.
*11)* Vajza, të ardhura nga interesat bankare, *16 487* lekë.</t>
  </si>
  <si>
    <t>*1)* Gjendja e llogarisë bankare në një bankë të nivelit të dytë, pakësuar 
me - *428 989* lekë, pjesa takuese 50 %.
*2)* Gjendja e llogarisë bankare në një bankë të nivelit të dytë, shtuar me *732 
340* lekë, pjesa takuese 50 %.
*3)* Gjendja e llogarisë bankare në një bankë të nivelit të dytë, shtuar me *70 
210* lekë, pjesa takuese 50 %.
*4)* Gjendja e llogarisë bankare në një bankë të nivelit të dytë, pakësuar 
me 480 euro, pjesa takuese 50 %.
*5)* Gjendja e llogarisë depozitë në një bankë të nivelit të dytë, mbyllur 
më 04.01.2014, - *1 085 819* lekë, pjesa takuese 50 %.
*6)* Gjendja e llogarisë bankare në një bankë të nivelit të dytë, shtuar me *85 
858* lekë, pjesa takuese 50 %.
*7)* Gjendja e llogarisë depozitë në një bankë të nivelit të dytë, mbyllur 
më 30.06.2014, - *1 204 112* lekë, pjesa takuese 50 %.
*8)* Gjendja e llogarisë depozitë një një bankë të nivelit të dytë, mbyllur 
më 19.11.2014, - *1 610 769* lekë, pjesa takuese 50 %.
*9)* Gjendja e llogarisë depozitë në një bankë të nivelit të dytë, *1 610 
769* lekë, pjesa takuese 50 %.
*10)* Gjendja e llogarisë depozitë në një bankë të nivelit të dytë, shtuar 
me *509 365* lekë, pjesa takuese 50 %.
*11)* Gjendja e llogarisë bankare në një bankë të nivelit të dytë, shtuar 
me 540 euro, pjesa takuese 50 %.
*12)* Gjendja e llogarisë bankare në një bankë të nivelit të dytë, pakësuar 
me 897 lekë.
*13)* Gjendja e llogarisë bankare në një bankë të nivelit të dytë, shtuar 
me *102 600* lekë, pjesa takuese 50 %.
*14)* Gjendja cash, pakësuar me - *15 000* euro, pjesa takuese 50 %.
*15)* Bashkëshorti, gjendja e llogarisë bankare në një bankë të nivelit të 
dytë, pakësuar me - 261 lekë, pjesa takuese 50 %.
*16)* Bashkëshorti, gjendja e llogarisë bankare në një bankë të nivelit të 
dytë, pakësuar me - *2 861* lekë, pjesa takuese 50 %.
*17)* Bashkëshorti, gjendja e llogarisë bankare në një bankë të nivelit të 
dytë, pakësuar me - *9 298* lekë, pjesa takuese 50 %.
*18)* Bashkëshorti, gjendja e llogarisë bankare në një bankë të nivelit të 
dytë, *63 692* lekë, pjesa takuese 50 %.
*19)* Vajza, pronare e një ap. banimi në Tiranë me sip. 77.3 m2, vlera *59 
000* euro.
*20)* Vajza, gjendja e llogarisë bankare në një bankë të nivelit të dytë, 
pakësuar me *443 954* lekë.
*21)* Vajza, gjendja e llogarisë depozitë në një bankë të nivelit të dytë 
mbyllur më 29.10.2014, - *1 561 013* lekë.
*22)* Vajza, Gjendja e llogarisë bankare në një bankë të nivelit të dytë, 
shtuar me *1 100 112* lekë.
*23)* Vajza, gjendja e llogarisë bankare në një bankë të nivelit të dytë, 
pakësuar me - *3 712* euro.
*24)* Vajza, gjendja e llogarisë depozitë në një bankë të nivelit të dytë, 
shtuar me *108 338* lekë.
*25)* Vajza, detyrim për shlyerje borxhi ndaj prindërve, me vlerë, *41 650* 
euro.
*26)* Vajza, detyrim për t'u paguar për blerjen e ap. të banimit, me vlerë *3 
000* euro.</t>
  </si>
  <si>
    <t>Të ardhura nga paga, periudha tetor-dhjetor 2014, *593 553* lekë.</t>
  </si>
  <si>
    <t>Bashkëshorti, të ardhura nga paga si drejtor i Departamentit të 
Marrëdhënieve me Klientin në SH.A Ujësjellës-Kanalizime, Berat, periudha 
tetor-dhjetor, *196 212* lekë.</t>
  </si>
  <si>
    <t>*1)* Blerje autoveture, vlera *6 000* euro, pjesa takuese 50 %.
*2)* Kredi bankare në një bankë të nivelit të dytë, detyrimi financiar i 
pashlyer *737 930* lekë, marrë më 12.07.2013.</t>
  </si>
  <si>
    <t>Të ardhura nga paga si deputete, 25.09.2014 - 31.12.2014, *488 586* lekë.</t>
  </si>
  <si>
    <t>Bashkëshorti, të ardhura nga biznesi, *245 700* lekë.</t>
  </si>
  <si>
    <t>Kredi bankare në një bankë të nivelit të dytë, detyrimi financiar i 
pashlyer, *1 042 400* lekë, principali *12 500 000* lekë, me afat 8 vjet.</t>
  </si>
  <si>
    <t>*1)* Të ardhura nga paga si deputet, tetor-dhjetor 2014, *469 996* lekë.
*2)* Të ardhura nga paga si anëtar i këshillit bashkiak, *76 500* lekë.</t>
  </si>
  <si>
    <t>Të ardhura nga interesat bankare, shtuar me *11 255* lekë.</t>
  </si>
  <si>
    <t>Të ardhura nga qiraja, *1 800* euro.</t>
  </si>
  <si>
    <t>Bashkëshortja, të ardhura nga paga, *32 752* lekë.</t>
  </si>
  <si>
    <t>*1)* Gjendja e llogarisë bankare në një bankë të nivelit të dytë, shtuar me *28 
432* lekë.
*2)* Gjendja e llogarisë bankare në një bankë të nivelit të dytë, shtuar me 
476 euro.
*3)* Gjendja e llogarisë bankare në një bankë të nivelit të dytë, pakësuar 
me 4 euro.
*4)* Gjendja e llogarisë bankare në një bankë të nivelit të dytë, pakësuar 
me 300 lekë.
*5)* Gjendja e llogarisë bankare në një bankë të nivelit të dytë, pakësuar 
me *35 614* lekë.
*6)* Gjendja e llogarisë bankare në një bankë të nivelit të dytë, shtuar me *2 
137* euro.
*7)* Gjendja e llogarisë bankare në një bankë të nivelit të dytë, pakësuar 
me *1 070* lekë.
*8)* Gjendja e llogarisë bankare në një bankë të nivelit të dytë, pakësuar 
me *1 000* euro.</t>
  </si>
  <si>
    <t>Të ardhura nga paga në universitet si shefe departamenti, nga këshillat e 
fakultetit, nga projekte, *281 329* lekë.</t>
  </si>
  <si>
    <t>Të ardhura nga qiraja, *30 000* lekë, pjesa takuese 50 %.</t>
  </si>
  <si>
    <t>Të ardhura nga shoqëria ELIT shpk, *492 011* lekë.</t>
  </si>
  <si>
    <t>*1)* Bashkëshorti, të ardhura nga paga si drejtor i Ndërmarrjes së 
Shërbimeve Publike, *51 169* lekë.
*2)* Bashkëshorti, të ardhura nga paga nga aktiviteti si person fizik, *45 
000* lekë.
*3)* Bashkëshorti, të ardhura nga paga si administrator i shoqërisë ELIT 
shpk, *26 130* lekë.
*4)* Bashkëshorti, të ardhura nga shoqëria ELIT shpk, *492 011* lekë.</t>
  </si>
  <si>
    <t>*1)* Gjendja e llogarisë depozitë në një bankë të nivelit të dytë, shtuar 
me *2 360* lekë.
*2)* Gjendja e llogarisë bankare në një bankë të nivelit të dytë, *151 992* 
lekë.
*3)* Gjendja e llogarisë depozitë në një bankë të nivelit të dytë, shtuar 
me 165 euro.
*4)* Gjendja e llogarisë bankare në një bankë të nivelit të dytë, shtuar me *140 
028* lekë.
*5)* Kredi bankare në një bankë të nivelit të dytë, detyrimi financiar i 
pashlyer, *2 872* euro, principali *20 000* euro, afat 10-vjeçar.
*6)* Kredi, detyrimi financiar i pashlyer *8 673* euro, principali *11 450* 
euro.
*7)* Bashkëshorti, gjendja e llogarisë bankare në një bankë të nivelit të 
dytë, shtuar me *16 932* lekë.
*8)* Bashkëshorti, gjendja e llogarisë bankare në një bankë të nivelit të 
dytë, shtuar me *175 458* lekë.
*9)* Bashkëshorti, gjendja e llogarisë bankare në një bankë të nivelit të 
dytë, shtuar me *45 000* lekë.
*10)* Bashkëshorti, gjendja e llogarisë bankare në një bankë të nivelit të 
dytë, pakësuar me 52 euro.
*11)* Bashkëshorti, gjendja e llogarisë bankare në një bankë të nivelit të 
dytë, pakësuar me - *77 655* lekë.</t>
  </si>
  <si>
    <t>Të ardhura nga paga dhe përfitimet e tjera financiare si deputete, *300 050* 
lekë.</t>
  </si>
  <si>
    <t>Të ardhura si bonuse për shpenzime karburanti, telefoni, qiraje dhe dieta 
ditore, *308 049* lekë.</t>
  </si>
  <si>
    <t>*1)* Bashkëpronare me bashkëshortin e një toke arë me sip. 1406 m2, vlera *400 
000* lekë.
*2)* Gjendja cash, *1 350 000* lekë.</t>
  </si>
  <si>
    <t>Arben AHMETAJ</t>
  </si>
  <si>
    <t>nr: 00693/2012 nr: 00693/2013 nr: 00693/2014</t>
  </si>
  <si>
    <t>bashkëshortja zonja Albina Mancka</t>
  </si>
  <si>
    <t>Bledar ÇUÇI</t>
  </si>
  <si>
    <t>nr: 01050/2013 nr: 01050/2014</t>
  </si>
  <si>
    <t>Për vitin 2014 shtohet në deklaratë Bashkëjetuesja</t>
  </si>
  <si>
    <t>Damian GJIKNURI</t>
  </si>
  <si>
    <t>nr: 04573/2012 nr: 04573/2013 nr: 04573/2014</t>
  </si>
  <si>
    <t>bashkëshortja zonja Rovena Gjiknuri</t>
  </si>
  <si>
    <t>Ditmir BUSHATI</t>
  </si>
  <si>
    <t>nr: 00758/2012 nr: 00758/2013 nr: 00758/2014</t>
  </si>
  <si>
    <t>Bashkëshortja zonja Aida Bushati</t>
  </si>
  <si>
    <t>Edmond HAXHINASTO</t>
  </si>
  <si>
    <t>Lëvizja Socialiste për Integrim</t>
  </si>
  <si>
    <t>nr: 00971/2012 nr: 00971/2013 nr: 00971/2014</t>
  </si>
  <si>
    <t>Bashkëshortja zonja Enkeleida Haxhinasto</t>
  </si>
  <si>
    <t>Edmond PANARITI</t>
  </si>
  <si>
    <t>nr: 10357/2013 nr: 10357/2014</t>
  </si>
  <si>
    <t>Bashkëshortja zonja Narin Panariti</t>
  </si>
  <si>
    <t>Eglantina GJERMENI</t>
  </si>
  <si>
    <t>nr: 09607/2012 nr: 09607/2013 nr: 09607/2014</t>
  </si>
  <si>
    <t>Bashkëshorti zoti Marian Gjermeni</t>
  </si>
  <si>
    <t>Erion VELIAJ</t>
  </si>
  <si>
    <t>nr: 11309/2013 nr: 11309/2014</t>
  </si>
  <si>
    <t>Bashkëshortja znj. Ajola Xoxa</t>
  </si>
  <si>
    <t>Ilir BEQAJ</t>
  </si>
  <si>
    <t>nr: 02746/2012 nr: 02746/2013 nr: 02746/2014</t>
  </si>
  <si>
    <t>Bashkëshortja zonja Adriana Beqaj</t>
  </si>
  <si>
    <t>Klajda GJOSHA</t>
  </si>
  <si>
    <t>nr: 08487/2013 nr: 08487/2014</t>
  </si>
  <si>
    <t>Bashkëjetuesi zoti Gjoni</t>
  </si>
  <si>
    <t>Lefter KOKA</t>
  </si>
  <si>
    <t>nr: 03155/2012 nr: 03155/2013 nr: 03155/2014</t>
  </si>
  <si>
    <t>bashkëshortja Brunilda koka</t>
  </si>
  <si>
    <t>Lindita NIKOLLA</t>
  </si>
  <si>
    <t>nr: 08048/2013 nr: 08048/2014 nr: 08048/2012</t>
  </si>
  <si>
    <t>Bashkëshorti zoti Ligor Nikolla</t>
  </si>
  <si>
    <t>Milena HARITO</t>
  </si>
  <si>
    <t>nr: 11319/2013 nr: 11319/2014</t>
  </si>
  <si>
    <t>Mimi KODHELI</t>
  </si>
  <si>
    <t>nr: 04281/2012 nr: 04281/2013 nr: 04281/2014</t>
  </si>
  <si>
    <t>Bashkëshorti Leke Kodheli, Nëna dhe Djali</t>
  </si>
  <si>
    <t>Mirela KUMBARO FURXHI</t>
  </si>
  <si>
    <t>E pavarur</t>
  </si>
  <si>
    <t>nr: 112682013 nr: 112682014</t>
  </si>
  <si>
    <t>Bashkëshorti zoti Furxhi</t>
  </si>
  <si>
    <t>Nasip NAÇO</t>
  </si>
  <si>
    <t>Anëtar i Këshillit të Lartë të Drejtësisë - Këshilli i Lartë i Drejtësisë</t>
  </si>
  <si>
    <t>nr: 00482/2013 nr: 00482/2014 nr: 00482/2012</t>
  </si>
  <si>
    <t>Bashkëshortja zonja Theodhora Naço</t>
  </si>
  <si>
    <t>Niko PELESHI</t>
  </si>
  <si>
    <t>nr: 04839/2012 nr: 04839/2013 nr: 04839/2014</t>
  </si>
  <si>
    <t>Bashkëshortja zonja Peleshi</t>
  </si>
  <si>
    <t>Saimir TAHIRI</t>
  </si>
  <si>
    <t>nr: 09614/2012 nr: 09614/2013 nr: 09614/2014</t>
  </si>
  <si>
    <t>Bashkëshortja zonja Fatlinda Tahiri</t>
  </si>
  <si>
    <t>Shkëlqim CANI</t>
  </si>
  <si>
    <t>nr: 02860/2012 nr: 02860/2013 nr: 02860/2014</t>
  </si>
  <si>
    <t>Bashkëshortja zonja Cani</t>
  </si>
  <si>
    <t>Hysen OSMANAJ</t>
  </si>
  <si>
    <t>Anëtar i Komisionit Qëndror të Zgjedhjeve - Komisioni Qëndror i Zgjedhjeve</t>
  </si>
  <si>
    <t>Propozuar nga Partia Demokratike</t>
  </si>
  <si>
    <t>nr: 07081/2012 nr: 07081/2013</t>
  </si>
  <si>
    <t>Bashkëshortja zonja Qamile Osmanaj, Vajza Valmira Osmanaj, Djali Pajtim 
Osmanaj</t>
  </si>
  <si>
    <t>Klement ZGURI</t>
  </si>
  <si>
    <t>Propozuar nga Partia Republikane</t>
  </si>
  <si>
    <t>nr: 027222012 nr: 027222013</t>
  </si>
  <si>
    <t>Bashkëshortja zonja Alda Zguri, Djali Eneo Zguri</t>
  </si>
  <si>
    <t>Lefterije LUZI</t>
  </si>
  <si>
    <t>nr: 026972012 nr: 026972013</t>
  </si>
  <si>
    <t>Vera SHTJEFNI</t>
  </si>
  <si>
    <t>nr: 08260/2012 nr: 08260/2013</t>
  </si>
  <si>
    <t>Paga si Kryetar i Bashkisë Poliçan në vlerën *700 932* lekë.</t>
  </si>
  <si>
    <t>Shpërblime si anëtar i Këshillit të Qarkut Berat në vlerën *140 400* lekë.</t>
  </si>
  <si>
    <t>Bashkëshortja zonja Mirela Zotkaj paga nga mësimdhënia në vlerën *458 328* 
lekë.</t>
  </si>
  <si>
    <t>Detyrime të papaguara në vlerën *68 161* euro për një kredi në bankë të 
nivelit të dytë me principal *75 000* euro, këst mujor *1 282* euro dhe 
afat maturimi 7 vjet.</t>
  </si>
  <si>
    <t>Agron AGALLIU</t>
  </si>
  <si>
    <t>Kryetar Komune - Komuna Golem</t>
  </si>
  <si>
    <t>Mandati i dytë</t>
  </si>
  <si>
    <t>Dy prindërit</t>
  </si>
  <si>
    <t>Agron DEMUSHI</t>
  </si>
  <si>
    <t>Kryebashkiak - Bashkia Bajram Curri</t>
  </si>
  <si>
    <t>Aleanca për Qytetarin</t>
  </si>
  <si>
    <t>Artan SHKËMBI</t>
  </si>
  <si>
    <t>Kryebashkiak - Bashkia Pogradec</t>
  </si>
  <si>
    <t>Mandati i tretë</t>
  </si>
  <si>
    <t>Bashkëshortja</t>
  </si>
  <si>
    <t>Artur BARDHI</t>
  </si>
  <si>
    <t>Kryebashkiak - Bashkia Laç</t>
  </si>
  <si>
    <t>Paga si Kryetar Bashkie në vlerën *2 113 000* lekë.</t>
  </si>
  <si>
    <t>Nëna zonja Hyri Zeqaj pension pleqërie në vlerën *156 642* lekë.</t>
  </si>
  <si>
    <t>*1)* Detyrime të papaguara në vlerën *503 496* lekë për një kredi bankare 
marrë më 21.02.2006 me principal *25 000 000* lekë dhe afat maturimi 7 vjet.
*2)* Detyrime të papaguara në vlerën *587 959* lekë për një kredi bankare 
marrë më 11.01.2010 për qëllime personale me principal *700 000* lekë, me 
afat maturimi 7 vjet, interes 9.6% dhe këst mujor *10 509* lekë.</t>
  </si>
  <si>
    <t>Paga si Kryetar Bashkie në vlerën *1 008 254* lekë.</t>
  </si>
  <si>
    <t>Shpërblime si anëtar i Këshillit të Qarkut në vlerën *43 840* lekë.</t>
  </si>
  <si>
    <t>Besnik ABEDINI</t>
  </si>
  <si>
    <t>Kryetar Komune - Komuna Ksamil</t>
  </si>
  <si>
    <t>Besnik FUCIA</t>
  </si>
  <si>
    <t>Kryetar Komune - Komuna Kashar</t>
  </si>
  <si>
    <t>Bashkëshortja dhe Djali</t>
  </si>
  <si>
    <t>Dashnor ALIKO</t>
  </si>
  <si>
    <t>Kryetar Komune - Komuna Lazarat</t>
  </si>
  <si>
    <t>Paga si Kryetar i Bashkisë Delvinë në vlerën *709 200* lekë.</t>
  </si>
  <si>
    <t>*1)* Shpërblim si anëtar i Këshillit të Qarkut Vlorë në vlerën *144 000* 
lekë.
*2)* Shpërblim si anëtar i Këshillit të Rregullimit të Territorit të 
Bashkisë në vlerën *12 600* lekë.</t>
  </si>
  <si>
    <t>Bashkëshortja zonja Valdeta Alinani të ardhura nga ushtrimi i aktivitetit 
privat tregti me pakicë në vlerën *620 000* lekë.</t>
  </si>
  <si>
    <t>Paga si Kryetar Bashkie në vlerën *231 000* lekë.</t>
  </si>
  <si>
    <t>Shpërblime si anëtar i Këshillit të Qarkut në vlerën *30 000* lekë.</t>
  </si>
  <si>
    <t>Bashkëshortja zonja Miranda Bici paga në vlerën *150 000* lekë.</t>
  </si>
  <si>
    <t>Paga dhe shpërblime si Kryetar i Bashkisë Kavajë si dhe si anëtar i 
Këshillit të Qarkut Tiranë në vlerën *650 000* lekë.</t>
  </si>
  <si>
    <t>Detyrime të papaguara në vlerën -*9 000* euro për qira financiare për 
blerje veture.</t>
  </si>
  <si>
    <t>Paga si Kryetar Bashkie në vlerën *1 101 379* lekë.</t>
  </si>
  <si>
    <t>Bonus për transport në vlerën *540 000* lekë.</t>
  </si>
  <si>
    <t>*1)* Shpërblime si anëtar i Këshillit të Qarkut në vlerën 140 400.
*2)* Shpërblime si anëtar i KRT  Bashki në vlerën *24 840* lekë.</t>
  </si>
  <si>
    <t>*1)* Bashkëshortja zonja Luljeta Nasufi paga në vlerën *303 882* lekë.
*2)* Bashkëshortja zonja Luljeta Nasufi qira dyqani në vlerën *360 000* 
lekë.</t>
  </si>
  <si>
    <t>*1)* Detyrime të papaguara në vlerën *25 373* euro për një kredi për 
rikonstruksion dhe mobilim shtëpie marrë më 28.06.2006 në bankë të nivelit 
të dytë, me principal *50 000* euro, interes 7.72% dhe afat maturimi 10 
vjet.
*2)* Detyrime të papaguara në vlerën *700 000* lekë për një hua pa interes 
marrë motrës së bashkëshortes.</t>
  </si>
  <si>
    <t>Fatbardh PLAKU</t>
  </si>
  <si>
    <t>Kryetar Komune - Komuna Farkë</t>
  </si>
  <si>
    <t>Paga dhe shpërblime neto si Kryetar i Bashkisë Lushnje në vlerën *610 365* 
lekë.</t>
  </si>
  <si>
    <t>*1)* Bonuse për transportin në vlerën *180 000* lekë.
*2)* Bonuse për telefonin në vlerën *60 000* lekë.</t>
  </si>
  <si>
    <t>Shpërblime si anëtar i KRRT në vlerën *5 400* lekë.</t>
  </si>
  <si>
    <t>*1)* Interesa në vlerën *7 200* euro nga kontrata e huasë dhënë një personi 
fizik nepërmjet një kontrate huamarrje nënshkruar më 31.12.2009 për shumën *40 
000* euro.
*2)* Interesa në vlerën *5 400* euro nga kontrata e huasë dhënë një personi 
fizik nepërmjet një kontrate huamarrje nënshkruar më 12.03.2010 për shumën *30 
000* euro.</t>
  </si>
  <si>
    <t>Bashkëshortja paga dhe shpërblime në vlerën *151 200* lekë.</t>
  </si>
  <si>
    <t>Detyrime të papaguara në vlerën *161 175* euro për një kredi bankare marrë 
më 12.02.2008 në bankë të nivelit të dytë me principal *185 000* euro, afat 
shlyerje 20 vjet dhe interes 5%.</t>
  </si>
  <si>
    <t>Paga dhe shpërblime si Kryetar i Bashkisë Vorë në vlerën *796 920* lekë.</t>
  </si>
  <si>
    <t>Bonus për transport në vlerën *180 000* lekë.</t>
  </si>
  <si>
    <t>Shpërblime si anëtar i Këshillit të Qarkut në vlerën *140 400* lekë.</t>
  </si>
  <si>
    <t>*1)* Qira dyqani në vlerën *180 000* lekë.
*2)* Qira banese në vlerën *120 000* lekë.</t>
  </si>
  <si>
    <t>*1)* Bashkëshortja zonja Hava Ismaili paga si administrator pranë shoqërisë 
Agroblend shpk në vlerën *1 418 400* lekë.
*2)* Bashkëshortja zonja Hava Ismaili interesa bankare në vlerën *2 016* 
lekë.</t>
  </si>
  <si>
    <t>Paga si Kryetar Bashkie në vlerën *870 000* lekë.</t>
  </si>
  <si>
    <t>Bonus për transportin në vlerën *540 000* lekë.</t>
  </si>
  <si>
    <t>Shpërblime si anëtar i KRT dhe Këshillit të Qarkut në vlerën *150 000* lekë.</t>
  </si>
  <si>
    <t>*1)* Interesa nga Bono Thesari në vlerën *246 000* lekë.
*2)* Interesa nga Bono Thesari në vlerën *647 063* lekë.
*3)* Interesa nga Bono Thesari në vlerën *1 798 860* lekë.
*4)* Interesa nga Bono Thesari në vlerën *872 428* lekë.
*5)* Interesa nga Bono Thesari në vlerën *791 639* lekë.
*6)* Interesa nga Bono Thesari në vlerën *974 045* lekë.
*7)* Interesa bankare në vlerën *250 089* lekë.
*8)* Interesa nga Bono Thesari në vlerën *69 850* lekë.
*9)* Interesa bankare në vlerën *126 736* lekë.
*10)* Interesa nga Bono Thesari në vlerën *708 854* lekë.
*11)* Interesa bankare në vlerën *546 592* lekë.</t>
  </si>
  <si>
    <t>*1)* Bashkëshortja zonja Xhevaire Bime paga në vlerën *312 000* lekë.
*2)* Vajza zonja Dorina Bime paga në vlerën *550 000* lekë.</t>
  </si>
  <si>
    <t>Paga dhe shpërblime si Kryetar Bashkie në vlerën *500 000* lekë.</t>
  </si>
  <si>
    <t>Të ardhura nga toka bujqësore në vlerën *600 000* lekë.</t>
  </si>
  <si>
    <t>*1)* Bashkëshortja paga nga mësimdhënia në vlerën *240 000* lekë.
*2)* Bashkëshortja të ardhura nga aktiviteti privat në vlerën *500 000* 
lekë.</t>
  </si>
  <si>
    <t>Paga si Kryetar i Bashkisë Përmet në vlerën *530 000* lekë.</t>
  </si>
  <si>
    <t>Bashkëshortja zonja Eliona Jaçe paga nga mësimdhënia në vlerën *222 000* 
lekë.</t>
  </si>
  <si>
    <t>Bashkëshortja zonja Eliona Jaçe detyrime të papaguara në vlerën -*52 500* 
lekë për kredi bankare marrë më 27/06/2007 me detyrime total *1 050 000* 
lekë, afat maturimi 5 vjet dhe këst mujor *17 500* lekë.</t>
  </si>
  <si>
    <t>Paga si Kryetar Bashkie në vlerën *360 000* lekë.</t>
  </si>
  <si>
    <t>Qira apartamenti në vlerën *4 250* euro.</t>
  </si>
  <si>
    <t>Bashkëshortja zonja Gentiana Bardhi paga pranë Institutit të Veterinarisë 
në vlerën *270 000* lekë.</t>
  </si>
  <si>
    <t>Hasan HALILAJ</t>
  </si>
  <si>
    <t>Kryebashkiak - Bashkia Kukës</t>
  </si>
  <si>
    <t>Bashkëshortja Besarie Halilaj, Babai Ahmet Halilaj, Djali Gent Halilaj</t>
  </si>
  <si>
    <t>Paga si Kryetar Bashkie në vlerën *77 000* lekë.</t>
  </si>
  <si>
    <t>Bonuse për shpenzimet e transportit në vlerën *30 000* lekë.</t>
  </si>
  <si>
    <t>Shpërblim si anëtar i Këshillit të Qarkut në vlerën *13 000* lekë.</t>
  </si>
  <si>
    <t>Bashkëshortja paga nga mësimdhënia në vlerën *40 550* lekë.</t>
  </si>
  <si>
    <t>Detyrime të papaguara në vlerën *306 364* lekë për një kredi bankare me 
principal *500 000* lekë.</t>
  </si>
  <si>
    <t>Paga si Kryetar Bashkie në vlerën *880 000* lekë.</t>
  </si>
  <si>
    <t>Bonus për transport në vlerën *450 000* lekë.</t>
  </si>
  <si>
    <t>*1)* Shpërblime si anëtar i Këshillit të Qarkut në vlerën *126 000* lekë.
*2)* Shpërblime si anëtar i KRT në vlerën *15 000* lekë.</t>
  </si>
  <si>
    <t>Bashkëshortja paga nga mësimdhënia në vlerën *422 000* lekë.</t>
  </si>
  <si>
    <t>Paga si Kryetar Bashkie në vlerën *924 000* lekë.</t>
  </si>
  <si>
    <t>Shpërblime si anëtar i Këshillit të Qarkut, KRRT-së dhe Qendrës 
Shëndetësore në vlerën *182 141* lekë.</t>
  </si>
  <si>
    <t>Bashkëshortja paga nga mësimdhënia në vlerën *615 900* lekë.</t>
  </si>
  <si>
    <t>Paga si Kryetar Bashkie në vlerën *342 000* lekë.</t>
  </si>
  <si>
    <t>Shpërblime si anëtar i Këshillit të Qarkut në vlerën *64 800* lekë.</t>
  </si>
  <si>
    <t>*1)* Interesa bankare në vlerën 30 euro.
*2)* Interesa bankare në vlerën 120 dollar.
*3)* Interesa bankare në vlerën 350 euro.</t>
  </si>
  <si>
    <t>*1)* Bashkëshortja zonja Irena Mato interesa bankare në vlerën 202 euro.
*2)* Bashkëshortja zonja Irena Mato interesa bankare në vlerën 120 dollar.</t>
  </si>
  <si>
    <t>Kujtim QEFALIA</t>
  </si>
  <si>
    <t>Kryetar Komune - Komuna Dajt</t>
  </si>
  <si>
    <t>Paga si Kryetar Bashkie në vlerën *462 000* lekë.</t>
  </si>
  <si>
    <t>Bonus për shpenzime transporti në vlerën *180 000* lekë.</t>
  </si>
  <si>
    <t>Shpërblime si anëtar i Këshillit të Qarkut në vlerën *60 000* lekë.</t>
  </si>
  <si>
    <t>Detyrime të papaguara në vlerën *480 278* lekë për një kredi bankare marrë 
më 17.08.2007 në bankë të nivelit të dytë, me principal *1 000 000* lekë e 
afat maturimi 7 vjet.</t>
  </si>
  <si>
    <t>Paga si Kryetar Bashkie në vlerën *1 225 605* lekë.</t>
  </si>
  <si>
    <t>Dieta në vlerën *135 363* lekë.</t>
  </si>
  <si>
    <t>*1)* Shpërblime si anëtar i Këshillit Bashkiak Shkodër në vlerën *553 500* 
lekë.
*2)* Shpërblime si anëtar i i Këshillit të Qarkut Shkodër në vlerën *125 
100* lekë./
*3)* Shpërblime si anëtar i i Këshillit të Administrimit të Universitetit 
Luigj Gurakuqi në vlerën *43 200* lekë.</t>
  </si>
  <si>
    <t>Interesa bankare në vlerën *35 100* lekë nga depozita.</t>
  </si>
  <si>
    <t>*1)* Bashkëshortja zonja Alida Luka paga pranë Drejtorisë Arsimore 
Rajonale Shkodër në vlerën *65 042* lekë.
*2)* Bashkëshortja zonja Alida Luka përfitime nga projekte në vlerën *2 072* 
euro.
*3)* Babai të ardhura nga kuotat (aksione) pranë Hotel Turizmi në vlerën *33 
797* lekë.</t>
  </si>
  <si>
    <t>Paga dhe shpërblime si Kryetar Bashkie në vlerën *734 162* lekë.</t>
  </si>
  <si>
    <t>Bashkëshortja zonja Aurela Basha përfitime afatshkurtra lejelindje në 
vlerën *10 808* euro.</t>
  </si>
  <si>
    <t>Ndue KOLA</t>
  </si>
  <si>
    <t>Kryebashkiak - Bashkia Rrëshen</t>
  </si>
  <si>
    <t>Bashkëshortja, Znj. Kola, Djemte Ranuar Kolaj dhe Viorel Kolaj</t>
  </si>
  <si>
    <t>Paga si Kryetar Bashkie në vlerën *372 096* lekë.</t>
  </si>
  <si>
    <t>Bonus për shpenzime transporti në vlerën *30 000* lekë.</t>
  </si>
  <si>
    <t>Shpërblim si anëtar i Këshillit të Qarkut Berat në vlerën *35 100* lekë.</t>
  </si>
  <si>
    <t>Djali zoti Kajdi Spahiu paga në vlerën *864 000* lekë.</t>
  </si>
  <si>
    <t>*1)* Detyrime të papaguara në vlerën *8 252* euro për një kredi bankare për 
blerje apartamenti marrë më 14.07.2006 me principal *15 000* euro dhe afat 
maturimi 10 vjet.
*2)* Bashkëshortja zonja Valentina Spahiu detyrime të papagura në vlerën *303 
504* lekë për një kredi bankare për blerje elektroshtëpiake me principal *500 
000* lekë dhe këst mujor *10 709* lekë.</t>
  </si>
  <si>
    <t>Paga dhe shpërblime si Kryetar Bashkie në vlerën *1 299 214* lekë.</t>
  </si>
  <si>
    <t>Bonuse për transport në vlerën *540 000* lekë.</t>
  </si>
  <si>
    <t>*1)* Shpërblime si anëtar i Këshillit të Qarkut Elbasan dhe i KRRT në 
vlerën *89 307* lekë.
*2)* Shpërblime si anëtar i KRT  Qarku Elbasan në vlerën *10 800* lekë.
*3)* Shpërblime si anëtar i KRT  Bashkia Elbasan në vlerën *31 500* lekë</t>
  </si>
  <si>
    <t>*1)* Bashkëshortja zonja Xhuljana Sejdini paga si administrator pranë UJORI 
shpk në vlerën *600 000* lekë.
*2)* Djali paga si inspektor në Drejtorinë e Shëndetit Publik Ebasan në 
vlerën *420 900* lekë.
*3)* Vajza paga pranë UJORI shpk në vlerën *264 000* lekë.
*4)* Vajza zonja Imelda Sejdini paga nga mësimdhënia pranë Universitetit 
Aleksandër Xhuvani në vlerën *1 047 284* lekë.
*5)* Vajza zonja Imelda Sejdini paga si konsulente e jashtme pranë Sigal 
në vlerën *486 000* lekë.</t>
  </si>
  <si>
    <t>Vajza zonja Imelda Sejdini detyrime të papaguara në vlerën *995 000* lekë 
për një kredi konsumatore marrë në korrik 2011 në bankë të nivelit të dytë 
me këst mujor *19 000* lekë.</t>
  </si>
  <si>
    <t>Paga si Kryetar Bashkie në vlerën *572 126* lekë.</t>
  </si>
  <si>
    <t>Të ardhura nga toka bujqësore në vlerën *900 000* lekë.</t>
  </si>
  <si>
    <t>*1)* Bashkëshorti zoti Mersin Balilaj paga pranë Drejtorisë së Kadastrës së 
Bashkisë Patos në vlerën *312 743* lekë.
*2)* Bashkëshorti zoti Mersin Balilaj të ardhura nga aktiviteti privat në 
vlerën *100 000* lekë.</t>
  </si>
  <si>
    <t>Sotiraq FILO</t>
  </si>
  <si>
    <t>Kryebashkiak - Bashkia Korçë</t>
  </si>
  <si>
    <t>Bashkëshortja Znj. Filo</t>
  </si>
  <si>
    <t>*1)* Paga kalimtare si ish deputet në vlerën *312 500* lekë.
*2)* Paga si Kryetar Bashkie në vlerën *386 896* lekë.</t>
  </si>
  <si>
    <t>Bashkëshortja paga si specialiste në Agjensinë Kombëtare të Mjedisit në 
vlerën *217 280* lekë.</t>
  </si>
  <si>
    <t>*1)* Detyrime të papaguara në vlerën *3 123 618* lekë për një kredi bankare 
për shtëpi banimi marrë në vitin 2000, me principal *5 000 000* lekë, 
interes 3%, afat maturimi 25 vjet dhe këst mujor *24 000* lekë.
*2)* Detyrime të papaguara në vlerën *3 846 560* lekë për një kredi 
konsumatore për blerje automjeti marrë në vitin 2009, me principal *4 500 
000* lekë dhe këst mujor *70 000* lekë.</t>
  </si>
  <si>
    <t>Paga si Kryetar Bashkie në vlerën *900 000* lekë.</t>
  </si>
  <si>
    <t>Shpërblime si anëtar i Këshillit të Qarkut Berat në vlerën *144 000* lekë.</t>
  </si>
  <si>
    <t>Shitur makinë tip Mercedes Benz në vlerën *500 000* lekë.</t>
  </si>
  <si>
    <t>Shefki ÇOTA</t>
  </si>
  <si>
    <t>Kryebashkiak - Bashkia Librazhd</t>
  </si>
  <si>
    <t>Shpërblime si anëtar i Këshillit të Qarkut Durrës në vlerën *78 000* lekë.</t>
  </si>
  <si>
    <t>Paga si Kryetar Bashkie në vlerën *1 320 000* lekë.</t>
  </si>
  <si>
    <t>*1)* Bonus për shpenzime transporti në vlerën *540 000* lekë.
*2)* Bonus për shpenzime telefonike në vlerën *180 000* lekë.</t>
  </si>
  <si>
    <t>*1)* Shpërblime si Kryetar i KRRT  Bashkia Vlorë në vlerën *65 000* lekë.
*2)* Shpërblime si anëtar i Këshillit të Qarkut Vlorë në vlerën *60 000* 
lekë.</t>
  </si>
  <si>
    <t>Bashkëshortja zonja Adriana Gjika paga nga mësimdhënia në vlerën *829 476* 
lekë.</t>
  </si>
  <si>
    <t>Detyrime të papaguara në vlerën *800 601* lekë për një kredi për blerje 
veture tip Audi Q7 marrë më 10.09.2010 me principal *1 300 000* lekë.</t>
  </si>
  <si>
    <t>Bashkëshortja zonja Juliana Peçi paga nga mësimdhënia në vlerën *266 065* 
lekë.</t>
  </si>
  <si>
    <t>Paga si Kryetar Bashkie në vlerën *1 001 710* lekë.</t>
  </si>
  <si>
    <t>Bashkëshortja paga në vlerën *297 000* lekë.</t>
  </si>
  <si>
    <t>Paga si Kryetar i Bashkisë Lezhë në vlerën *1 080 000* lekë.</t>
  </si>
  <si>
    <t>Shpërblim si anëtar i Këshillit të Qarkut Lezhë në vlerën *156 000* lekë.</t>
  </si>
  <si>
    <t>Bashkëshortja paga në vlerën *480 000* lekë.</t>
  </si>
  <si>
    <t>Ylli KUPI</t>
  </si>
  <si>
    <t>Kryetar Komune - Komuna Petrelë</t>
  </si>
  <si>
    <t>Mandati i katërt</t>
  </si>
  <si>
    <t>Bashkëshortja, Znj. Kupi</t>
  </si>
  <si>
    <t>Paga si Kryetar Bashkie në vlerën *1 050 051* lekë.</t>
  </si>
  <si>
    <t>Bonus për transport në vlerën *360 000* lekë.</t>
  </si>
  <si>
    <t>*1)* Shpërblime si anëtar i Këshillit të Qarkut në vlerën *140 400* lekë.
*2)* Shpërblime si kryetar i KRRT në vlerën *9 000* lekë.
*3)* Shpërblime si anëtar i Bordit të Qendrës Shëndetësore Kamëz në vlerën *40 
000* lekë.</t>
  </si>
  <si>
    <t>Bashkëshortja paga në vlerën *1 122 815* lekë.</t>
  </si>
  <si>
    <t>*1)* Detyrime të papaguara në vlerën *3 812* euro për një kredi bankare për 
blerje veture tip Peugeot.
*2)* Detyrime të papaguara në vlerën *3 872 447* lekë për një kredi bankare 
marrë më 30.12.2010 për shtesë katin e dytë të shtëpisë.
*3)* Detyrime të papaguara në vlerën *300 000* lekë për një borxh të 
përkohshëm marrë të vëllait.</t>
  </si>
  <si>
    <t>Admir THANZA</t>
  </si>
  <si>
    <t>Gjyqtar - Gjykata e Lartë</t>
  </si>
  <si>
    <t>nr: 1595/2012 nr: 1595/2013 nr: 1595/2014</t>
  </si>
  <si>
    <t>Bashkëshortja zonja Elvira Alibali</t>
  </si>
  <si>
    <t>Aleksandër MUSKAJ</t>
  </si>
  <si>
    <t>nr: 01350/2012 nr: 01350/2013 nr: 01350/2014</t>
  </si>
  <si>
    <t>Bashkëshortja zonja Alda Muskaj</t>
  </si>
  <si>
    <t>Andi ÇELIKU</t>
  </si>
  <si>
    <t>nr: 08754/2012 nr: 08754/2013 nr: 08754/2014</t>
  </si>
  <si>
    <t>Bashkëshortja Erlinda Çeliku</t>
  </si>
  <si>
    <t>Ardian DVORANI</t>
  </si>
  <si>
    <t>nr: 00398/2012 nr: 00398/2013 nr: 00398/2014</t>
  </si>
  <si>
    <t>Bashkëshortja zonja Edlira Dollaku</t>
  </si>
  <si>
    <t>Ardian NUNI</t>
  </si>
  <si>
    <t>nr: 08528/2012 nr: 08528/2013 nr: 08528/2014</t>
  </si>
  <si>
    <t>Bashkëshortja zonja Florina Nuni</t>
  </si>
  <si>
    <t>Arjana FULLANI</t>
  </si>
  <si>
    <t>nr: 03863/2012 nr: 03863/2013 nr: 03863/2014</t>
  </si>
  <si>
    <t>Bashkëshorti zoti Ardian Fullani, Vajza zonja Fiona Fullani</t>
  </si>
  <si>
    <t>Artan BROCI</t>
  </si>
  <si>
    <t>nr: 1403/2012 nr: 1403/2013 nr: nr: 01403/2014</t>
  </si>
  <si>
    <t>Bashkëshortja zonja Irma Broci</t>
  </si>
  <si>
    <t>Artan ZENELI</t>
  </si>
  <si>
    <t>nr: 08596/2012 nr: 08596/2013 nr: 08596/2014</t>
  </si>
  <si>
    <t>Bashkëshortja zonja Valbona Zeneli</t>
  </si>
  <si>
    <t>Edmond ISLAMAJ</t>
  </si>
  <si>
    <t>nr: 01354/2012 nr: 01354/2013 nr: 01354/2014</t>
  </si>
  <si>
    <t>Bashkëshortja zonja Sonila Toska</t>
  </si>
  <si>
    <t>Evelina QIRJAKO</t>
  </si>
  <si>
    <t>nr: 08764/2012 nr: 08764/2013 nr: 08764/2014</t>
  </si>
  <si>
    <t>Vajza Krista Mollaj</t>
  </si>
  <si>
    <t>Guxim ZENELAJ</t>
  </si>
  <si>
    <t>nr: 01293/2012 nr: 01293/2013 nr: 01293/2014</t>
  </si>
  <si>
    <t>Bashkëshortja zonja Majlinda Zenelaj, Gjyshja zonja Shake Zenelaj</t>
  </si>
  <si>
    <t>Majlinda ANDREA</t>
  </si>
  <si>
    <t>nr: 01626/2012 nr: 01626/2013 nr: 01626/2014</t>
  </si>
  <si>
    <t>Bashkëshorti zoti Odhise Andrea</t>
  </si>
  <si>
    <t>Medi BICI</t>
  </si>
  <si>
    <t>nr: 01379/2012 nr: 01379/2013 nr: 01379/2014</t>
  </si>
  <si>
    <t>Mirela FANA</t>
  </si>
  <si>
    <t>nr: 01431/2012 nr: 01431/2013 nr: 01431/2014</t>
  </si>
  <si>
    <t>Bashkëshorti zoti Neshat Fana dhe Vajza zonja Kristilda Fana</t>
  </si>
  <si>
    <t>Shkëlzen SELIMI</t>
  </si>
  <si>
    <t>nr: 01656/2012 nr: 01656/2013 nr: 01656/2014</t>
  </si>
  <si>
    <t>Bashkëshortja zonja Rilinda Selimi</t>
  </si>
  <si>
    <t>Tom NDRECA</t>
  </si>
  <si>
    <t>nr: 01364/2012 nr: 01364/2013 nr: 01364/2014</t>
  </si>
  <si>
    <t>Bashkëshortja zonja Kristina Ndreca, Djali zoti Erion Ndreca, Djali zoti 
Erind Ndreca</t>
  </si>
  <si>
    <t>Xhezair ZAGANJORI</t>
  </si>
  <si>
    <t>Kryetar i Gjykatës së Lartë - Gjykata e Lartë</t>
  </si>
  <si>
    <t>nr: 01335/2013 nr: 01335/2014</t>
  </si>
  <si>
    <t>Bashkëshortja zonja Neriman Zaganjori, Djali zoti Mirlind Zaganjori, Djali 
zoti Renis Zaganjori</t>
  </si>
  <si>
    <t>Adriatik LLALLA</t>
  </si>
  <si>
    <t>Prokuror i Përgjithshëm - Prokuroria e Përgjithshme</t>
  </si>
  <si>
    <t>nr: 01875/2012 nr: 01875/2013 nr: 01875/2014</t>
  </si>
  <si>
    <t>Bashkëshortja zonja Ardjana Llalla (Mema)</t>
  </si>
  <si>
    <t>Artan DIDI</t>
  </si>
  <si>
    <t>Drejtor i Përgjithshëm i Policisë së Shtetit - Policia e Shtetit</t>
  </si>
  <si>
    <t>nr: 02251/2013</t>
  </si>
  <si>
    <t>Bashkëshortja zonja Albana Didi</t>
  </si>
  <si>
    <t>Artan LAME</t>
  </si>
  <si>
    <t>Drejtor i Përgjithshëm i ALUIZNI-t - ALUIZNI</t>
  </si>
  <si>
    <t>nr: 01080/2013</t>
  </si>
  <si>
    <t>Brisida SHEHAJ</t>
  </si>
  <si>
    <t>Drejtor i Përgjithshëm i Tatimeve - Drejtoria e Përgjithshme e Tatimeve</t>
  </si>
  <si>
    <t>nr: 11343/2013</t>
  </si>
  <si>
    <t>Bujar LESKAJ</t>
  </si>
  <si>
    <t>Kryetar i Kontrollit të Lartë të Shtetit - Kontrolli i Lartë i Shtetit</t>
  </si>
  <si>
    <t>nr: 04934/2012 nr: 04934/2013</t>
  </si>
  <si>
    <t>Bashkëshortja zonja Silvana Leskaj</t>
  </si>
  <si>
    <t>Bujar NISHANI</t>
  </si>
  <si>
    <t>President i Republikës - Presidencë</t>
  </si>
  <si>
    <t>nr: 04879/2012 nr: nr: 04879/2013 nr: 04879/2014</t>
  </si>
  <si>
    <t>Bashkëshortja zonja Odeta Nishani</t>
  </si>
  <si>
    <t>Elisa SPIROPALI</t>
  </si>
  <si>
    <t>Drejtor i Përgjithshme i Doganave - Drejtoria e Përgjithshme e Doganave</t>
  </si>
  <si>
    <t>nr: 11414/2013</t>
  </si>
  <si>
    <t>Igli TOTOZANI</t>
  </si>
  <si>
    <t>Avokat i Popullit - Avokati i Popullit</t>
  </si>
  <si>
    <t>nr: 00850/2012 nr: 00850/2013</t>
  </si>
  <si>
    <t>Bashkëshortja zonja Marta Onorato</t>
  </si>
  <si>
    <t>Visho AJAZI LIKA</t>
  </si>
  <si>
    <t>Drejtor i Shërbimit Informativ të Shtetit - Shërbimi Informativ i Shtetit</t>
  </si>
  <si>
    <t>nr: 09455/2012 nr: 09455/2013 nr: 09455/2014</t>
  </si>
  <si>
    <t>Djali zoti Viler Ajazi, Vajza zonja Ada Ajazi Lika</t>
  </si>
  <si>
    <t>Tritan HAMITAJ</t>
  </si>
  <si>
    <t>Subjekt prej datës: 1999-11-19</t>
  </si>
  <si>
    <t>nr: 01508/2012 nr: 01508/2013 nr: 01508/2014</t>
  </si>
  <si>
    <t>Bashkëshortja zonja Rudina Hamitaj</t>
  </si>
  <si>
    <t>Sokol ÇOMO</t>
  </si>
  <si>
    <t>nr: 01437/2013 nr: 01437/2014</t>
  </si>
  <si>
    <t>Bashkëshortja zonja Alma Çomo</t>
  </si>
  <si>
    <t>Lulëzim LELÇAJ</t>
  </si>
  <si>
    <t>nr: 6672/2012 nr: 06672/2013</t>
  </si>
  <si>
    <t>Ilir MUSTAFAJ</t>
  </si>
  <si>
    <t>Subjekt prej datës: 1996-08-23</t>
  </si>
  <si>
    <t>nr: 01420/2012 nr: 01420/2013 nr: 01420/2014</t>
  </si>
  <si>
    <t>Bashkëshortja zonja Luiza Mustafaj</t>
  </si>
  <si>
    <t>Hysen SALIKO</t>
  </si>
  <si>
    <t>Subjekt prej datës: 2010-05-25</t>
  </si>
  <si>
    <t>nr: 01553/2012 nr: 01553/2013 nr: 01553/2014</t>
  </si>
  <si>
    <t>Nëna zonja Myrvete Saliko, Djali zoti Ibrahim Saliko, Bashkëshortja zonja 
Lavdie Skënderi</t>
  </si>
  <si>
    <t>Gjin GJONI</t>
  </si>
  <si>
    <t>Subjekt prej datës: 2009-06-12</t>
  </si>
  <si>
    <t>nr: 01419/2012 nr: 01419/2013 nr: 01419/2014</t>
  </si>
  <si>
    <t>Bashkëshortja zonja Elona Çaushi</t>
  </si>
  <si>
    <t>Flamur KAPLLANI</t>
  </si>
  <si>
    <t>Subjekt prej datës: 2000-04-24</t>
  </si>
  <si>
    <t>nr: 01459/2012 nr: 014159/2013 nr: 014159/2014</t>
  </si>
  <si>
    <t>Bashkëshortja zonja Ermira Kapllani</t>
  </si>
  <si>
    <t>Elvis ÇEFA</t>
  </si>
  <si>
    <t>nr: 07286/2012 nr: 07286/2013</t>
  </si>
  <si>
    <t>Bashkëshortja zonja Arjeta Çefa</t>
  </si>
  <si>
    <t>Dritan HALLUNAJ</t>
  </si>
  <si>
    <t>Subjekt prej datës:2004-01-01</t>
  </si>
  <si>
    <t>nr: 01367/2012 nr: 01367/2013 nr: 01367/2014</t>
  </si>
  <si>
    <t>Bashkëshortja zonja Enkelejda Hallunaj</t>
  </si>
  <si>
    <t>Dritan CAKA</t>
  </si>
  <si>
    <t>Subjekt prej datës: 2000-10-01</t>
  </si>
  <si>
    <t>nr: 01504/2012 nr: 01504/2013 nr: 01504/2014</t>
  </si>
  <si>
    <t>Astrit HAXHIALUSHI</t>
  </si>
  <si>
    <t>Subjekt prej datës: 1994-06-30</t>
  </si>
  <si>
    <t>nr: 01548/2012 nr: 01548/2013 nr: 01548/2014</t>
  </si>
  <si>
    <t>Babai zoti Asim Haxhialushi, Nëna zonja Rahmije Haxhialushi, Bashkëshortja 
zonja Rozana Haxhialushi</t>
  </si>
  <si>
    <t>Adelina RISTA</t>
  </si>
  <si>
    <t>Legjislatura VIII</t>
  </si>
  <si>
    <t>nr: 11840/2013 nr: 11840/2014</t>
  </si>
  <si>
    <t>Agron ÇELA</t>
  </si>
  <si>
    <t>Partia Lëvizja Socialiste për Integrim</t>
  </si>
  <si>
    <t>nr: 11271/2013 nr: 11271/2014</t>
  </si>
  <si>
    <t>Bashkëshortja, Znj. Belma Çela</t>
  </si>
  <si>
    <t>Agron DUKA</t>
  </si>
  <si>
    <t>Legjislatura V, VIII</t>
  </si>
  <si>
    <t>Partia Republikane</t>
  </si>
  <si>
    <t>nr: 00344/2013 nr: 00344/2014</t>
  </si>
  <si>
    <t>1) Bashkëshortja, Znj. Fatbjana Duka. 2) Znj. Enva Duka, fëmijë madhorë 
sëbashku me prindërit. 3) Z. Andi Duka, fëmijë madhorë sëbashku me 
prindërit.</t>
  </si>
  <si>
    <t>Aldo BUMÇI</t>
  </si>
  <si>
    <t>Legjislatura VII, VIII</t>
  </si>
  <si>
    <t>Partia Demokratike</t>
  </si>
  <si>
    <t>nr: 04936/2012 nr: 04936/2013 nr: 04936/2014</t>
  </si>
  <si>
    <t>Bashkëshortja, Znj. Ilda Zhulali</t>
  </si>
  <si>
    <t>Eduard HALIMI</t>
  </si>
  <si>
    <t>nr: 01700/2012 nr: 01700/2013 nr: 01700/2014</t>
  </si>
  <si>
    <t>Bashkëshortja, Znj. Lea Kilica</t>
  </si>
  <si>
    <t>Flamur NOKA</t>
  </si>
  <si>
    <t>nr: 09347/2012 nr: 09347/2013 nr: 09347/2014</t>
  </si>
  <si>
    <t>Bashkëshortja.</t>
  </si>
  <si>
    <t>Fatmir MEDIU</t>
  </si>
  <si>
    <t>nr: 00083/2012 nr: 00083/2013 nr: 00083/2014</t>
  </si>
  <si>
    <t>Genci RULI</t>
  </si>
  <si>
    <t>Legjislatura V, VI, VII, VIII</t>
  </si>
  <si>
    <t>nr: 04889/2012 nr: 04889/2013 nr: 04889/2014</t>
  </si>
  <si>
    <t>Bashkëshortja, Znj. Rezana Ruli</t>
  </si>
  <si>
    <t>Genc POLLO</t>
  </si>
  <si>
    <t>Legjislatura IV, V, VI, VII, VIII</t>
  </si>
  <si>
    <t>nr: 00096/2012 nr: 00096/2013 nr: 00096/2014</t>
  </si>
  <si>
    <t>Majlinda BREGU</t>
  </si>
  <si>
    <t>Legjislatura VI, VII, VIII</t>
  </si>
  <si>
    <t>nr: 04906</t>
  </si>
  <si>
    <t>Bashkëshorti, Z. Namik Ajazi</t>
  </si>
  <si>
    <t>Ridvan BODE</t>
  </si>
  <si>
    <t>nr: 00176/2012 nr: 00176/2013 nr: 00176/2014</t>
  </si>
  <si>
    <t>1) Bashkëshortja, Znj. Jola Bode. 2) Znj. Adela Bode, fëmijë madhorë i 
ndarë nga prindi. 3) Z. Eraldo Bode, fëmijë madhorë.</t>
  </si>
  <si>
    <t>Sali BERISHA</t>
  </si>
  <si>
    <t>nr: 00184/2012 nr: 00184/2013 nr: 00184/2014</t>
  </si>
  <si>
    <t>1) Bashkëshortja, Znj. Liri Berisha. 2) Znj. Argita Malltezi, fëmijë 
madhorë i ndarë nga prindërit. 3) Shkëlzen Berisha, fëmijë madhorë i ndarë 
nga prindërit.</t>
  </si>
  <si>
    <t>Myqerem TAFAJ</t>
  </si>
  <si>
    <t>nr: 06071/2012 nr: 06071/2013 nr: 06071/2014</t>
  </si>
  <si>
    <t>1) Bashkëshortja. 2) Znj. Alma Tafaj, fëmijë madhorë i ndarë nga prindërit. 
3) Znj. Enkeleda Kasneci, fëmijë madhorë i ndarë nga prindërit. 4) Znj. B. 
Tafaj, fëmijë madhorë.</t>
  </si>
  <si>
    <t>Oerd BYLYKBASHI</t>
  </si>
  <si>
    <t>nr: 08331/2012 nr: 08331/2013 nr: 08331/2014</t>
  </si>
  <si>
    <t>Bashkëshortja, Znj. Vilma Fora</t>
  </si>
  <si>
    <t>Alban ZENELI</t>
  </si>
  <si>
    <t>Partia Drejtësi, Integrim dhe Unitet</t>
  </si>
  <si>
    <t>nr: 11093/2013 nr: 11093/2014</t>
  </si>
  <si>
    <t>Bashkëshortja, Znj. Alma Zeneli</t>
  </si>
  <si>
    <t>Albana VOKSHI</t>
  </si>
  <si>
    <t>nr: 05532/2012 nr: 05532/2013 nr: 05532/2014</t>
  </si>
  <si>
    <t>Albina DEDA</t>
  </si>
  <si>
    <t>nr: 10992/2013 nr: 10992/2014</t>
  </si>
  <si>
    <t>Bashkëshorti. Z. Pjerin Deda</t>
  </si>
  <si>
    <t>Alfred PEZA</t>
  </si>
  <si>
    <t>nr: 11346/2013 nr: 11346/2014</t>
  </si>
  <si>
    <t>Bashkëshortja, Znj. Mirela Ndini</t>
  </si>
  <si>
    <t>Anastas ANGJELI</t>
  </si>
  <si>
    <t>Legjislatura II, III, IV, V, VIII</t>
  </si>
  <si>
    <t>nr: 00530/2013 nr: 00530/2014</t>
  </si>
  <si>
    <t>1) Bashkëshortja, Znj. Greta Angjeli. 2) Znj. Jona Marashi, fëmijë madhorë 
i ndarë nga prindërit. 3) Z. Eros Angjeli, fëmijë madhorë sëbashku me 
prindërit</t>
  </si>
  <si>
    <t>Andrea MARTO</t>
  </si>
  <si>
    <t>nr: 08353/2013 nr: 08353/2014</t>
  </si>
  <si>
    <t>Bashkëshortja, Znj. Mirela Marto</t>
  </si>
  <si>
    <t>Anduel XHINDI</t>
  </si>
  <si>
    <t>nr: 10481/2012 nr: 10481/2013 nr: 10481/2014</t>
  </si>
  <si>
    <t>Aqif RAKIPI</t>
  </si>
  <si>
    <t>nr: 11257/2013 nr: 11257/2014</t>
  </si>
  <si>
    <t>1) Bashkëshortja, Znj. Qamile Rakipi. 2) Znj. Balciana Rakipi, fëmijë 
madhorë sëbashku me prindërit.</t>
  </si>
  <si>
    <t>Arben ÇUKO</t>
  </si>
  <si>
    <t>nr: 01247/2012 nr: 01247/2013 nr: 01247/2014</t>
  </si>
  <si>
    <t>Bashkëshortja, Znj. Eglantina Çuko</t>
  </si>
  <si>
    <t>Arben IMAMI</t>
  </si>
  <si>
    <t>Legjislatura I, II, III, V, VI, VIII</t>
  </si>
  <si>
    <t>nr: 00039/2012 nr: 00039/2013 nr: 00039/2014</t>
  </si>
  <si>
    <t>Bashkëshortja, Znj. Najada Hamzaj</t>
  </si>
  <si>
    <t>Arben NDOKA</t>
  </si>
  <si>
    <t>nr: 12705</t>
  </si>
  <si>
    <t>Bashkëshortja, Znj. Amarta Ndoka</t>
  </si>
  <si>
    <t>Arben RISTANI</t>
  </si>
  <si>
    <t>nr: 00007/2012 nr: 00007/2013 nr: 00007/2014</t>
  </si>
  <si>
    <t>Ardjan TURKU</t>
  </si>
  <si>
    <t>nr: 02932/2012 nr: 02932/2013 nr: 02932/2014</t>
  </si>
  <si>
    <t>1) Bashkëshortja, Znj. Dhurata Turku. 2) Znj. Enxhi Turku, fëmijë madhorë 
sëbashku me prindërit.</t>
  </si>
  <si>
    <t>Armando PRENGA</t>
  </si>
  <si>
    <t>nr: 09584/2012 nr: 09584/2013 nr: 09584/2014</t>
  </si>
  <si>
    <t>Bashkëshortja, Znj. Rovena Prenga</t>
  </si>
  <si>
    <t>Armando SUBASHI</t>
  </si>
  <si>
    <t>nr: 01671/2012 nr: 01671/2013 nr: 01671/2014</t>
  </si>
  <si>
    <t>Bashkëshortja, Znj. Irena Subashi</t>
  </si>
  <si>
    <t>Arta DADE</t>
  </si>
  <si>
    <t>nr: 00044</t>
  </si>
  <si>
    <t>Artan GAÇI</t>
  </si>
  <si>
    <t>nr: 09587/2012 nr: 09587/2013 nr: 09587/2014</t>
  </si>
  <si>
    <t>Artur BUSHI</t>
  </si>
  <si>
    <t>nr: 10271</t>
  </si>
  <si>
    <t>Astrit PATOZI</t>
  </si>
  <si>
    <t>nr: 04892/2012 nr: 04892/2013 nr: 04892/2014</t>
  </si>
  <si>
    <t>Bashkëshortja, Znj. Amantja Patozi</t>
  </si>
  <si>
    <t>Astrit VELIAJ</t>
  </si>
  <si>
    <t>nr: 11247/2013 nr: 11247/2014</t>
  </si>
  <si>
    <t>Bashkëshortja, Znj. Adelina Veliaj</t>
  </si>
  <si>
    <t>Bashkim FINO</t>
  </si>
  <si>
    <t>nr: 01081/2012 nr: 01081/2013 nr: 01081/2014</t>
  </si>
  <si>
    <t>1) Bashkëshortja, Znj. Diana Fino. 2) Z. Rejdi Fino, fëmijë madhorë.</t>
  </si>
  <si>
    <t>Bedri HOXHA</t>
  </si>
  <si>
    <t>nr: 03478/2012 nr: 03478/2013 nr: 03478/2014</t>
  </si>
  <si>
    <t>Bedri MIHAJ</t>
  </si>
  <si>
    <t>nr: 07937/2012 nr: 07937/2013 nr: 07937/2014</t>
  </si>
  <si>
    <t>1) Bashkëshortja, Znj. Natasha Mihaj. 2) Denis Mihaj, fëmijë madhorë.</t>
  </si>
  <si>
    <t>Ben BLUSHI</t>
  </si>
  <si>
    <t>nr: 01054/2012 nr: 01054/2013 nr: 01054/2014</t>
  </si>
  <si>
    <t>Bashkëshortja, Znj. Eva Blushi</t>
  </si>
  <si>
    <t>Besnik BARAJ</t>
  </si>
  <si>
    <t>nr: 00756</t>
  </si>
  <si>
    <t>Bashkëshortja, Znj. Edlira Baraj</t>
  </si>
  <si>
    <t>Agim ISAKU</t>
  </si>
  <si>
    <t>Ambasador - Ambasada Shqiptare në Sllovaki</t>
  </si>
  <si>
    <t>nr: 00219/2012 nr: 00219/2013</t>
  </si>
  <si>
    <t>Arben CICI</t>
  </si>
  <si>
    <t>Ambasador - Ambasada Shqiptare në Danimarkë</t>
  </si>
  <si>
    <t>nr: 00962/2012 nr: 00962/2013</t>
  </si>
  <si>
    <t>Bashkëshortja zonja Magi Cici</t>
  </si>
  <si>
    <t>Ardiana HOBDARI</t>
  </si>
  <si>
    <t>Ambasador - Ambasada Shqiptare pranë Këshillit të Europës në Strasburg</t>
  </si>
  <si>
    <t>nr: 11963/2014</t>
  </si>
  <si>
    <t>Artur KUKO</t>
  </si>
  <si>
    <t>Ambasador - Ambasada Shqiptare në NATO</t>
  </si>
  <si>
    <t>Shtator 2007</t>
  </si>
  <si>
    <t>nr: 00965/2012 nr: 00965/2013</t>
  </si>
  <si>
    <t>Bashkëshortja zonja Ermira Kuko</t>
  </si>
  <si>
    <t>Behar BEJKO</t>
  </si>
  <si>
    <t>Ambasador - Ambasada Shqiptare në Emiratet e Bashkuara Arabe</t>
  </si>
  <si>
    <t>nr: 09881/2012 nr: 09881/2013</t>
  </si>
  <si>
    <t>Besiana KADARE</t>
  </si>
  <si>
    <t>Ambasador - Ambasada Shqiptare në UNESCO</t>
  </si>
  <si>
    <t>nr: 10178/2012 nr: 10178/2013</t>
  </si>
  <si>
    <t>Bujar DIDA</t>
  </si>
  <si>
    <t>Ambasador - Ambasada Shqiptare në Japoni</t>
  </si>
  <si>
    <t>nr: 09140/2012 nr: 09140/2013</t>
  </si>
  <si>
    <t>Dashnor DERVISHI</t>
  </si>
  <si>
    <t>Ambasador - Ambasada Shqiptare në Greqi</t>
  </si>
  <si>
    <t>nr: 00969/2012 nr: 00969/2013</t>
  </si>
  <si>
    <t>Bashkëshortja zonja Elvira Dervishi, Djali zoti Eldi Dervishi</t>
  </si>
  <si>
    <t>Dritan TOLA</t>
  </si>
  <si>
    <t>Ambasador - Ambasada Shqiptare në Francë</t>
  </si>
  <si>
    <t>nr: 109362013</t>
  </si>
  <si>
    <t>Bashkëshortja zonja Luena Tolica</t>
  </si>
  <si>
    <t>Edmond TRAKO</t>
  </si>
  <si>
    <t>Ambasador - Ambasada Shqiptare në Portugali</t>
  </si>
  <si>
    <t>nr: 00973/2012 nr: 00973/2013</t>
  </si>
  <si>
    <t>Bashkëshortja zonja Iris Trako</t>
  </si>
  <si>
    <t>Ermal DREDHA</t>
  </si>
  <si>
    <t>Konsull - Protokolli i Shtetit</t>
  </si>
  <si>
    <t>Nentor 2013</t>
  </si>
  <si>
    <t>nr: 10050/2012 nr: 10050/2013</t>
  </si>
  <si>
    <t>Bashkëshortja zonja Ani Hasanaj</t>
  </si>
  <si>
    <t>ERMAL MUÇA</t>
  </si>
  <si>
    <t>Konsull - Konsullata e Shqipërisë në Turqi</t>
  </si>
  <si>
    <t>nr: 09336/2013</t>
  </si>
  <si>
    <t>Bashkëshortja zonja Alma Muça</t>
  </si>
  <si>
    <t>Fatos KERCIKU</t>
  </si>
  <si>
    <t>Ambasador - Ambasada Shqiptare në Indi</t>
  </si>
  <si>
    <t>nr: 09296/2012 nr: 09296/2013</t>
  </si>
  <si>
    <t>Bashkëshortja Zonja Zhuljeta Kerciku (Lolaj)</t>
  </si>
  <si>
    <t>Ferit HOXHA</t>
  </si>
  <si>
    <t>Ambasador - Ambasada Shqiptare në OKB</t>
  </si>
  <si>
    <t>nr: 009822012 nr: 009822013</t>
  </si>
  <si>
    <t>Filloreta KODRA</t>
  </si>
  <si>
    <t>nr: 093862012 nr: 09386/2013</t>
  </si>
  <si>
    <t>Bashkëshorti zoti Astrit Kodra, E ëma zonja Elpiniqi Braco</t>
  </si>
  <si>
    <t>Flamur GASHI</t>
  </si>
  <si>
    <t>Ambasador - Ambasada Shqiptare në Bosnje Hercegovinë</t>
  </si>
  <si>
    <t>nr: 07533/2012 nr: 07533/2013</t>
  </si>
  <si>
    <t>Genc PECANI</t>
  </si>
  <si>
    <t>Ambasador - Ambasada Shqiptare në Pragë</t>
  </si>
  <si>
    <t>nr: 10180/2012 nr: 10180/2013</t>
  </si>
  <si>
    <t>Bashkëshortja zonja Matilda Pecani</t>
  </si>
  <si>
    <t>Genci MUÇAJ</t>
  </si>
  <si>
    <t>Ambasador - Ambasada Shqiptare në Turqi</t>
  </si>
  <si>
    <t>nr: 04545/2013</t>
  </si>
  <si>
    <t>Gilbert GALANXHI</t>
  </si>
  <si>
    <t>Ambasador - Ambasada Shqiptare në SHBA</t>
  </si>
  <si>
    <t>nr: 08312/2012 nr: 08312/2013</t>
  </si>
  <si>
    <t>Bashkëshortja zonja Etleva Galanxhi</t>
  </si>
  <si>
    <t>Idriz KONJARI</t>
  </si>
  <si>
    <t>Ambasador - Ambasada Shqiptare në Kuala</t>
  </si>
  <si>
    <t>nr: 042422012 nr: 042422013</t>
  </si>
  <si>
    <t>Bashkëshortja zonja Lavdie Konjari</t>
  </si>
  <si>
    <t>Ilir GJONI</t>
  </si>
  <si>
    <t>Ambasador - Ambasada Shqiptare në Zvicër</t>
  </si>
  <si>
    <t>nr: 1092013</t>
  </si>
  <si>
    <t>Bashkëshortja zonja Alma Gjoni</t>
  </si>
  <si>
    <t>Ilir TEPELENA</t>
  </si>
  <si>
    <t>Ambasador - Ambasada Shqiptare në Belgjikë</t>
  </si>
  <si>
    <t>nr: 046662012 nr: 046662013</t>
  </si>
  <si>
    <t>Bashkëshortja zonja Marsela Tepelena (Xhangolli)</t>
  </si>
  <si>
    <t>Kastriot ROBO</t>
  </si>
  <si>
    <t>Ambasador - Ambasada Shqiptare në Madrid</t>
  </si>
  <si>
    <t>nr: 00998/2012 nr: 00998/2013</t>
  </si>
  <si>
    <t>Djali zoti Besart Robo</t>
  </si>
  <si>
    <t>Kujtim MORINA</t>
  </si>
  <si>
    <t>Ambasador - Ambasada Shqiptare në Kuvajt</t>
  </si>
  <si>
    <t>nr: 10937/2013</t>
  </si>
  <si>
    <t>Nëna zonja Raze Morina, Vëllai zoti Arian Morina</t>
  </si>
  <si>
    <t>Kujtim XHANI</t>
  </si>
  <si>
    <t>Ambasador - Ambasada Shqiptare në Pekin</t>
  </si>
  <si>
    <t>nr: 00999/2012 nr: 00999/2013</t>
  </si>
  <si>
    <t>Djali zoti Glendi Xhani, Djali zoti Klodian Xhani</t>
  </si>
  <si>
    <t>Leonard DEMI</t>
  </si>
  <si>
    <t>nr: 00127/2012 nr: 00127/2013</t>
  </si>
  <si>
    <t>Bashkëshortja zonja Pranvera Komani</t>
  </si>
  <si>
    <t>Mal BERISHA</t>
  </si>
  <si>
    <t>Ambasador - Ambasada Shqiptare në Mbretërinë e Bashkuar</t>
  </si>
  <si>
    <t>nr: 09457/2012 nr: 094572013</t>
  </si>
  <si>
    <t>Bashkëshortja paga në vlerën 120 000 lekë, Djali zoti Erion Berisha</t>
  </si>
  <si>
    <t>Mimoza HALIMI</t>
  </si>
  <si>
    <t>Ambasador - Ambasada Shqiptare në Bashkimin Europian</t>
  </si>
  <si>
    <t>nr: 07750/2012 nr: 07750/2013</t>
  </si>
  <si>
    <t>Bashkëshorti zoti Ariel Halimi</t>
  </si>
  <si>
    <t>Mira HOXHA</t>
  </si>
  <si>
    <t>Ambasador - Ambasada Shqiptare në Hungari</t>
  </si>
  <si>
    <t>nr: 09317/2012 nr: 09317/2013</t>
  </si>
  <si>
    <t>Neritan CEKA</t>
  </si>
  <si>
    <t>Ambasador - Ambasada Shqiptare në Itali</t>
  </si>
  <si>
    <t>nr: 00159/2012 nr: 00159/2013</t>
  </si>
  <si>
    <t>Nuri DOMI</t>
  </si>
  <si>
    <t>Ambasador - Ambasada Shqiptare në Egjipt</t>
  </si>
  <si>
    <t>nr: 082272012 nr: 082272013</t>
  </si>
  <si>
    <t>Pëllumb QAZIMI</t>
  </si>
  <si>
    <t>Ambasador - Ambasada Shqiptare në Kroaci</t>
  </si>
  <si>
    <t>nr: 008812012 nr: 008812013</t>
  </si>
  <si>
    <t>Bashkëshortja zonja Fatbardha Qazimi</t>
  </si>
  <si>
    <t>Qemal MINXHOZI</t>
  </si>
  <si>
    <t>Ambasador - Ambasada Shqiptare në Kosovë</t>
  </si>
  <si>
    <t>nr: 01016/2013</t>
  </si>
  <si>
    <t>Bashkëshortja zonja Luljeta Minxhozi</t>
  </si>
  <si>
    <t>Riza PODA</t>
  </si>
  <si>
    <t>Konsull - Konsullata e Shqipërisë në Greqi</t>
  </si>
  <si>
    <t>nr: 021092012 nr: 021092013</t>
  </si>
  <si>
    <t>1) Bashkëshortja zonja Ilda Poda, Djali zoti Endrit Poda</t>
  </si>
  <si>
    <t>Roland BIMO</t>
  </si>
  <si>
    <t>Ambasador - Ambasada Shqiptare në Vienë</t>
  </si>
  <si>
    <t>nr: 10192013</t>
  </si>
  <si>
    <t>Bashkëshortja zonja Mimoza Bim, Djali zoti Florian Bimo, Djali zoti Andi 
Bimo</t>
  </si>
  <si>
    <t>Saimir BALA</t>
  </si>
  <si>
    <t>Konsull - Konsullata e Shqipërisë në Arabinë Saudite</t>
  </si>
  <si>
    <t>nr: 093882012 dhe 093882013</t>
  </si>
  <si>
    <t>Sami SHIBA</t>
  </si>
  <si>
    <t>Ambasador - Ambasada Shqiptare në Rumani</t>
  </si>
  <si>
    <t>nr: 087222012 nr: 087222013</t>
  </si>
  <si>
    <t>Djali zoti Orlen Shiba</t>
  </si>
  <si>
    <t>Shpresa KURETA</t>
  </si>
  <si>
    <t>Ambasador - Ambasada Shqiptare në Poloni</t>
  </si>
  <si>
    <t>nr: 01025/2012 nr: 01025/2013</t>
  </si>
  <si>
    <t>Bashkëshorti, Vajza</t>
  </si>
  <si>
    <t>Sokol GJOKA</t>
  </si>
  <si>
    <t>Ambasador - Ambasada Shqiptare në Federatën Ruse</t>
  </si>
  <si>
    <t>nr: 01029/2012 nr: 01029/2013</t>
  </si>
  <si>
    <t>Spiro KOÇI</t>
  </si>
  <si>
    <t>nr: 010312012 nr: 010312013</t>
  </si>
  <si>
    <t>Bashkëshortja zonja Dolores Koçi</t>
  </si>
  <si>
    <t>Tatjana GJONAJ</t>
  </si>
  <si>
    <t>Ambasador - Ambasada Shqiptare në Brazil</t>
  </si>
  <si>
    <t>Nëntor 2009</t>
  </si>
  <si>
    <t>nr: 01033/2012 nr: 01033/2013</t>
  </si>
  <si>
    <t>Bashkëshorti zoti Vladimir Gjonaj</t>
  </si>
  <si>
    <t>Tonin BECI</t>
  </si>
  <si>
    <t>Ambasador - Ambasada Shqiptare në Mal të Zi</t>
  </si>
  <si>
    <t>nr: 04663/2012 nr: 04663/2013</t>
  </si>
  <si>
    <t>Bashkëshortja zonja Anila Beci</t>
  </si>
  <si>
    <t>Valter IBRAHIMI</t>
  </si>
  <si>
    <t>Ambasador - Ambasada Shqiptare në Gjermani</t>
  </si>
  <si>
    <t>nr: 01036/2012 nr: 01036/2013</t>
  </si>
  <si>
    <t>Mark FRROKU</t>
  </si>
  <si>
    <t>Partia Kristian Demokrate</t>
  </si>
  <si>
    <t>nr: 11248/2013 nr: 11248/2014</t>
  </si>
  <si>
    <t>Bashkëshortja, Znj. Daklea Frroku</t>
  </si>
  <si>
    <t>Tom DOSHI</t>
  </si>
  <si>
    <t>nr: 04928/2012 nr: 04928/2013 nr: 04928/2014</t>
  </si>
  <si>
    <t>Bashkëshortja, Znj. Xhovana Doshi</t>
  </si>
  <si>
    <t>Shkëlqim SELAMI</t>
  </si>
  <si>
    <t>nr: 11281/2012 nr: 11281/2013 nr: 11281/2014</t>
  </si>
  <si>
    <t>Bashkëshortja, Znj. Alketa Selami</t>
  </si>
  <si>
    <t>Dashamir TAHIRI</t>
  </si>
  <si>
    <t>nr: 09348/2012 nr: 09348/2013 nr: 09348/2014</t>
  </si>
  <si>
    <t>Monika KRYEMADHI</t>
  </si>
  <si>
    <t>nr: 00146/2013 nr: 00146/2014</t>
  </si>
  <si>
    <t>Bashkëshorti, Z. Ilir Meta</t>
  </si>
  <si>
    <t>Spartak BRAHO</t>
  </si>
  <si>
    <t>Legjislatura IV, V, VI, VIII</t>
  </si>
  <si>
    <t>nr: 00196/2013 nr: 00196/2013 nr: 00196/2014</t>
  </si>
  <si>
    <t>Bashkëshortja, Znj. Anida Braho, Djali Z. Kreshnik Braho, Djali Z. Arbër 
Braho</t>
  </si>
  <si>
    <t>Blerina GJYLAMETI</t>
  </si>
  <si>
    <t>nr: 11776</t>
  </si>
  <si>
    <t>Bashkëshorti, Z. Kostika Gjylameti</t>
  </si>
  <si>
    <t>Mhill FUFI</t>
  </si>
  <si>
    <t>nr: 11415</t>
  </si>
  <si>
    <t>Bashkëshortja, Znj. Arbana Ndoi</t>
  </si>
  <si>
    <t>Liljana ELMAZI</t>
  </si>
  <si>
    <t>nr: 11256/2013 nr: 11256/2014</t>
  </si>
  <si>
    <t>Bashkëshorti, Z. Nikollaq Billa</t>
  </si>
  <si>
    <t>Besnik DUSHAJ</t>
  </si>
  <si>
    <t>nr: 03546/2012 nr: 03546/2013 nr: 03546/2014</t>
  </si>
  <si>
    <t>Blendi KLOSI</t>
  </si>
  <si>
    <t>nr: 00771/2012 nr: 00771/2013 nr: 00771/2014</t>
  </si>
  <si>
    <t>Bashkëshortja, Znj. Nora Klosi</t>
  </si>
  <si>
    <t>Bujar DERVENI</t>
  </si>
  <si>
    <t>nr: 12087/2014</t>
  </si>
  <si>
    <t>1) Bashkëshortja, Znj. Myzejene Derveni. 2) Znj. Amanda Derveni, fëmijë 
madhorë së bashku me prindërit. 3) Z. Skënder Derveni, fëmijë madhorë së 
bashku me prindërit. 4) Z. Burim Derveni, fëmijë madhorë së bashku me 
prindërit.</t>
  </si>
  <si>
    <t>Ylli SHEHU</t>
  </si>
  <si>
    <t>nr: 10891/2013</t>
  </si>
  <si>
    <t>Ylli ZIÇISHTI PETRAJ</t>
  </si>
  <si>
    <t>nr: 11311/2013 nr: 11311/2014</t>
  </si>
  <si>
    <t>Djali zoti Fisnik Ziçishti, Vajza zonja Fatiola Ziçishti</t>
  </si>
  <si>
    <t>Xhemal QEFALIA</t>
  </si>
  <si>
    <t>nr: 00523/2012 nr: 00523/2013 nr: 00523/2014</t>
  </si>
  <si>
    <t>Bashkëshortja zonja Avonila Qefalia</t>
  </si>
  <si>
    <t>Voltana ADEMI</t>
  </si>
  <si>
    <t>nr: 03650/2012 nr: 03650/2013 nr: 03650/2014</t>
  </si>
  <si>
    <t>Bashkëshorti zoti Fran Mjeda</t>
  </si>
  <si>
    <t>Vladimir KOSTA</t>
  </si>
  <si>
    <t>nr: 11826/2013 nr: 11826/2014</t>
  </si>
  <si>
    <t>Bashkëshortja zonja Elga Kosta</t>
  </si>
  <si>
    <t>Vexhi MUÇMATAJ</t>
  </si>
  <si>
    <t>Shtator 1995</t>
  </si>
  <si>
    <t>nr: 01864/2013 nr: 01864/2014</t>
  </si>
  <si>
    <t>Bashkëshortja zonja Frida Muçmataj, Djali zoti Saimir Muçmataj, Vajza zonja 
Ilda Muçmataj, Vajza zonja Medea Kastrati</t>
  </si>
  <si>
    <t>Vangjel DULE</t>
  </si>
  <si>
    <t>Shtator 2013</t>
  </si>
  <si>
    <t>Partia Bashkimi për të Drejtat e Njeriut</t>
  </si>
  <si>
    <t>nr: 002072012 nr: 002072013 nr: nr: 002072014</t>
  </si>
  <si>
    <t>Bashkëshortja zonja Kristina Hanxhari</t>
  </si>
  <si>
    <t>Valentina LESKAJ</t>
  </si>
  <si>
    <t>nr: 002062012 nr: 002062013 nr: 002062014</t>
  </si>
  <si>
    <t>Bashkëshortja e djalit zotit Arian Leskaj, Djali zoti Arian Leskaj, Djali 
zoti Besnik Leskaj</t>
  </si>
  <si>
    <t>Shkëlqim GANAJ</t>
  </si>
  <si>
    <t>Inspektor i Përgjithshëm ILDKPKI - Inspektorati i Lartë i Deklarimit dhe 
Kontrollit të Pasurive dhe Konfliktit të Interesave</t>
  </si>
  <si>
    <t>nr: 11853/2014</t>
  </si>
  <si>
    <t>Bashkëshortja znj. Jorida Ganaj</t>
  </si>
  <si>
    <t>Paga dhe shpërblime si Kryetar i Bashkisë Fushë Arrëz në vlerën *1 162 456* 
lekë.</t>
  </si>
  <si>
    <t>Paga si Kryetar i Bashkisë Ersekë në vlerën *336 000* lekë.</t>
  </si>
  <si>
    <t>Shpërblim si anëtar i Këshillit të Qarkut në vlerën *50 000* lekë.</t>
  </si>
  <si>
    <t>*1)* Bashkëshortja zonja Rajmonda Laho të ardhura nga aktivitet privat në 
vlerën *200 000* lekë.
*2)* Vajza zonja Nesila Laho paga si e punësuar në kompani private në 
vlerën *80 000* lekë.</t>
  </si>
  <si>
    <t>Detyrime të papaguara në vlerën *100 000* lekë për një gjobë për 
mosvendosje kase fiskale, aktualisht në proces ankimimi.</t>
  </si>
  <si>
    <t>Paga si kryetar i Bashkisë Libohovë në vlerën *624 000* lekë.</t>
  </si>
  <si>
    <t>Bonus si kryetar i Bashkisë Libohovë në vlerën *30 000* lekë.</t>
  </si>
  <si>
    <t>Të ardhura si anëtar i Kryesisë së Qarkut në vlerën *104 000* lekë.</t>
  </si>
  <si>
    <t>Bashkëshortja paga në vlerën *660 000* lekë.</t>
  </si>
  <si>
    <t>Paga si Kryetar i Bashkisë Përrenjas në vlerën *462 000* lekë.</t>
  </si>
  <si>
    <t>Bashkëshortja zonja Sofie Karriqi paga në vlerën *660 000* lekë.</t>
  </si>
  <si>
    <t>Paga dhe shpërblime si Kryetar i Bashkisë Manëz në vlerën *1 174 392* lekë.</t>
  </si>
  <si>
    <t>Të ardhura nga Këshilli i Qarkut në vlerën *134 400* lekë.</t>
  </si>
  <si>
    <t>Bashkëshortja zonja Elida Huqi paga nga mësimdhënia pranë gjimnazit Naim 
Frashëri Durrës në vlerën *468 000* lekë.</t>
  </si>
  <si>
    <t>Paga si Kryetar i Bashkisë Leskovik në vlerën *648 000* lekë.</t>
  </si>
  <si>
    <t>Paga si anëtar i Këshillit të Qarkut në vlerën *128 928* lekë.</t>
  </si>
  <si>
    <t>Detyrime të papaguara në vlerën *34 000* euro për një kredi bankare marrë 
në vitin 2009 në bankë të nivelit të dytë me principal *50 000* euro dhe 
maturim në vitin 2016.</t>
  </si>
  <si>
    <t>Paga neto si Drejtor në vlerën *267 500* lekë.</t>
  </si>
  <si>
    <t>Bashkëshortja zonja Edmonda Çaushi të ardhura nga mësimdhënia në vlerën *456 
000* lekë.</t>
  </si>
  <si>
    <t>Paga dhe shpërblime neto si Kryetar i Bashkisë Maliq në vlerën *691 296* 
lekë.</t>
  </si>
  <si>
    <t>Të ardhura si anëtar i Këshillit të Qarkut në vlerën *62 880* lekë.</t>
  </si>
  <si>
    <t>Të ardhura nga toka bujqësore në vlerën *120 000* lekë.</t>
  </si>
  <si>
    <t>Bashkëshortja zonja Filloreta Topçiu paga dhe shpërblime nga mësimdhënia në 
vlerën *429 795* lekë.</t>
  </si>
  <si>
    <t>Përfitim financiar për transport në vlerën *288 000* lekë sipas ligjit nr. 
10160, datë 15.10.2009.</t>
  </si>
  <si>
    <t>Paga si Kryetar i Bashkisë Rubik në vlerën *258 000* lekë.</t>
  </si>
  <si>
    <t>Bashkëshortja zonja Albina Vuka paga pranë Bashkisë Rubik në vlerën *96 000* 
lekë.</t>
  </si>
  <si>
    <t>Bashkëshortja zonja Albina Vuka detyrime të papaguara në vlerën *915 104* 
lekë për kredi bankare marrë më 28.04.2011 me principal *1 000 000* lekë, 
afat shlyerje 7 vjet dhe normë interesi 17.5%.</t>
  </si>
  <si>
    <t>Paga si Kryetar i Bashkisë Vau- Dejes në vlerën *700 392* lekë.</t>
  </si>
  <si>
    <t>*1)* Bashkëshortja paga nga mësimdhënia në vlerën *490 956* lekë.
*2)* Djali zoti Arion Marku të ardhura nga biznesi Studio Fotografike në 
vlerën *600 000* lekë.</t>
  </si>
  <si>
    <t>Paga si Kryetar i Bashkisë Mamurras në vlerën *410 000* lekë.</t>
  </si>
  <si>
    <t>Qira lokali në Tiranë në vlerën *12 000* euro.</t>
  </si>
  <si>
    <t>Të ardhura nga reklama vendosur në pallatin 5 katësh në Tiranë në vlerën *3 
000* euro.</t>
  </si>
  <si>
    <t>Paga si Kryetar i Bashkisë Shijak në vlerën *423 500* lekë.</t>
  </si>
  <si>
    <t>Të ardhura si anëtar i Këshillit të Qarkut Durrës në vlerën *39 000* lekë.</t>
  </si>
  <si>
    <t>*1)* Bashkëshortja zonja Aljona Buka paga pranë Eurotech-Cement shpk në 
vlerën *279 185* lekë.
*2)* Babai pension pleqërie në vlerën *72 875* lekë.
*3)* Nëna pension pleqërie në vlerën *72 875* lekë.</t>
  </si>
  <si>
    <t>Detyrime të papaguara në vlerën *1 972 182* lekë për një kredi për blerje 
apartamenti me sip. 96 m2 marrë më 14.09.2010 në bankë të nivelit të dytë 
me principal *2 172 182* lekë, me interes 0%, afat shlyerje 180 muaj dhe 
këst mujor *12 500* lekë.</t>
  </si>
  <si>
    <t>Paga si Kryetar Bashkie Këlcyrë në vlerën *420 000* lekë.</t>
  </si>
  <si>
    <t>Bashkëshortja zonja Vjolanda Ndoni paga si drejtore dege pranë Raiffeisen 
Bank, Përmet në vlerën *1 140 000* lekë.</t>
  </si>
  <si>
    <t>Bashkëshortja zonja Vjolanda Ndoni detyrime të papaguara në vlerën *740 859* 
lekë për një kredi për blerje pajisje shtëpiake marrë më 28.09.2009 me 
principal *1 000 000* lekë, interes 7% dhe afat shlyerje 7 vjet.</t>
  </si>
  <si>
    <t>Paga si Kryetar i Bashkisë Memaliaj në vlerën *449 090* lekë.</t>
  </si>
  <si>
    <t>Bonus transporti në vlerën *180 000* lekë.</t>
  </si>
  <si>
    <t>Të ardhura si anëtar i Këshillit të Qarkut Gjirokastër në vlerën *69 000* 
lekë.</t>
  </si>
  <si>
    <t>*1)* Bashkëshortja zonja Liljana Meçi të ardhura nga ushtrimi i një 
aktiviteti privat në vlerën *120 000* lekë.
*2)* Vajza zonja Elvana Meçi paga në vlerën *540 000* lekë.
*3)* Vajza zonja Jonida Bijo paga si ekonomiste pranë Hotel Sheraton në 
vlerën *600 000* lekë.</t>
  </si>
  <si>
    <t>Detyrime të papaguara në vlerën *808 597* lekë për një kredi bankare në 
bankë të nivelit të dytë me principal *860 000* lekë.</t>
  </si>
  <si>
    <t>Paga dhe shpërblime si Kryetar i Bashkisë Rrogozhinë në vlerën *319 500* 
lekë.</t>
  </si>
  <si>
    <t>Paga si Kryetar i Bashkisë Koplik në vlerën *924 000* lekë.</t>
  </si>
  <si>
    <t>Të ardhura si anëtar i Këshillit të Rrethit në vlerën *72 461* lekë.</t>
  </si>
  <si>
    <t>Bashkëshortja paga në vlerën *420 000* lekë.</t>
  </si>
  <si>
    <t>*1)* Fitim i vitit financiar Relikaj shpk në vlerën *7 802 280* lekë.
*2)* Fitim i vitit financiar Kantina Miqësia në vlerën *118 708* lekë.</t>
  </si>
  <si>
    <t>Paga si Kryetar i Bashkisë Klos në vlerën *682 200* lekë.</t>
  </si>
  <si>
    <t>Shpërblim si anëtar i Këshillit të Qarkut Dibër në vlerën *140 400* lekë.</t>
  </si>
  <si>
    <t>Paga si Kryetar i Bashkisë Cërrik në vlerën *355 502* lekë.</t>
  </si>
  <si>
    <t>Shpërblim si anëtar i Këshillit të Qarkut Elbasan në vlerën *70 200* lekë.</t>
  </si>
  <si>
    <t>*1)* Interesa bankare në vlerën *17 149* lekë nga depozitë në bankë të 
nivelit të dytë.
*2)* Interesa bankare në vlerën 33.3 euro nga depozitë në valutë.</t>
  </si>
  <si>
    <t>Bashkëshortja paga zonja Kledia Duzha si specialiste pranë Zyrës së punës 
në Elbasan në vlerën *232 793* lekë.</t>
  </si>
  <si>
    <t>Paga si Kryetar Bashkisë Sukth në vlerën *342 390* lekë.</t>
  </si>
  <si>
    <t>Bashkëshortja zonja Majlinda Fortuzi të ardhura nga aktiviteti bujqësor në 
vlerën *1 000 000* lekë.</t>
  </si>
  <si>
    <t>*1)* Paga si Kryetar i Bashkisë Bilisht në vlerën *591 570* lekë.
*2)* Shpërblime në vlerën *9 000* lekë.</t>
  </si>
  <si>
    <t>*1)* Shpërblime si anëtar i Këshillit të Qarkut në vlerën *139 950* lekë.
*2)* Shpërblime si anëtar i KRRT në vlerën *24 300* lekë.</t>
  </si>
  <si>
    <t>Interesa bankare në vlerën *137 827* lekë.</t>
  </si>
  <si>
    <t>*1)* Bashkëshortja zonja Ilda Miza paga nga mësimdhënia në vlerën *477 810* 
lekë.
*2)* Bashkëshortja zonja Ilda Miza shpërblim në vlerën *9 000* lekë.</t>
  </si>
  <si>
    <t>Halim KOSOVA</t>
  </si>
  <si>
    <t>nr: 00977/2012 nr: 00977/2013 nr: 00977/2014</t>
  </si>
  <si>
    <t>Bashkëshortja, Djali Genti</t>
  </si>
  <si>
    <t>Zonja Bufi deklaron se burimi i pasurisë janë të ardhurat nga emigracioni.
*1)* Apartament banimi, sip 320 m2, Lagjia nr. 1, Roskovec, viti i 
ndërtimit 2006, me vlerë *9 000 000* lekë.
*2)* Lokal 2 kate sip 640 m2, Lagjia nr. 1, Roskovec, viti i ndërtimit 
2007, me vlerë *18 000 000* lekë.
*3)* Tokë are, sip 3120 m2, Lagjia nr. 1, Roskovec, viti i blerjes 2007, me 
vlerë *7 500 000* lekë.
*4)* Tokë are, sip 1665 m2, Lagjia nr. 1, Roskovec, viti i blerjes 2004, me 
vlerë *710 526* lekë.
*5)* Tokë are, sip 1850 m2, Lagjia nr. 1, Roskovec, viti i blerjes 2004, me 
vlerë *789 473* lekë.
*6)* Dyqan me sip 42.5 m2, Lagjia nr.2 Roskovec, viti i blerjes 2012 me 
vlerë *5 500 000* lekë.
*6)* tokë, truall e kabinë me sip 213 m2, lagje nr. 1 Roskovec me vlerë *110 
760* lekë, blerë në vitin 2000.
*7)* Bashkëshorti zotërues i objektit "Oficina e re" plus kabine elektrike, 
lagje nr. 1 Roskovec sip 600 m2 + 12 m2, blerë në vitin 1996 me vlerë *4 
000 000* lekë objekti dhe *2 000 000* lekë trualli.
*8)* Bashkëshorti zotërues i truallit të oficinës me sip 1509 m2 blerë në 
vitin 1997 me vlerë *482 880* lekë.
*9)* Bashkëshorti porosi për prenotim dyqani, kati përdhes plus garazhe 
nr.6 dhe nr.7 me sip 60 m2 me shoqërinë Ardit-06 shpk me vlerë *100 000* 
euro.
*10)* Bashkëshorti porosi prenotim zyre 82.3 m2 me vlerën *75 000* euro + 
apartament 164.45 m2 me vlerën *55 000* euro me shoqërinë Ardit-06 shpk.
*11)* Bashkëshorti kontratë për ndërtim apartamenti me sip 146 m2 në 
Tiranë, realizuar pagesa me shoqërinë Luarasi-05 shpk në vlerën *116 800* 
euro.
*12)* Bashkëshorti porosi per ndërtim lokali, kati i dytë me sip 311.3 m2 
me shoqërinë Ardit 06 në vlerën *435 820* euro, paguar paraprakisht *300 
000* euro.</t>
  </si>
  <si>
    <t>*1)* Llogari personale në bankë të nivelit të dytë në vlerën *58 751* lekë. 
Burimi: të ardhura nga emigracioni.
*2)* Llogari personale në bankë të nivelit të dytë në vlerën 298.49 lekë. 
Burimi: të ardhura nga emigracioni.
*3)* Llogari personale në bankë të nivelit të dytë në vlerën *33 782* lekë.
*4)* Depozitë në emër të vajzës në bankë të nivelit të dytë në vlerën *796 
704* lekë.Burimi: kursime nga puna dhe paga.
*5)* Depozitë në emër të djalit në bankë të nivelit të dytë në vlerën *796 
755* lekë.Burimi: kursime nga puna dhe paga.
*6)* Bashkëshorti llogari rrjedhëse në bankë të nivelit të dytë *2 096* 
lekë. Burimi: kursime.
*7)* Bashkëshorti llogari rrjedhëse në bankë të nivelit të dytë *11 266* 
lekë. Burimi: kursime.
*8)* Gjendje cash në shtëpi në vlerën *20 000 000* lekë.</t>
  </si>
  <si>
    <t>Autoveturë tip BENZ MERCEDES, prodhim i vitit 1996, me vlerë *1 500 000* 
lekë.</t>
  </si>
  <si>
    <t>Bashkëshorti aksione në shoqërinë Anbi shpk si ortak i vetëm në vlerën *31 
800 000* lekë.</t>
  </si>
  <si>
    <t>Dhënie huaje pale të tretë në vlerën *2 150 000* lekë.</t>
  </si>
  <si>
    <t>Nuk u gjetën të dhëna për këtë Subjekt</t>
  </si>
  <si>
    <t>*1)* Pronar me 100% i një apartamenti 2+1 në Pukë, blerë në vitin 2001, në 
vlerën *800 000* lekë.
*2)* Pronar me 100% i një apartamenti me sip. 93 m2 në Tiranë në vlerën *40 
000* euro.
*3)* Bashkëpronar me 50% i një lokali me sip. 50 m2 në Pukë në vlerën *300 
000* lekë.</t>
  </si>
  <si>
    <t>*1)* Llogari bankare në vlerën *500 000* lekë, në bankë të nivelit të dytë, 
krijuar me kursime personale.
*2)* Para Kesh (Cash) në vlerën *1 000 000* lekë, krijuar me të ardhura nga 
qira dhe ushtrimi i aktivitetit në lokal.
*3)* Para Kesh (Cash) në vlerën *3 000 000* lekë.</t>
  </si>
  <si>
    <t>Pronar me 100% i një veture tip Mercedes Benz në vlerën *500 000* lekë, 
regjistruar në emër të kunatit.</t>
  </si>
  <si>
    <t>Kredi bankare për shtëpi në bankë të nivelit të dytë me këst mujor *43 000* 
lekë.</t>
  </si>
  <si>
    <t>*1)* Babai zoti Muhamet Shkjau pronar i dy apartamente banimi me sip. 
totale 346 m2 në Durrës në vlerën *104 000* euro.
*2)* Babai zoti Muhamet Shkjau pronar i një dyqani me sip. 66.3 m2 në 
Tiranë, blerë në vitin 2007, në vlerën *130 000* euro.
*3)* Babai zoti Muhamet Shkjau bashkëpronar me 50% i pajisjeve shtëpiake, 
blerë në vitin 2002, në vlerën *20 000* dollar, pjesë e regjimit martesor.
*4)* Mamaja zonja Fatbardha Shkjau pronare me 100% i një apartamenti banimi 
me sip. 107 m2 në Durrës në vlerën *45 000* dollar.</t>
  </si>
  <si>
    <t>Para Kesh (Cash) në vlerën *30 000* euro.</t>
  </si>
  <si>
    <t>Pronar me 100% i një veture tip Mercedes Benz në vlerën *4 750* euro.</t>
  </si>
  <si>
    <t>*1)* Pronar me 100% i një apartamenti banimi me sip. 71 m2 në vlerën *1 900 
000* lekë.
*2)* Pronar me 100% i një apartamenti banimi me sip. 99.18 m2 në vlerën *37 
700* euro, për të cilin janë paguar *33 000* euro.
*3)* Bashkëshorti zoti Florenc Kushi pronar me 100% i një trualli me sip. 
500 m2 në Kavajë në vlerën *300 000* lekë.</t>
  </si>
  <si>
    <t>*1)* Llogari bankare në vlerën *387 926* lekë.
*2)* Para Kesh (Cash) në vlerën *1 000 000* lekë.
*3)* Bashkëshorti zoti Florenc Kushi llogari bankare në vlerën *16 644* 
lekë.</t>
  </si>
  <si>
    <t>Pronar me 100% i një veture tip Skoda Octavia në vlerën *14 500* euro.</t>
  </si>
  <si>
    <t>*1)* Bashkëpronar me 33.3% i një apartamenti me sip. 88.23 m2 në Durrës, 
privatizuar në vitin 1993, në vlerën *23 077* lekë.
*2)* Pronar me 100% i një apartamenti me sip. totale 173.4 m2 në Kavajë, 
blerë në vitin 2005, në vlerën *60 970* euro.</t>
  </si>
  <si>
    <t>Nuk zoteron</t>
  </si>
  <si>
    <t>*1)* Pronar me 100% i një veture tip Land Rover blerë në vitin 2012 në 
vlerën *26 000* euro.
*2)* Pronar me 100% i një motor tip Suzuki Boulearo blerë në vitin 2009</t>
  </si>
  <si>
    <t>*1)* Pronar me 100% i një ap. banimi me sip. 88.39 m2 në Pogradec në vlerën *3 
200 000* lekë.
*2)* Pronar me 100% i një njësie shitje dhe zyra me sip. 264.8 m2 në 
Pogradec në vlerën *12 200 000* lekë.
*3)* Pronar me 100% i një toke are me sip. *11 681* m2 në Korçë në vlerën *4 
606 986* lekë, sipas rivlerësimit të kryer më 18.04.2012.
*4)* Pronar me 100% i një trualli me sip. *4 995* m2 në Korçë, në të cilin 
janë ndërtuar bar restorant, lavazh dhe karburant me një sip. 291 m2 dhe 
vlera totale e të cilave sipas rivlerësimit të kryer më 03.04.2012 është *25 
467 284* lekë.
*5)* Bashkëshortja zonja Majlinda Xhakolli pronare me 100% i një bodrumi me 
sip. 34.5 m2 në Tiranë në vlerën *2 000 000* lekë.</t>
  </si>
  <si>
    <t>*1)* Pronar me 100% i një veture tip Range Rover në vlerën *28 000* euro.
*2)* Pronar me 100% i një veture tip Volkswagen Golf në vlerën *50 000* 
lekë.
*3)* Bashkëshortja zonja Majlinda Xhakolli pronare me 100% i një veture tip 
Opel Corsa.</t>
  </si>
  <si>
    <t>Bashkëinvestitor me 33% me shoqërinë Marsi-4 shpk për ndërtimin e objekteve 
të banimit, njësive të shërbimit dhe garazheve.</t>
  </si>
  <si>
    <t>*1)* Pronar me 100% i një shtëpie banimi me sip. trualli 179.6 m2 dhe sip. 
ndërtimi 184.3 m2, përfituar me privatizim në vitin 1991, legalizuar në 
vitin 2010, në vlerën *3 507 600* lekë.
*2)* Vajza zonja Jonida Kllogjri pronar me 100% i një ambienti me sip. 
36.17 m2 ku ushtron aktivitetin privat Farmaci, blerë në vitin 2012, në 
vlerën *2 658 495* lekë.</t>
  </si>
  <si>
    <t>*1)* Depozitë kursimi me afat tre muaj në vlerën *100 099* lekë.
*2)* Depozitë kursimi me afat tre muaj në vlerën *1 108* dollar.</t>
  </si>
  <si>
    <t>*1)* Vajza zonja Jonida Kllogjri pronar me 100% i një veture tip Ford 
Focus, blerë në vitin 2008, në vlerën *600 000* lekë.
*2)* Pronar me 100% i një veture tip Mercedes Benz në vlerën *2 500* euro.</t>
  </si>
  <si>
    <t>*1)* Pronar me 100% i një apartamenti me sip. 76.6 m2 në Tiranë në vlerën *11 
107 000* lekë.
*2)* Pronar me 100% i një godine banimi 3-katëshe me sip. ndërtimore 117.8 
m2 në Tiranë, në vlerën *8 000 000* lekë.
*3)* Pronar me 100% i një njësie shërbimi me sip. 70 m2 në Tiranë në vlerën *12 
666 000* lekë.
*4)* Bashkëpronar me 33% i një apartamenti në Tepelenë, përfituar me 
privatizim në vitin 1993, në vlerën *7 000* lekë.</t>
  </si>
  <si>
    <t>*1)* Djali zoti Asid Kamberi depozitë bankare në vlerën *20 024 893* lekë.
*2)* Djali zoti Asid Kamberi llogari rrjedhëse në vlerën *113 026* euro.</t>
  </si>
  <si>
    <t>*1)* Pronar me 100% i një veture tip Mercedes Benz në vlerën *250 000* lekë.
*2)* Djali zoti Asid Kamberi pronar me 100% i një veture në vlerën *500 000* 
lekë.</t>
  </si>
  <si>
    <t>Djali zoti Asid Kamberi aksioner me 97% i një shoqërie përmbarimi me 
kapital themeltar *10 000* lekë.</t>
  </si>
  <si>
    <t>*1)* Kredi bankare marrë në bankë të nivelit të dytë me principal *5 000 
000* lekë, afat maturimi 25 vjet dhe interes 3%.
*2)* Hua marrë djalit zotit Alsid Kamberi më 11.06.2013 në vlerën *12 666 
000* lekë, afat shlyerje 10 vjet dhe pa interes.
*3)* Hua marrë djalit zotit Alsid Kamberi më 22.08.2012 në vlerën *11 107 
000* lekë, afat shlyerje 10 vjet dhe pa interes.
*4)* Djali zoti Asid Kamberi marrë hua kompanisë përmbaruese në vlerën *2 
000 000* lekë.
*5)* Djali zoti Asid Kamberi kontratë huaje me firmën e vet 
Bailiff-Services-Albania shpk në vlerën *32 773 000* lekë dhe afat shlyerje 
5 vjet.</t>
  </si>
  <si>
    <t>*1)* Bashkëpronar me 50% i një ap. banimi në Pogradec me sip. 70 m2, për të 
cilin është paguar kësti i parë prej *20 000* euro.
*2)* Bashkëpronar me 50% i një ap. banimi në Orikum me sip. 60 m2, blerë në 
vitin 2010, në vlerën *3 000 000* lekë.
*3)* Bashkëpronar me 50% i një ap. banimi në Tiranë me sip. 82 m2, blerë në 
vitin 1994 në vlerën *740 000* lekë, në të cilin është bërë shtesë kati, në 
proces privatizimi, në vlerën *1 700 000* lekë.
*4)* Pronar i pronave të tjera depozituar pranë komisionit të kthimit të 
pronave për të cilat nuk ka të dhëna të tjera.</t>
  </si>
  <si>
    <t>Bashkëpronar me 50% i një depozite në vlerën *10 100* euro, hapur më 
16.05.2011 dhe afat 12 mujor.</t>
  </si>
  <si>
    <t>*1)* Truall me sip. Totale *10 000* m2, në L. "1 Maj", Fier, blerë *425 000* 
lekë në vitin 1991 nga Komiteti Ekzekutiv Pluralist Fier me të ardhurat nga 
puna. Trualli është inskriptuar në favor të një banke të nivelit të dytë.
*2)* Ndërtesë me sip. 244 m2, me përshkrimin "Lokal Euroservis", vlerë *36 
600* dollarë, ndërtuar nga vetë Z. Kokëdhima, hipotekuar në vitin 2013. 
Ndërtesa është inskriptuar në favor të një banke të nivelit të dytë.
*3)* Truall me sip. 4950 m2, vlerë *643 000* lekë, në Qenas, Fier, blerë në 
vitin 1994 nëpërmjet privatizimit të NR-ve nga DAR, me të ardhurat nga puna.
*4)* Truall me sip. 600 m2, vlerë *75 000* lekë, në L. "Afrimi i Ri", Fier, 
blerë në vitin 1993 me të ardhurat nga puna.
*5)* Tre magazina dhe ndërtesën e kandarit dhe peshores 14 tonëshe, me sip. 
totale 2449 m2, vlerë *2 000 000* lekë, në Fier, blerë në vitin 1993 me të 
ardhurat nga puna.
*6)* Apartament me sip. 154 m2, vlerë *50 820* dollarë, në Zonën Kadastrale 
8531, Fier, përfituar nga Z. Kokëdhima në cilësinë e investitorit në 
ndërtimin e pallatit.
*7)* Apartament me sip. 154 m2, vlerë *50 820* dollarë, në L. "11 Janari", 
Fier, përfituar nga Z. Kokëdhima në cilësinë e investitorit në ndërtimin e 
pallatit.
*8)* Bodrum me sip. 415 m2, vlerë *95 450* dollarë, në Zonën Kadastrale 
8531, Fier, përfituar nga Z. Kokëdhima në cilësinë e investitorit në 
ndërtimin e pallatit.
*9)* Tokë bujqësore me sip. 1900 m2 dhe stalla me sip. 2100 m2, vlerë *1 
000 000* lekë, në Adë, Fier, përfituar nëpërmjet një deklarate noteriale 
për kalim pasurie nga personi fizik D.T. në vitin 1997. Burimi: të ardhurat 
nga aktiviteti i shoqërive tregtare.
*10)* Apartament me sip. 135 m2, vlerë *65 475* dollarë, në Pallatin 
"Abissnet", Rr. "Ismail Qemali", Tiranë, përfituar në vitin 2006 me 
kontratë shitje me shoqërinë Sirius sha(ish "2K" sh.p.k.). Burimi: të 
ardhurat nga aktiviteti i shoqërive private. Apartamenti është inskriptuar 
në favor të një banke të nivelit të dytë.
*11)* Apartament me sip. 135 m2, vlerë *65 475* dollarë, në Pallatin 
"Abissnet", Rr. "Ismail Qemali", Tiranë, përfituar në vitin 2006 me 
kontratë shitje me shoqërinë Sirius sha(ish "2K" sh.p.k.). Burimi: të 
ardhurat nga aktiviteti i shoqërive private.
*12)* Apartament me sip. 112 m2, vlerë *54 320* dollarë, në Pallatin 
"Abissnet", Rr. "Ismail Qemali", Tiranë, përfituar në vitin 2006 me 
kontratë shitje me shoqërinë Sirius sha(ish "2K" sh.p.k.). Burimi: të 
ardhurat nga aktiviteti i shoqërive private. Apartamenti është inskriptuar 
në favor të një banke të nivelit të dytë.
*13)* Znj. Besa Kokëdhima, apartament me sip. 171.47 m2, vlerë *130 000* 
euro, në Rr. "Sami Frashëri", Tiranë, përfituar me kontratë shit-blerje me 
rezervë me shoqërinë "TID" sh.p.k.</t>
  </si>
  <si>
    <t>*1)* 2K-Group shpk ka detyrim ndaj subjektit, Z. K. Kokëdhima shumën *624 
265 831* lekë (Burimi: deklarimi në ILDKP dhe QKR).
*2)* Inerte-Co shpk ka detyrim ndaj subjektit, Z. K. Kokëdhima shumën *128 
684* lekë (Burimi: deklarimi në ILDKP dhe QKR).
*3)* I.D.M sha ka detyrim ndaj subjektit, Z. K. Kokëdhima shumën *16 250 
007* lekë (Burimi: deklarimi në ILDKP dhe QKR).
*4)* Planet-X shpk ka detyrim ndaj subjektit, Z. K. Kokëdhima *76 036 144* 
lekë (Burimi: deklarimi në ILDKP dhe QKR).
*5)* F.K.-Apollonia sha ka detyrim ndaj subjektit, Z. K. Kokëdhima shumën *6 
310 966* lekë (Burimi: deklarimi në ILDKP dhe QKR).
*6)* Sirius sha ka detyrim ndaj subjektit, Z. K. Kokëdhima shumën *81 143 
830* lekë (Burimi: deklarimi në ILDKP dhe QKR).
*7)* Radio+2 sha ka detyrim ndaj subjektit, Z. K. Kokëdhima shumën *32 291 
754* lekë (Burimi: deklarimi në ILDKP dhe QKR).
*8)* Unipress shpk ka detyrim ndaj subjektit, Z. K. Kokëdhima shumën *24 
620 448* lekë (Burimi: deklarimi në ILDKP dhe QKR).
*9)* Shekulli-Media-Group shpk ka detyrim ndaj subjektit, Z. K. Kokëdhima 
shumën *582 615* lekë (Burimi: deklarimi në ILDKP dhe QKR).
*10)* TV-Ballkan sha ka detyrim ndaj subjektit, Z. K. Kokëdhima shumën *2 
020 598* lekë (Burimi: deklarimi në ILDKP dhe QKR).
*11)* Z. K. Kokëdhima ka detyrim ndaj sh.a. Boja-Tirana sha shumën *3 952 
579* lekë (Burimi: deklarimi në ILDKP dhe QKR).
*12)* Z. K. Kokëdhima ka detyrim ndaj sh.a. B1-Advertising sha shumën *642 
641* lekë (Burimi: deklarimi në ILDKP dhe QKR).
*13)* Z. K. Kokëdhima ka detyrim ndaj Remonti-Elektrik sha shumën *51 070 
912* lekë (Burimi: deklarimi në ILDKP dhe QKR).
*14)* Z. K. Kokëdhima ka detyrim ndaj P.M.N sh.a. shumën *4 578 035* lekë 
(Burimi: deklarimi në ILDKP dhe QKR).
*15)* Z. K. Kokëdhima, gjendja e llogarisë bankare *38 300* lekë.
*16)* Bashkëshortja, Znj. Kokëdhima, ka detyrim ndaj Unipress shpk shumën *192 
200* lekë.
*17)* Znj. Kokëdhima, gjendja e llogarisë bankare 447 euro.
*18)* Znj. Besa Kokëdhima, gjendja e llogarisë bankare *39 751* lekë, 
krijuar me honorare.</t>
  </si>
  <si>
    <t>*1)* Bashkëshortja, Znj. Brixhilda Kokëdhima zotëron automjet me vlerë *43 
680* euro, blerë më qira financiare, e cila është shlyer me të ardhurat nga 
puna dhe familja.
*2)* Znj. Besa Kokëdhima, automjet me vlerë *41 000* euro, blerë me qira 
financiare, e cila është shlyer me të ardhura nga aktiviteti dhe familja.</t>
  </si>
  <si>
    <t>*1)* Aksione në shoqërinë "Tregtare Arsimit Durrës", blerë për vlerën *27 
728 847* lekë 49.4% e aksioneve, në vitin 1996 nëpërmjet bonove të 
privatizimit (*14 420 000* lekë) dhe lekë privatizimi (*13 308 847* lekë). 
Në datën e deklarimit, Z. Kokëdhima zotëron 80.39% të aksioneve, me vlerë *13 
534 589* lekë pjesëmarrje në kapital.
*2)* Aksione në masën 50.26% në shoqërinë Abissnet sha, me vlerë *256 661 
000* lekë, themeluar në vitin 1999. Statusi i shoqërisë: aktive.
*3)* Aksione në shoqërinë Sirius sha, në masën 100%, me vlerë *225 500 000* 
lekë, themeluar në vitin 1993. Statusi i shoqërisë: aktive.
*4)* Aksione në shoqërinë B1-Advertising sha në masën 100%, me vlerë *15 
000 000* lekë, themeluar në vitin 2006. Statusi i shoqërisë: aktive.
*5)* Aksione në shoqërinë Boja-Tirana sha në masën 90.92%, me vlerë *110 
371 000* lekë, themeluar në vitin 1996. Statusi i shoqërisë: aktive.
*6)* Aksione në shoqërinë F.K.-Apollonia sha në masën 72.33%, me vlerë *335 
250 000* lekë, themeluar në vitin 2002. Statusi i shoqërisë: aktive.
*7)* Kuota në Planet-X shpk në masën 100%, me vlerë *430 000 000* lekë, 
themeluar në vitin 1998. Statusi i firmës: aktive.
*8)* Kuota në Inerte-Co shpk në masën 68.3%, me vlerë *18 441 000* lekë, 
themeluar në vitin 1993. Statusi i firmës: aktive.
*9)* Kuota në Mercury-Construction shpk në masën 50%, me vlerë *2 850 000* 
lekë, themeluar në vitin 2008. Statusi i firmës: aktive.
*10)* Kuota në 2K-Group shpk në masën 100%, me vlerë *30 000 000* lekë, 
themeluar në vitin 1998. Statusi i firmës: aktive.
*11)* Kuota në Vista-Publishing-Group shpk në masën 80%, me vlerë *80 000* 
lekë, themeluar në vitin 2008. Statusi i firmës: pezulluar.
*12)* Kuota në QYLFON shpk në masën 100%, me vlerë *100 000* lekë, 
themeluar në vitin 2007. Statusi i firmës: pezulluar.
*13)* Kuota në ALNA shpk në masën 100%, me vlerë *100 000* lekë, themeluar 
në vitin 2002. Statusi i firmës: pezulluar.
*14)* Aksione në shoqërinë Remonti-Elektrik sha, Kombinati Siderugjik, 
Bradashesh Elbasan, blerë për vlerën *25 000 000* lekë 48.2% e aksioneve në 
vitin 1995 me bono privatizimi. Në datën e deklarimit, Z. Kokëdhima zotëron 
90.32% të aksioneve, me vlerë *83 275 040* lekë pjesëmarrje në kapital. 
Statusi i shoqërisë: aktive
*15)* Kuota në Unipress shpk në masën 100%, me vlerë 100 lekë, themeluar në 
vitin 2012. Statusi i firmës: aktive.
*16)* Kuota në Interchange-Antel shpk në masën 33.05%, me vlerë *33 050* 
lekë, themeluar në vitin 2002. Statusi i firmës: aktive.
*17)* Aksione në shoqërinë K.A.T-Albania shpk në masën 51%, me vlerë *13 
260 000* lekë, themeluar në vitin 2005. Statusi i shoqërisë: pasive.
*18)* Aksione në shoqërinë QYLNET shpk në masën 20%, me vlerë *400 000* 
lekë, themeluar në vitin 2006. Statusi i shoqërisë: pasive.
*19)* Kuota në Start-Media shpk në masën 100%, me vlerë *100 000* lekë, 
themeluar në vitin 2010. Statusi i firmës: pezulluar.
*20)* Kuota në Sprint-Media shpk në masën 50.05%, me vlerë *1 881 880* 
lekë, themeluar në vitin 2010. Statusi i firmës: aktive.
*21)* Themelues i fondacionit "Kokëdhima" si OJF, me kapital themeltar *100 
000* lekë, në vitin 2010. Nuk ka ushtruar aktivitet që nga data e 
themelimit.
*22)* Znj. Besa Kokëdhima zotëron aksione në Radio+2 sha në masën 40%, me 
vlerë *18 000 000* lekë.
*23)* Znj. Bora Kokëdhima zotëron kuota në B-Concept shpk në masën 100%, me 
vlerë *100 000* lekë, themeluar në vitin 2012 me të ardhura nga familja.
*24)* Znj. Bora Kokëdhima, kuota në Vista-Publishing-Group shpk në masën 
20%, me vlerë *20 000* lekë. Statusi i firmës: pezulluar.</t>
  </si>
  <si>
    <t>*1)* Shtëpi banimi me vlerë *252 000* dollarë, në Virginia Beach, SH.B.A. 
blerë në vitin 2005 me kredi.
*2)* Shtëpi banimi me vlerë *156 000* dollarë, në Virginia Beach, SH.B.A. 
blerë në vitin 2008 me kredi, e paguar.
*3)* Shtëpi banimi në Rr. "Durrësi", Tiranë, blerë në vitin 1992 me vlerë *2 
200* dollarë.
*4)* Të ardhura nga rritja e vlerës së pasurive të paluajtshme në Shqipëri *130 
000* dollarë.
*5)* Të ardhura nga rritja e vlerës së pasurive të paluajtshme në SH.B.A. *273 
800* dollarë.</t>
  </si>
  <si>
    <t>*1)* Llogari bankare me vlerë *45 000* dollarë në SH.B.A.
*2)* Llogari bankare me vlerë *31 990* dollarë në Shqipëri.
*3)* Kredi bankare me vlerë detyrimi të pashlyer *170 000* dollarë, 
aktivizuar në vitin 2005 për blerje shtëpie, afat shlyerje 30 vjet.</t>
  </si>
  <si>
    <t>Automjet me vlerë *40 000* dollarë.</t>
  </si>
  <si>
    <t>*1)* Biznes "Librazhd L.L.C" në Framingham, Massachusetts, SH.B.A. me vlerë 
fillestare krijimi *100 000* dollarë, krijuar në vitin 2011. Pjesa e Z. 
Selami 50%.
*2)* Biznes "Alba Taxi L.L.C" në Virginia Beach, SH.B.A., me vlerë 
fillestare krijimi *50 000* dollarë, krijuar në vitin 2010. Pjesa e Z. 
Selami 50%.
*3)* Të ardhura nga rroga, bonuse dhe biznesi në SH.B.A. nder vite *1 610 
700* dollarë.
*4)* Të ardhura nga dhënia me qira e shtëpive të banimit nder vite *122 500* 
dollarë.
*5)* Të ardhura nga rritja e vlerës së biznesit në SH.B.A. dhe e letrave me 
vlerë *459 000* dollarë.</t>
  </si>
  <si>
    <t>*1)* Apartament me sip. 133 m2 dhe garazh, me vlerë *63 860* dollarë, në 
Tiranë, blerë në vitin 2003.
*2)* Apartament me sip. 73 m2, vlerë *1 000 000* lekë, në Berat.
*3)* Bashkëshortja, Znj. Bejko zotëron 35% të një apartmenti së bashku me 
prindërit, përfituar me privatizim, pa vlerë të specifikuar.</t>
  </si>
  <si>
    <t>Kredi bankare ende e pashlyer *590 000* lekë, marrë për arsye personale.</t>
  </si>
  <si>
    <t>*1)* Automjet me vlerë *13 700* euro.
*2)* Automjet me vlerë *300 000* lekë.</t>
  </si>
  <si>
    <t>*1)* Të ardhura nga paga si mjek kirurg pranë Spitalit Rajonal Berat, *62 
551* lekë në muaj.
*2)* Të ardhura si anëtar i Këshillit të Bashkisë Berat në periudhën Shkurt 
2007-Shtator 2013, *10 440* lekë.
*3)* Të ardhura si anëtar i Këshillit të Qarkut Berat në periudhën Qershor 
2007-Shtator 2013, *10 800* lekë.
*4)* Të ardhura nga paga si pedagog në Universitetin Kristal *500 000* lekë.
*5)* Të ardhura nga paga si pedagog në Universitetin Medicom *300 000* lekë.
*6)* Të ardhura nga puna si emigrant në Greqi në vitin 1992, *700 000* lekë.
*7)* Të ardhura nga shitblerja e shtëpive *2 000 000* lekë.
*8)* Të ardhura nga dhënia me qira e apartamenteve ndër vite *1 800 000* 
lekë.
*9)* Bashkëshortja, të ardhura nga paga si laborante pranë DSHP Berat, *38 
282* lekë/muaj.
*10)* Të ardhura nga pensionin i nënës *19 923* lekë/muaj.
*11)* Të ardhura nga firmat piramidale "Vefa", "Gjallica" *500 000* lekë.
*12)* Të ardhura nga llotari sportive *3 000 000* lekë.</t>
  </si>
  <si>
    <t>Bashkëshorti, Z. Qirici, zotëron apartament me sip. 100 m2, vlerë *2 000 
000* lekë, në Korçë, blerë më të ardhurat nga puna.</t>
  </si>
  <si>
    <t>*1)* Llogari bankare në lekë, *6 566* lekë.
*2)* Llogari bankare në euro, 19 euro.
*3)* Llogari bankare në dollarë, 18 dollarë.
*4)* Bashkëshorti, Z. Qirici, investime në Bono Thesari me vlerë *5 800 000* 
lekë, krijuar me të ardhurat nga puna.
*5)* Bashkëshorti, Z. Qirici, gjendje cash *500 000* lekë, krijuar me të 
ardhurat nga punësimi.</t>
  </si>
  <si>
    <t>*1)* Bashkëshorti zoti Hasan Hafizi bashkëpronar me 25% i një sip. trualli *1 
110* m2 dhe sip. ndërtimore 378 m2 në Shkodër, blerë më 04.10.1994, në 
vlerën *2 500 000* lekë.
*2)* Bashkëshorti zoti Hasan Hafizi pronar me 100% i një ap. banimi me sip. 
126 m2 në Tiranë, blerë më 19.03.1997, në vlerën *1 990 000* lekë.
*3)* Bashkëshorti zoti Hasan Hafizi bashkëpronar me 50% i një toke truall 
me sip. 238 m2 në Kavajë, blerë më 29.09.1997, në vlerën *1 800 000* lekë.
*4)* Bashkëshorti zoti Hasan Hafizi pronar me 100% i një shtëpie banimi me 
sip. 50 m2 në Velipojë në vlerën *1 000 000* lekë.
*5)* Bashkëshorti zoti Hasan Hafizi pronar me 100% i një ap. banimi me sip. 
90 m2 në Durrës, blerë më 11.11.2002, në vlerën *1 200 000* lekë.
*6)* Bashkëshorti zoti Hasan Hafizi pronar me 100% i një toke are me sip. *3 
500* m2 në Tiranë, blerë më 01.06.2005, në vlerën *2 800 000* lekë.
*7)* Bashkëshorti zoti Hasan Hafizi pronar me 100% i një ap. banimi me sip. 
360 m2 në Delvinë, blerë më 05.10.2006, në vlerën *297 500* euro.
*8)* Bashkëshorti zoti Hasan Hafizi pronar me 100% i një ap. banimi me sip. 
292 m2 dhe tarracë në Tiranë, blerë më 18.10.2007, në vlerën totale pas 
rikonstruksionit *175 416* euro.
*9)* Bashkëshorti zoti Hasan Hafizi pronar me 100% i një garazhi me sip. 
32.5 m2 në Tiranë, blerë më 18.10.2007, në vlerën *11 375* euro.
*10)* Bashkëshorti zoti Hasan Hafizi pronar me 100% i një garazhi me sip. 
19.8 m2 në Tiranë, blerë më 18.10.2007, në vlerën *6 930* euro.
*11)* Bashkëshorti zoti Hasan Hafizi pronar me 100% i një ap. banimi me 
sip. 109 m2 në Shkodër.
*12)* Bashkëshorti zoti Hasan Hafizi pronar me 100% i një ap. banimi me 
sip. 141.3 m2 në Tiranë, blerë më 29.01.2013, në vlerën *50 000* euro.
*13)* Bashkëshorti zoti Hasan Hafizi pronar me 100% i dy dyqaneve me sip. 
76.8 m2 në Lezhë, e trashëguar, në vlerën *6 407 654* lekë.
*14)* Bashkëshorti zoti Hasan Hafizi pronar me 100% i tre ap. banimi me 
sip. totale 333.5 m2 në Lezhë, e trashëguar, në vlerën *20 868 679* lekë.
*15)* Bashkëshorti zoti Hasan Hafizi pronar me 100% i një dyqani me sip. 
28.82 m2 në Lezhë, e trashëguar, në vlerën *2 420 088* lekë.
*16)* Bashkëshorti zoti Hasan Hafizi bashkëpronar me 50% i një bodrumi me 
sip. 509.2 m2 në Lezhë, e trashëguar, në vlerën *26 552 550* lekë.
*17)* Bashkëshorti zoti Hasan Hafizi bashkëpronar me 50% i tre ap. banimi 
me sip. totale 362.5 m2 në Lezhë, e trashëguar, në vlerën *22 173 912* lekë.
*18)* Bashkëshorti zoti Hasan Hafizi pronar me 100% i ap. banimi me sip. 
223 m2, në Durrës, në vlerën *178 400* euro.
*19)* Bashkëshorti zoti Hasan Hafizi pronar me 100% i ap. banimi me sip. 
48.11 m2 plus qilar dhe vend parkimi në garazh, në Francë, në vlerën *295 
000* euro.
*20)* Bashkëshorti zoti Hasan Hafizi bashkëpronar me 33% i dyqane dhe ap. 
banimi me sip. totale 804.7 m2 në Lezhë në vlerën *52 612 850* lekë.
*21)* Bashkëshorti zoti Hasan Hafizi bashkëpronar me 8.33% i një trualli me 
sip. 872.5 m2 në Lezhë, trashëguar nga familja.
*22)* Bashkëshorti zoti Hasan Hafizi bashkëpronar me 8.33% i një trualli me 
sip. 3 541.5 m2 në Lezhë, trashëguar nga familja.
*23)* Bashkëshorti zoti Hasan Hafizi bashkëpronar me 8.33% i një trualli me 
sip. 129 m2 në Lezhë, trashëguar nga familja.
*24)* Bashkëshorti zoti Hasan Hafizi bashkëpronar me 8.33% i një trualli me 
sip. 159 m2 në Lezhë, trashëguar nga familja.
*25)* Bashkëshorti zoti Hasan Hafizi bashkëpronar me 8.33% i një trualli me 
sip. *1 500* m2 në Lezhë, trashëguar nga familja.
*26)* Bashkëshorti zoti Hasan Hafizi bashkëpronar me 8.33% i një dyqani me 
sip. 395 m2 në Lezhë, trashëguar nga familja.</t>
  </si>
  <si>
    <t>*1)* Llogari bankare në vlerën *4 989* euro.
*2)* Llogari bankare në vlerën *660 545* lekë.
*3)* Llogari bankare në vlerën *151 320* lekë.
*4)* Llogari bankare në vlerën *2 921* euro.
*5)* Llogari bankare në vlerën *43 000* euro.
*6)* Llogari bankare në vlerën 309 euro.
*7)* Llogari bankare në vlerën 85 dollar.
*8)* Llogari bankare në vlerën *151 949* lekë.
*9)* Bashkëshorti zoti Hasan Hafizi llogari bankare në vlerën *1 207* euro.
*10)* Bashkëshorti zoti Hasan Hafizi llogari bankare në vlerën 245 euro.
*11)* Bashkëshorti zoti Hasan Hafizi llogari bankare në vlerën  *4 760* 
lekë.
*12)* Bashkëshorti zoti Hasan Hafizi llogari bankare në vlerën 149 euro.
*13)* Bashkëshorti zoti Hasan Hafizi llogari bankare në vlerën *3 563* 
dollar.
*14)* Bashkëshorti zoti Hasan Hafizi llogari bankare në vlerën *94 289* 
lekë.
*15)* Bashkëshorti zoti Hasan Hafizi llogari bankare në vlerën *1 974* 
dollar.
*16)* Bashkëshorti zoti Hasan Hafizi llogari bankare në vlerën 47 euro.
*17)* Bashkëshorti zoti Hasan Hafizi llogari bankare në vlerën *57 040* 
lekë.
*18)* Bashkëshorti zoti Hasan Hafizi llogari bankare në vlerën 535 euro.
*19)* Bashkëshorti zoti Hasan Hafizi llogari bankare në vlerën *807 532* 
lekë.
*20)* Bashkëshorti zoti Hasan Hafizi llogari bankare në vlerën *1 394* 
dollar.
*21)* Bashkëshorti zoti Hasan Hafizi llogari bankare në vlerën *1 265* euro.
*22)* Bashkëshorti zoti Hasan Hafizi depozitë bankare në vlerën *8 626* 
euro.
*23)* vajza llogari kursimi në vlerën *3 328* euro.
*24)* Vajza llogari bankare në vlerën *6 862* euro.</t>
  </si>
  <si>
    <t>*1)* Bashkëshorti zoti Hasan Hafizi pronar me 100% i një veture tip 
Mercedes Benz në vlerën *8 296 000* lekë.
*2)* Bashkëshorti zoti Hasan Hafizi pronar me 100% i një veture tip Peugeot 
në vlerën *14 000* euro.</t>
  </si>
  <si>
    <t>*1)* Bashkëshorti zoti Hasan Hafizi aksioner pranë shoqërisë 
Alb-Asfalto-Konstruksion sha me vlerë aksionesh prej *9 425 770* lekë.
*2)* Bashkëshorti zoti Hasan Hafizi ortak me 33.33% pranë shoqërisë Emuliv 
shpk me kapital *150 000* lekë.
*3)* Bashkëshorti zoti Hasan Hafizi ortak me 23.66% pranë shoqërisë Eurogren 
shpk me kapital *51 760 627* lekë.</t>
  </si>
  <si>
    <t>Bashkëpronar me 50% i një ap. banimi me sip. 164 m2 ne vlerën *6 400 000* 
lekë.</t>
  </si>
  <si>
    <t>Bashkëpronar me 50% i një veture tip Mercedes Benz në vlerën *3 000* euro.</t>
  </si>
  <si>
    <t>*1)* Kredi për shtëpi pranë Bankës së Shqipërisë me principal *7 600 000* 
lekë, afat shlyerje 30 vjet dhe interes 0.5% në vit.
*2)* Kredi konsumatore për studime me principal *1 000 100* lekë dhe afat 
shlyerje 7 vjet.</t>
  </si>
  <si>
    <t>*1)* Pronar me 100% i një ap.banimi me sip. 84 m2 në Tiranë, shkëmbyer me 
një tjetër ap. në vitin 2004, në vlerën *1 950 000* lekë.
*2)* Pronar me 100% i një ap.banimi me sip. 62 m2 në Tiranë, blerë në vitin 
1999, në vlerën *1 900 000* lekë.
*3)* Pronar me 100% i një ap.banimi me sip. 89 m2 në Kavajë, blerë në vitin 
2003, në vlerën *3 900 000* lekë.
*4)* Pronar me 100% i një ap.banimi me sip. 91 m2 në Kavajë, blerë në vitin 
2005, në vlerën *3 300 000* lekë.
*5)* Pronar me 100% i një ap.banimi me sip. 53 m2 në Kavajë, blerë në vitin 
2005, në vlerën *1 900 000* lekë.
*6)* Pronar me 100% i një dyqani me sip. 37.3 m2 në Tiranë, blerë në vitin 
2012, në vlerën *4 311 880* lekë.
*7)* Pronar me 100% i një shtëpie pushimi me sip. totale 294 m2 në Shkodër, 
ndërtuar në vitin 2001, në vlerën *2 900 000* lekë.
*8)* Bashkëpronar me 6.25% i një trualli me sip. 892.5 m2 në Tiranë 
përfituar me trashëgimi.
*9)* Djali zoti Alen Kopliku pronar me 100% i një ap. banimi me sip. 71.7 
m2 në Tiranë blerë në vitin 2012 në vlerën *4 144 260* lekë.
*10)* Djali zoti Alen Kopliku pronar me 100% i një ap. banimi me sip. 96.5 
m2 në Tiranë blerë në vitin 2012 në vlerën *5 577 700* lekë.</t>
  </si>
  <si>
    <t>*1)* Pronar me 100% i një depozite ne banke te nivelit te dyte ne vleren *4 
500* euro.
*2)* Pronar me 100% i një depozite ne banke te nivelit te dyte ne vleren *22 
600* dollare.
*3)*Pronar me 100% i një depozite ne banke te nivelit te dyte ne vleren *150 
000* leke.
*4)* Pronar me 100% i një depozite ne banke te nivelit te dyte ne vleren *100 
000* leke.
*5)* Pronar me 100% i një depozite ne banke te nivelit te dyte ne vleren *1 
950 000* leke.
*6)* Pronar me 100% i një depozite ne banke te nivelit te dyte ne vleren *20 
340* dollare.
*7)* Gjendje ne cash ne vleren *170 000* euro.
*8)* Gjendje ne cash ne vleren *83 500* dollare.</t>
  </si>
  <si>
    <t>Pronar me 100% i një veture tip Ford blerë në vitin 2006 në vlerën *500 000* 
lekë.</t>
  </si>
  <si>
    <t>Bono privatizimi në vlerën *1 145 000* lekë.</t>
  </si>
  <si>
    <t>*1)* Huadhënie në vlerën *50 000* dollar.
*2)* Huadhënie në vlerën *140 000* euro.</t>
  </si>
  <si>
    <t>*1)* Babai zoti Fatmir Mehmetaj pronar me 100% i një trualli me sip. *4 000* 
m2 dhe i një shtëpie me sip. 200 m2 në Mallakastër, blerë në vitin 2002, në 
vlerën *8 000 000* lekë.
*2)* Babai zoti Fatmir Mehmetaj bashkëpronar me 50% i një njësie me sip. 75 
m2 në Tiranë, blerë me kontratë sipërmarrje më 04.03.2005, në vlerën *105 
000* euro.
*3)* Vëllai zoti Olsi Mehmetaj bashkëpronar me 50% i një trualli me sip. *3 
300* m2 në Kavajë, në vlerën *600 000* lekë, marrë hua nga gjyshja.</t>
  </si>
  <si>
    <t>*1)* Para Kesh (Cash) në vlerën *5 000* euro, dhuratë nga prindërit.
*2)* Babai zoti Fatmir Mehmetaj para Kesh (Cash) në vlerën *21 000* euro.
*3)* Babai zoti Fatmir Mehmetaj para Kesh (Cash) në vlerën *1 400 000* lekë.</t>
  </si>
  <si>
    <t>Babai zoti Fatmir Mehmetaj pronar me 100% i një veture tip Mercedes Benz, 
blerë më 22.09.2008, në vlerën *1 800 000* lekë.</t>
  </si>
  <si>
    <t>Babai zoti Fatmir Mehmetaj aksioner me 40% në shoqërinë Ionian-Wind shpk, 
regjistruar më 12.01.2010 dhe kapital themeltar në vlerën *100 000* lekë.</t>
  </si>
  <si>
    <t>*1)* Pronar me 100% i një banese me sip. 194.3 m2 në Fier në vlerën *16 500 
000* lekë.
*2)* Pronar me 100% i një njësie me sip. 110 m2 dhe i një banese me sip. 70 
m2 në Fier në vlerën totale *28 700 000* lekë.
*3)* Pronar me 100% i një ap. banimi me sip. 93.22 m2 në Vlorë në vlerën *40 
000* euro.
*4)* Pronar me 100% i një ap. banimi me sip. 133.25 m2 në tiranë, e 
pahipotekuar, në vlerën *226 525* euro.
*5)* Vajza zonja Oriana Dashi pronare me 100% i një ap. banimi me sip. 
60.18 m2 në Vlorë, në vlerën *24 072* euro.</t>
  </si>
  <si>
    <t>*1)* Bashkëshortja zonja Eglantina Dashi llogari bankare në vlerën *58 586* 
lekë.
*2)* Bashkëshortja zonja Eglantina Dashi llogari bankare në vlerën *47 871* 
lekë.
*3)* Djali zoti Albi Dashi llogari bankare në vlerën *50 352* lekë.
*4)* Djali zoti Albi Dashi llogari bankare në vlerën *4 262* euro.
*5)* Djali zoti Albi Dashi llogari bankare në vlerën 187 dollar.
*6)* Djali zoti Albi Dashi para kesh (cash) në vlerën *1 200 000* lekë.
*7)* Djali zoti Albi Dashi para kesh (cash) në vlerën *28 000* euro.</t>
  </si>
  <si>
    <t>Djali zoti Albi Dashi aksioner me 100% pranë shoqërisë INEL sh.p.k me 
kapital *45 000 000* lekë.</t>
  </si>
  <si>
    <t>*1)* Bashkëpronar me 50% i një apartamenti me sip. 114 m2 në vlerën *2 970 
000* lekë, pjesë e regjimit martesor.
*2)* Bashkëpronar me 50% i një garazhdi me sip. 25.6 m2 në vlerën *350 000* 
lekë, pjesë e regjimit martesor.
*3)* Bashkëpronar me 50% i një toke are me sip. 500 m2 në Librazhd në 
vlerën *307 000* lekë, pjesë e regjimit martesor.
*4)* Bashkëpronar me 50% i një toke are me sip. *1 091* m2 në Elbasan në 
vlerën *14 500 000* lekë, pjesë e regjimit martesor.
*5)* Bashkëshortja zonja Matilda Duzha bashkëpronare me ¼ e një trualli me 
sip. 405 m2 në Tiranë, trashëguar nga prindërit.
*6)* Bashkëshortja zonja Matilda Duzha bashkëpronare me ¼ e një objekti me 
sip. ndërtimi 506 m2 në Tiranë, trashëguar nga prindërit.
*7)* Bashkëshortja zonja Matilda Duzha bashkëpronare me ¼ e dy dyqaneve me 
sip. 50.6 m2 në Tiranë, trashëguar nga prindërit.</t>
  </si>
  <si>
    <t>Para Kesh (Cash) në vlerën *31 036 000* lekë, pjesë e regjimit martesor.</t>
  </si>
  <si>
    <t>*1)* Bashkëpronar me 50% i një veture tip Mercedes Benz në vlerën *17 000* 
euro, pjesë e regjimit martesor.
*2)* Bashkeshortja, zoteruese me 100% e nje autoveture te tipit Mercedez 
Benz ne vleren *950 000* leke.</t>
  </si>
  <si>
    <t>Marrë hua nga person fizik në vitin 2010 me principal *100 000* euro, pjesë 
e regjimit martesor.</t>
  </si>
  <si>
    <t>*1)* Bashkëpronar me 50% i një depozite bankare në vlerën *1 500 000* lekë.
*2)* Bashkëpronar me 50% i një depozite bankare në vlerën *1 588 823* lekë.
*3)* Vajza bashkëpronare me 50% e një depozite bankare në vlerën *15 405* 
euro, krijuar nga shitja e nje apartamenti ne Tirane (*10 000* euro) dhe *5 
404* euro nga kursimet nder vite.
*4)* Llogari rrjedhëse në vlerën *311 252* lekë.
*5)* Llogari rrjedhëse në vlerën *18 539* lekë.</t>
  </si>
  <si>
    <t>*1)* Bashkëpronar me 50% i një veture tip Mercedes Benz blerë në vitin 2000.
*2)* Bashkëpronar me 50% i një veture tip Peugeot blerë në vitin 2004 në 
vlerën *16 009* euro, pjesë e regjimit martesor.</t>
  </si>
  <si>
    <t>*1)* Dhënë hua zotit N.M në vlerën *100 000* euro me interes 2% për një vit.
*2)* Aksioner me 14% pranë shoqërisë Ballenja-Kompani shpk në vlerën *23 
500 000* lekë.</t>
  </si>
  <si>
    <t>*1)* Pronar me 100% i një trualli me sip. 317 m2 në Korçë, përfituar me 
trashëgimi.
*2)* Pronar me 100% i një sip. banimi me sip. 150 m2 në Korçë, në 
rikonstruksion.
*3)* Pronar me 100% i një sip. banimi me sip. 113 m2 në Korçë, përfituar me 
trashëgimi.
*4)* Bashkëpronar me 50% i një trualli me sip. 192 m2 në Korçë, përfituar 
me trashëgimi.
*5)* Bashkëpronar me 50% i një banese me sip. 90 m2 në Korçë, përfituar me 
trashëgimi.
*6)* Bashkëpronar me 16% i një trualli me sip. 70 m2 në Korçë, përfituar me 
trashëgimi.</t>
  </si>
  <si>
    <t>*1)* Pronar me 100% i një veture tip Ford Mondeo, blerë në vitin 2010, në 
vlerën *600 000* lekë.
*2)* Bashkëpronar me 50% i një veture tip Mercedes Benz, blerë në vitin 
2007, në vlerën *500 000* lekë.</t>
  </si>
  <si>
    <t>Kredi bankare për rikonstruksion banese marrë në Nëntor të vitit 2010, me 
afat shlyerje 15 vjet dhe detyrim ende të pashlyer në vlerën *70 251* euro.</t>
  </si>
  <si>
    <t>*1)* Bashkëpronar me 50% i një pike karburanti me sip. 630 m2 në Fier në 
vlerën *38 080 000* lekë, për të cilën është vendosur barrë hipotekore me 
vlerë investimi në vite *63 000* dollar.
*2)* Bashkëpronar me 50% i një ap. banimi me sip. 439 m2 në Fier në vlerën *24 
584 000* lekë, për të cilën është vendosur barrë hipotekore me vlerë 
investimi në vite *43 900* dollar.
*3)* Bashkëpronar me 50% i një bodrumi me sip. *1 562* m2 në Fier në vlerën *61 
230 400* lekë dhe me vlerë investimi në vite *32 802 000* lekë.
*4)* Bashkëpronar me 50% i një dyqani me sip. 54 m2 në Fier në vlerën *2 
116 800* lekë dhe me vlerë investimi në vite *1 274 000* lekë.
*5)* Bashkëpronar me 50% i pesë dyqaneve me sip. totale 495 m2 në Fier në 
vlerën *19 404 000* lekë dhe me vlerë investimi në vite *11 682 000* lekë.
*6)* Bashkëpronar me 50% i një bodrumi me sip. *1 233* m2 në Fier në vlerën *48 
333 600* lekë dhe me vlerë investimi në vite *29 098 000* lekë.
*7)* Bashkëpronar me 50% i ap. banimi me sip. totale 561 m2 në Fier në 
vlerën *31 416 000* lekë dhe me vlerë investimi në vite *13 239 000* lekë.
*8)* Bashkëpronar me 50% i ap. banimi me sip. totale 309.5 m2 në Fier në 
vlerën *17 332 000* lekë dhe me vlerë investimi në vite *7 304 000* lekë.
*9)* Bashkëpronar me 50% i ap. banimi me sip. totale 309.5 m2 në Fier në 
vlerën *17 332 000* lekë dhe me vlerë investimi në vite *7 304 000* lekë.
*10)* Bashkëpronar me 50% i një depo uji me sip. 19.5 m2 në Fier në vlerën *764 
400* lekë dhe me vlerë investimi në vite *460 000* lekë.
*11)* Bashkëpronar me 50% i një zyre me sip. 21 m2 në Fier në vlerën *1 176 
000* lekë dhe me vlerë investimi në vite *495 000* lekë.
*12)* Bashkëpronar me 50% i një dyqani me sip. 92.5 m2 në Fier në vlerën *10 
360 000* lekë dhe me vlerë investimi në vite *2 183 000* lekë.
*13)* Bashkëpronar me 50% i një dyqani me sip. 92.5 m2 në Fier në vlerën *10 
360 000* lekë dhe me vlerë investimi në vite *2 183 000* lekë.
*14)* Bashkëpronar me 50% i një dyqani me sip. 117.6 m2 në Fier në vlerën *13 
171 200* lekë dhe me vlerë investimi në vite *2 775 000* lekë.
*15)* Bashkëpronar me 50% i një dyqani me sip. 63.8 m2 në Fier në vlerën *7 
145 600* lekë dhe me vlerë investimi në vite *229 680* lekë.
*16)* Bashkëpronar me 50% i një dyqani me sip. 19.5 m2 në Fier në vlerën *2 
184 000* lekë dhe me vlerë investimi në vite *460 200* lekë.
*17)* Bashkëpronar me 50% i një bodrumi me sip. 1 715.5 m2 në Fier në 
vlerën *67 264 064* lekë dhe me vlerë investimi në vite *40 485 800* lekë.
*18)* Bashkëpronar me 50% i një ap. banimi me sip. 50 m2 në Fier në vlerën *2 
800 000* lekë dhe me vlerë investimi në vite *502 600* lekë.
*19)* Bashkëpronar me 50% i ap. banimi me sip. 561 m2 në Fier në vlerën *31 
416 000* lekë dhe me vlerë investimi në vite *13 239 600* lekë.
*20)* Bashkëpronar me 50% i katër ap. banimi me sip. totale 416 m2 në Fier 
në vlerën *23 296 000* lekë dhe me vlerë investimi në vite *1 497 600* lekë.
*21)* Bashkëpronar me 50% i dy ap. banimi me sip. totale 272 m2 në Fier në 
vlerën *15 232 000* lekë dhe me vlerë investimi në vite *6 419 200* lekë.
*22)* Bashkëpronar me 50% i dy ap. banimi me sip. totale 214 m2 në Fier në 
vlerën *11 984 000* lekë dhe me vlerë investimi në vite *5 050 400* lekë.
*23)* Bashkëpronar me 50% i tre ap. banimi me sip. totale 321 m2 në Fier në 
vlerën *17 976 000* lekë dhe me vlerë investimi në vite *7 575 600* lekë.
*24)* Bashkëpronar me 50% i tre ap. banimi me sip. totale 216 m2 në Fier në 
vlerën *12 096 000* lekë dhe me vlerë investimi në vite *777 600* lekë.
*25)* Pronar me 100% i një trualli dhe banese me sip. 650 m2 në Fier në 
vlerën *27 300 000* lekë dhe me vlerë investimi në vite *4 500 000* lekë, 
trashëguar nga babai.
*26)* Pronar me 100% i një toke pyll me sip. *50 000* m2 në Fier në vlerën *250 
000* euro.
*27)* Bashkëpronar me 50% i një dyqani me sip. *1 562* m2 në Fier në vlerën *174 
944 000* lekë dhe me vlerë investimi në vite *36 863 200* lekë.
*28)* Bashkëpronar me 50% i katër dyqaneve me sip. 56 m2 në Fier në vlerën *6 
048 000* lekë dhe me vlerë investimi në vite *330 400* lekë.
*29)* Bashkëpronar me 50% i një dyqan me sip. 31 m2 në Fier në vlerën *3 
472 000* lekë dhe me vlerë investimi në vite *731 600* lekë.
*30)* Bashkëpronar me 50% i një dyqan me sip. 42 m2 në Fier në vlerën *4 
704 000* lekë dhe me vlerë investimi në vite *991 200* lekë.
*31)* Bashkëpronar me 50% i një dyqan me sip. 37 m2 në Fier në vlerën *4 
144 000* lekë dhe me vlerë investimi në vite *873 200* lekë.
*32)* Bashkëpronar me 50% i një dyqan me sip. 48 m2 në Fier në vlerën *5 
376 000* lekë dhe me vlerë investimi në vite *1 132 800* lekë.
*33)* Bashkëpronar me 50% i një dyqan me sip. 60 m2 në Fier në vlerën *6 
720 000* lekë dhe me vlerë investimi në vite *1 416 000* lekë.
*34)* Bashkëpronar me 50% i një dyqan me sip. 60 m2 në Fier në vlerën *6 
720 000* lekë dhe me vlerë investimi në vite *1 416 000* lekë.
*35)* Bashkëpronar me 50% i një dyqan me sip. 110 m2 në Fier në vlerën *12 
320 000* lekë dhe me vlerë investimi në vite *2 596 000* lekë.
*36)* Bashkëpronar me 50% i ap. banimi me sip. 185.15 m2 në Fier në vlerën *10 
368 400* lekë dhe me vlerë investimi në vite *4 369 540* lekë.
*37)* Bashkëpronar me 50% i ap. banimi me sip. 185.15 m2 në Fier në vlerën *10 
368 400* lekë dhe me vlerë investimi në vite *4 369 540* lekë.
*38)* Bashkëpronar me 50% i ap. banimi me sip. 185.15 m2 në Fier në vlerën *10 
368 400* lekë dhe me vlerë investimi në vite *4 369 540* lekë.
*39)* Bashkëpronar me 50% i ap. banimi me sip. 161.45 m2 në Fier në vlerën *9 
041 900* lekë dhe me vlerë investimi në vite *3 810 220* lekë.
*40)* Bashkëpronar me 50% i ap. banimi me sip. 111.5 m2 në Fier në vlerën *6 
244 000* lekë dhe me vlerë investimi në vite *2 725 000* lekë.
*41)* Bashkëpronar me 50% i një dyqani me sip. 40 m2 në Fier në vlerën *4 
480 000* lekë dhe me vlerë investimi në vite *944 000* lekë.
*42)* Bashkëpronar me 50% i një dyqani me sip. 40 m2 në Fier në vlerën *4 
480 000* lekë dhe me vlerë investimi në vite *944 000* lekë.
*43)* Bashkëpronar me 50% i një dyqani me sip. 40 m2 në Fier në vlerën *4 
480 000* lekë dhe me vlerë investimi në vite *944 000* lekë.
*44)* Bashkëpronar me 50% i një dyqani me sip. 45 m2 në Fier në vlerën *5 
040 000* lekë dhe me vlerë investimi në vite *1 062 000* lekë.
*45)* Bashkëpronar me 50% i një dyqani me sip. 50 m2 në Fier në vlerën *5 
600 000* lekë dhe me vlerë investimi në vite *1 062 000* lekë.
*46)* Bashkëpronar me 50% i një dyqani me sip. 60 m2 në Fier në vlerën *6 
720 000* lekë dhe me vlerë investimi në vite *1 416 000* lekë.
*47)* Bashkëpronar me 50% i një dyqani me sip. 67 m2 në Fier në vlerën *7 
504 000* lekë dhe me vlerë investimi në vite *1 581 000* lekë.
*48)* Bashkëpronar me 50% i një dyqani me sip. 58 m2 në Fier në vlerën *6 
496 000* lekë dhe me vlerë investimi në vite *1 368 000* lekë.
*49)* Bashkëpronar me 50% i një dyqani me sip. 58 m2 në Fier në vlerën *6 
496 000* lekë dhe me vlerë investimi në vite *1 368 000* lekë.
*50)* Bashkëpronar me 50% i një dyqani me sip. 35 m2 në Fier në vlerën *3 
920 000* lekë dhe me vlerë investimi në vite *826 000* lekë.
*51)* Bashkëpronar me 50% i një dyqani me sip. 67 m2 në Fier në vlerën *7 
504 000* lekë dhe me vlerë investimi në vite *1 581 000* lekë.
*52)* Bashkëpronar me 50% i një dyqani me sip. 40 m2 në Fier në vlerën *4 
480 000* lekë dhe me vlerë investimi në vite *944 000* lekë.
*53)* Bashkëpronar me 50% i një dyqani me sip. 23 m2 në Fier në vlerën *2 
576 000* lekë dhe me vlerë investimi në vite *542 000* lekë.
*54)* Bashkëpronar me 50% i katër ap. banimi me sip. totale 408 m2 në Fier 
në vlerën *22 848 000* lekë dhe me vlerë investimi në vite *1 468 000* lekë.
*55)* Bashkëpronar me 50% i një kabine elektrike me sip. 18.5 m2 në Fier në 
vlerën *725 200* lekë dhe me vlerë investimi në vite *436 600* lekë.
*56)* Bashkëpronar me 50% i një cisterne uji me sip. 13.5 m2 në Fier në 
vlerën *529 200* lekë dhe me vlerë investimi në vite *318 600* lekë.</t>
  </si>
  <si>
    <t>*1)* Pronar me 100% i një veture tip Mercedes Benz në vlerën *3 000* euro.
*2)* Bashkëpronar me 50% i një veture tip BMV në vlerën *50 000* dollar.</t>
  </si>
  <si>
    <t>Kredi bankare marrë O+P Petrol shpk pranë bankës së nivelit të dytë me 
principal *88 164 000* lekë.</t>
  </si>
  <si>
    <t>*1)* Bashkëpronar me 50% i një shtëpie banimi 2 katëshe me sip. 160 m2 dhe 
sip. trualli 400 m2 në Itali në vlerën *380 000* euro, pjesë e regjimit 
martesor.
*2)* Pronar i një ap. banimi me sip. 69 m2 në Kavajë në vlerën *45 000* 
euro.
*3)* Pronar me 100% i një trualli me sip. *18 000* m2 në Kavajë, blerë në 
vitin 2007, në vlerën *290 000* euro.</t>
  </si>
  <si>
    <t>*1)* Llogari bankare në vlerën *25 000* euro, pjesë e regjimit martesor.
*2)* Llogari bankare në vlerën *17 000* euro.
*3)* Para Kesh (Cash) në vlerën *200 000* euro.</t>
  </si>
  <si>
    <t>*1)* Aksioner me 8.75% pranë shoqërisë Alfaalfa Energia S.r.l. Societa 
Agricola, blerë në vitin 2011, në vlerën *68 000* euro.
*2)* Aksioner me 10% pranë shoqërisë Societa Agricola Pascolone S.r.l. në 
vlerën *102 900* euro.
*3)* Aksioner me 20% pranë shoqërisë Societa Agricola Ca Bianchina S.r.l. 
në vlerën *800 539* euro.
*4)* Aksioner me 25% pranë shoqërisë Gruppo Immobiliare Bondeno S.r.l. në 
vlerën *290 000* euro.
*5)* Bashkëshortja aksionere me 35% pranë shoqërisë Cmp Service S.r.l. në 
vlerën *10 000* euro.
*6)* Bashkëshortja aksionere me 35% pranë shoqërisë Cmp S.r.l. Di Cara 
Nezmi E C në vlerën *25 000* euro.</t>
  </si>
  <si>
    <t>Kredi bankare për shtëpi marrë në Itali me principal *220 000* euro.</t>
  </si>
  <si>
    <t>*1)* Bashkëpronar me 50% i një ap. banimi me sip. 98 m2 në Tiranë, blerë në 
vitin 1999 në vlerën *2 800 000* lekë, pjesë e regjimit martesor.
*2)* Pronar me 100% i një ap. banimi me sip. 170 m2 në Tiranë, blerë në 
vitin 2005 në vlerën *160 000* euro.
*3)* Bashkëpronar me 50% i një njësie shërbimi në Tiranë, blerë në vitin 
2010 në vlerën *28 000 000* lekë.
*4)* Pronar me 100% i një toke are me sip. *6 820* m2 dhe i një toke are me 
sip. *1 800* m2 në Kavajë, blerë në vitin 2010 në vlerën totale *3 780 000* 
lekë.
*5)* Pronar me 100% i një toke are me sip. *13 020* m2 në Durrës, blerë në 
vitin 2010 në vlerën *19 530 000* lekë.
*6)* Pronar me 100% i një toke are me sip. 702 m2 në Kavajë, blerë në vitin 
2008 në vlerën *772 000* lekë.
*7)* Bashkëpronar me 50% i një dyqani me sip. 61 m2 dhe sip. të përbashkëta 
32.5 m2 dhe i një dyqani me sip. 57 m2 dhe sip. të përbashkëta 30.5 m2 në 
vlerën totale *230 000* euro.</t>
  </si>
  <si>
    <t>*1)* Djali zoti Denis Spahiu llogari bankare në vlerën *19 440* dollar.
*2)* Vajza zonja Alisa Spahiu llogari bankare në vlerën *18 350* dollar.
*3)* Para Kesh (Cash) në vlerën *20 000* euro.
*4)* Bashkëshortja zonja Miranda Spahiu depozitë bankare në vlerën *17 000* 
dollar.
*5)* Bashkëshortja zonja Miranda Spahiu depozitë bankare në vlerën *20 610* 
dollar.
*6)* Bashkëshortja zonja Miranda Spahiu depozitë bankare në vlerën *1 057 
555* lekë.</t>
  </si>
  <si>
    <t>*1)* Bashkëpronar me 50% i një veture tip Toyota blerë në vitin 2009 në 
vlerën *25 900* euro, pjesë e regjimit martesor.
*2)* Pronar me 100% i një veture tip Mercedes Benz blerë në vitin 2003 në 
vlerën *10 000* euro.
*3)* Pronar me 100% i një veture tip Citroen blerë në vitin 2012 në vlerën *3 
000* euro.</t>
  </si>
  <si>
    <t>*1)* Bashkëshortja zonja Miranda Spahiu Obligacion 2 vjecar në vlerën *1 
500 000* lekë.
*2)* Bashkëshortja zonja Miranda Spahiu fond investimi në vlerën *1 200 000* 
lekë.</t>
  </si>
  <si>
    <t>*1)* Kredi bankare marrë në vitin 2010 për blerje njësie shërbimi me 
principal *150 000* euro, për të cilën është dorëzanës dhe njëkohësisht 
bashkëshlyerës i kredisë edhe i vëllai.
*2)* Kredi bankare për blerje dyqanesh me principal *112 000* euro, për të 
cilën është bashkëshlyerës edhe bashkëpronari tjetër i dyqaneve.</t>
  </si>
  <si>
    <t>*1)* Pronar me 100% i një ndërtese 5 katëshe me sip. totale *1 575* m2 
ndërtuar në vitin 2006 në vlerën *49 500 000* lekë.
*2)* Pronar me 100% i një ndërtese 3 katëshe me sip. totale 955 m2 ndërtuar 
në vitin 2012 në vlerën *18 850 000* lekë.
*3)* Pronar me 100% i një truall ndërtimi me sip. *1 058* m2, prej të cilës 
229 m2 janë shtëpi banimi në vlerën totale *18 668 000* lekë.
*4)* Pronar me 100% i një toke are me sip. *6 133* m2.</t>
  </si>
  <si>
    <t>*1)* Llogari bankare në vlerën *1 959 841* lekë.
*2)* Llogari bankare në vlerën *3 354* euro.
*3)* Llogari bankare në vlerën *1 965* euro.
*4)* Llogari bankare në vlerën *10 440* lekë.</t>
  </si>
  <si>
    <t>*1)* Pronar me 100% i një veture tip Mercedes Benz blerë në vitin 2000 në 
vlerën *37 631* euro.
*2)* Pronar me 100% i një veture blerë në vitin 2008 në vlerën *80 000* 
euro.</t>
  </si>
  <si>
    <t>Aksioner me 50% pranë shoqërisë Leonidha-CO shpk me vlerë *29 239 900* lekë.</t>
  </si>
  <si>
    <t>*1)* Kredi bankare marrë më 10.09.2013 me principal *5 000 000* lekë.
*2)* Kredi bankare marrë më 10.09.2013 me principal *29 125 781* lekë.
*3)* Pronar me 100% i një biznesi bar-kafe krijuar në vitin 2006 me vlerë 
pajisjesh *600 000* lekë.</t>
  </si>
  <si>
    <t>*1)* Bashkëpronar me 50% i një ap. banimi me sip. 130 m2 në Tiranë, blerë 
në vitin 2002, në vlerën *2 000 000* lekë.
*2)* Pronar i një ap. banimi me sip. 68 m2 në Lezhë, blerë në vitin 2012, 
në vlerën *1 226 556* lekë.</t>
  </si>
  <si>
    <t>Para Kesh (Cash) në vlerën *1 000 000* lekë.</t>
  </si>
  <si>
    <t>Hua marrë më 06.04.2003 me principal *50 000* euro.</t>
  </si>
  <si>
    <t>*1)* Pronar me 100% i një ap. banimi me sip. 127 m2 në Tiranë blerë në 
vlerën *70 000* dollardhe rivlerësuar më 20.08.2012 në vlerën *24 130 000* 
lekë.</t>
  </si>
  <si>
    <t>*1)* Llogari bankare në vlerën *292 995* lekë.
*2)* Llogari bankare në vlerën *74 034* lekë.
*3)* Para Kesh (Cash) në vlerën *500 000* lekë.
*4)* Bashkëshortja depozitë në vlerën *6 000* dollar.
*5)* Bashkëshortja depozitë në vlerën *2 500 000* lekë.</t>
  </si>
  <si>
    <t>Pronar me 100% i një veture tip Mercedes Benz, blerë në vitin 2003, në 
vlerën *37 322* euro.</t>
  </si>
  <si>
    <t>Aksioner me 40% pranë shoqërisë Aurora-Group shpk, dhuratë nga babai.</t>
  </si>
  <si>
    <t>*1)* Pronar me 100% i një shtëpie banimi me sip. 285 m2 dhe sip. trualli 
190 m2, blerë në vitin 1999, në vlerën totale *80 000* dollar.
*2)* Pronar me 100% i dy ap. banimi me sip totale 200 m2, trashëguar nga 
prindërit.
*3)* Pronar me 100% i një pylli me sip. *9 800* m2 në Lushnje, blerë në 
vitin 2003, në vlerën *1 000 000* lekë.
*4)* Pronar me 100% i një toke kullote më sip. *6 100* m2, blerë në vlerën *3 
900 000* lekë.
*5)* Bashkëshortja pronare me 100% i një toke bujqësore me sip. 1ha, 
përfituar me ligjin 8501 si punonjëse ferme.</t>
  </si>
  <si>
    <t>*1)* Llogari bankare në vlerën *321 058* lekë.
*2)* Llogari bankare në vlerën *75 292* lekë.</t>
  </si>
  <si>
    <t>*1)* Pronar me 100% i një veture tip Mercedes Benz, blerë në Gjermani, në 
vlerën *16 000* euro.
*2)* Pronar me 100% i një veture tip Mercedes Benz në vlerën *22 000* euro.</t>
  </si>
  <si>
    <t>*1)* Aksioner me 34% pranë shoqërisë Kantina e Pijeve Sara, prej të 
cilave 25% dhuratë prej zotit Astrit Alija dhe 9% të blera me *6 000 000* 
lekë.
*2)* Bashkëinvestitor me 33.3% në një ndërtim masiv në Fier, në proces 
hipotekimi.
*3)* Bashkëinvestitor me 50% në një ndërtim masiv në Tiranë, në proces 
hipotekimi.</t>
  </si>
  <si>
    <t>Para Kesh (Cash) në vlerën *11 000* euro.</t>
  </si>
  <si>
    <t>Pronar me 100% i një veture tip Volkswagen Golf në vlerën *250 000* lekë.</t>
  </si>
  <si>
    <t>*1)* Overdraft me detyrim të pashlyer në vlerën *129 561* lekë.
*2)* Kredi bankare marrë më 21.11.2012 për blerje veture me principal *196 
000* lekë, afat maturimi 2 vjet dhe interes 17.1%.</t>
  </si>
  <si>
    <t>*1)* Bashkëpronar me 50% i një ap. banimi me sip. 56.2 m2 në Tiranë në 
vlerën *4 896* lekë, pjesë e regjimit familjar.
*2)* Pronar me 100% i një vile 3 katëshe me sip. trualli 218 m2 në Tiranë 
në vlerën *2 000 000* lekë.
*3)* Pronar me 100% i një dyqani me sip. 250.94 m2 në Tiranë në vlerën *57 
816 576* lekë.
*4)* Pronar me 100% i një bodrumi me sip. 199.11 m2 në Tiranë në vlerën *16 
086 230* lekë.
*5)* Pronar me 100% i një bodrumi me sip. 256.57 m2 në Tiranë në vlerën *64 
142* dollar.
*6)* Pronar me 100% i një dyqani me sip. 54.96 m2 në Tiranë në vlerën *13 
740* dollar.
*7)* Pronar me 100% i një dyqani me sip. 20 m2 në Tiranë në vlerën *5 000* 
dollar.
*8)* Pronar me 100% i një ap. banimi me sip. 109.98 m2 në Tiranë në vlerën *27 
495* dollar.
*9)* Pronar me 100% i një ap. banimi me sip. 59.45 m2 në Tiranë në vlerën *14 
862* dollar.
*10)* Pronar me 100% i një ap. banimi me sip. 59.45 m2 në Tiranë në vlerën *14 
862* dollar.
*11)* Pronar me 100% i një ap. banimi me sip. 137.5 m2 në Tiranë në vlerën *34 
375* dollar.
*12)* Pronar me 100% i një vile 4 katëshe me sip. totale *1 100* m2 në 
Golem në vlerën *220 000* dollar.
*13)* Pronar me 100% i një banese 3 katëshe në Tiranë në vlerën *13 871 080* 
lekë.</t>
  </si>
  <si>
    <t>Para Kesh (Cash) në vlerën *27 000* euro.</t>
  </si>
  <si>
    <t>Pronar me 100% i një veture tip Daimler Benz në vlerën *8 800* euro.</t>
  </si>
  <si>
    <t>*1)* Pronar me 100% i një skaneri në vlerën *135 000* dollar.
*2)* Pronar me 100% i tre orave në vlerën *18 000* euro.</t>
  </si>
  <si>
    <t>*1)* Dhënë borxh zotit Lulëzim Masha në vlerën *100 000* euro.
*2)* Dhënë borxh zotit Dilaver Ymeri në vlerën *80 000* euro.</t>
  </si>
  <si>
    <t>*1)* Bashkëpronar me 33% të Ap.banimi Tiranë me sip. 94.4 m2, me 
privatizim, vlera *90 000* euro.
*2)* Bashkëpronar me 10% (vlerësuar pjesa si *25 000* euro) Ap.banimi 
Tiranë, me sip.130.3m plus ambiente ndihmëse, me blerje total në shumën 
prej *78 000* euro.
*3)* Bashkëpronar me 50% të Garazh për makinë, me sip.18.37 m2 Tiranë në 
vlerën prej *23 000* euro.
*4)* Bashkëpronar me 50% e Tokë Pyll me sip.1000 m2 në Lanabregas blerë 
2007 në vlerën totale prej *1 400 000* lekë.
*5)* Bashkëjetuesja, ap. Rr. "Reshit Çollaku", Tiranë, *8 000 000* lekë.
*6)* Bashkëjetuesja, garazh Rr. "Reshit Çollaku", Tiranë, *23 0000* euro, 
pjesa takuese 50 %.</t>
  </si>
  <si>
    <t>*1)* Llogari bankare në bankë të nivelit të dytë në lekë në vlerën *43 760* 
lekë.
*2)* Depozitë bankare në bankë të nivelit të dytë në lekë në vlerën *114 
496* lekë.
*3)* Llogari bankare në bankë të nivelit të dytë në valutë të huaj në 
vlerën *6 183* euro.
*4)* Llogari bankare në një bankë të nivelit të dytë, *734 329* lekë.
*5)* Llogari bankare në një bankë të nivelit të dytë, *21 412* lekë.
*6)* Bashkëjetuesja, llogari në një bankë në New York, *1 731* dollarë.
*7)* Bashkëjetuesja, llogari në një bankë në New York, *5 157* dollarë.
*8)* Bashkëjetuesja, llogari në një bankë në New York, *70 000* dollarë.
*9)* Bashkëjetuesja, llogari në një bankë të nivelit të dytë, 23 euro.
*10)* Bashkëjetuesja, llogari në një bankë të nivelit të dytë, *3 334* 
dollarë.
*11)* Bashkëjetuesja, llogari në një bankë të nivelit të dytë, 524 lekë.</t>
  </si>
  <si>
    <t>*1)* Pronar me 100% i një veture tip Land Rover Discovery, blerë në vitin 
2010, në vlerën prej *27 000* euro.
*2)* Bashkëpronar me 50% i një veture tip Hunday Matrix i vitit të 
prodhimit 2003 vlerësuar si jashtë përdorimit.</t>
  </si>
  <si>
    <t>*1)* Pronar me 100% i Ap.banimi Tiranë me sip. 194 m2, me blerje, vlera *116 
400* euro.
*2)* Bashkëpronar pjesë e regjimit martesor me 50% Ap.banimi Tiranë, me 
sip.90.6m2 me hipotekë në vlerën *3 000 000* lekë.</t>
  </si>
  <si>
    <t>Kursime në vlerën *2 500 000* lekë.</t>
  </si>
  <si>
    <t>Bashkëshortja zonja Enkeleida Haxhinasto përfiton si dhuratë pasurinë e 
paluajtshme të regjistruar në hipotekë si njësi me sip. 122 m2, 100% në 
favor të saj, nga Lerenti shpk pronë e babait të saj zotit Kozma Nasto.</t>
  </si>
  <si>
    <t>Pronar me 100% i Ap. banimi Tiranë me sip. 111.2 m2, me blerje, vlera *5 
115 200* lekë.</t>
  </si>
  <si>
    <t>*1)* Gjendje e llogarisë në valutë të huaj ku është zotërues me 50% në 
vlerën *5 290* euro.
*2)* Gjendje e llogarisë në valutë të huaj ku është zotërues me 50% në 
vlerën *7 500* dollar.</t>
  </si>
  <si>
    <t>*1)* Pronar me 100% i veturë tip Peugeot, blerë në vitin 2008, vlera *23 
000* euro.
*2)* Pronar me 100% i veturë tip Volkswagen Tuareg, blerë në vitin 2013, 
vlera *6 000* euro.</t>
  </si>
  <si>
    <t>Subjekti deklaron se nuk zotëron pasuri të patundshme me të drejta 
pronësie, por gëzon prona në emër të prindërve.</t>
  </si>
  <si>
    <t>*1)* Llogari bankare në bankë të nivelit të dytë në vlerën *80 086* lekë.
*2)* Bashkëjetuesi zoti Gjoni llogari bankare në bankë të nivelit të dytë 
në vlerën *585 089* lekë.
*3)* Bashkëjetuesi zoti Gjoni llogari bankare në valutë në vlerën *1 864* 
euro.</t>
  </si>
  <si>
    <t>Bashkëjetuesi zoti Gjoni detyrim i pashlyer prej *216 825* lekë për kredi 
biznesi.</t>
  </si>
  <si>
    <t>*1)* Bashkëpronar me 50% i shtëpi banimi në Francë, me blerje, me sip. 210 
m2, në vlerën *905 000* euro.
*2)* Pronar me 100% i studio në Francë, me blerje, me sip. 24.4 m2 në 
vlerën *24 000* euro.
*3)* Pronar me 100% i dyqan në Tiranë, me blerje, me sip. 116.6 m2 në 
vlerën *10 200 000* lekë.
*4)* Bashkëpronar me 25% i apartament, me blerje nga prindërit, me sip. 
73.6 m2 në vlerën *8 494* lekë.
*5)* Bashkëshorti zoti Shteto bashkëpronar me 25% i apartament në Tiranë, 
me blerje nga prindërit, me sip. 70 m2 në vlerën *9 000* lekë.</t>
  </si>
  <si>
    <t>*1)* Bashkëpronar me 50% i llogari bankare në Francë në vlerën *4 441* euro.
*2)* Bashkëpronar me 50% i llogari kursimesh në Francë në vlerën *2 227* 
euro.
*3)* Bashkëpronar me 50% i llogari bankare në Francë në vlerën *10 709* 
euro.
*4)* Bashkëpronar me 50% i llogari bankare në Francë në vlerën 52 euro.
*5)* Bashkëshorti zoti Shteto llogari kursimesh të ndërmarrjes në vlerën *2 
400* euro.
*6)* Llogari bankare në bankë të nivelit të dytë në vlerën *4 116* euro.
*7)* Llogari bankare në bankë të nivelit të dytë në vlerën *3 172* lekë.</t>
  </si>
  <si>
    <t>*1)* Detyrim i pashlyer në vlerën *233 763* euro për kredi bankare në 
Francë.
*2)* Detyrim i pashlyer në vlerën *133 022* euro për kredi bankare në 
Francë.</t>
  </si>
  <si>
    <t>*1)* Pronar me 100% i shtëpi banimi dhe shtesë, me blerje, me sip. 170 m2, 
në vlerën *6 500 000* lekë, pjesë e regjimit martesor.</t>
  </si>
  <si>
    <t>*1)* Depozitë në bankë të nivelit të dytë në vlerën *3 000 000* lekë, pjesë 
e regjimit martesor.
*2)* Depozitë në bankë të nivelit të dytë në vlerën *1 000 000* lekë, pjesë 
e regjimit martesor.
*3)* Detyrim i pashlyer në vlerën *3 298 200* lekë për kredi për apartament 
banimi me principal *5 000 000* lekë, interes 3% e afat shlyerje 25 vjet.
*4)* Bashkëshortja zonja Naço depozitë në bankë të nivelit të dytë në 
vlerën 500 euro.</t>
  </si>
  <si>
    <t>*1)* Apartament në Tiranë, me blerje, me sip. 112 m2 në vlerën *21 392 000* 
lekë, pjesë e regjimit martesor.
*2)* Apartament në Tiranë, me blerje, me sip. 142.3 m2 në vlerën *132 000* 
euro, pjesë e regjimit martesor.
*3)* Apartament në Tiranë, me blerje, me sip. 133 m2 në vlerën *6 900 000* 
lekë, pjesë e regjimit martesor.
*4)*Toke are, me blerje, me sip. 600 m2 në vlerën *1 000 000* lekë, pjesë e 
regjimit martesor.</t>
  </si>
  <si>
    <t>*1)* Depozitë në bankë të nivelit të dytë në vlerën *50 326* dollar, pjesë 
e regjimit martesor.
*2)* Depozitë në bankë të nivelit të dytë në vlerën *26 330* euro, pjesë e 
regjimit martesor.
*3)* Depozitë në bankë të nivelit të dytë në vlerën *10 948* euro, pjesë e 
regjimit martesor.
*4)* Depozitë në bankë të nivelit të dytë në vlerën *27 185* euro, pjesë e 
regjimit martesor.
*5)* Llogari rrjedhëse në USA në vlerën 611.25 dollar.
*6)* Bashkëshortja zonja Cani Depozitë në bankë të nivelit të dytë në 
vlerën *15 000* euro.
*7)* Bashkëshortja zonja Cani depozitë në USA në vlerën *34 257* dollar.
*8)* Bashkëshortja zonja Cani llogari rrjedhëse në USA në vlerën 408 dollar.</t>
  </si>
  <si>
    <t>Veture tip Benz 220 Avangarde, me blerje, në vlerën *10 000* euro, pjesë e 
regjimit martesor.</t>
  </si>
  <si>
    <t>Fond suplementar pensioni në vlerën *320 000* lekë.</t>
  </si>
  <si>
    <t>*1)* Pronar me 100% i një apartamenti me sip. 45.62 m2 në Burrel në vlerën *4 
382* lekë në të cilin janë kryer investime pas vitit 1993 në vlerën *1 200 
000* lekë.
*2)* Bashkëpronar me 12.5% i një apartamenti me sip. 45.62 m2 në Burrel në 
vlerën 700 lekë në të cilin janë kryer investime pas vitit 1993 në vlerën *150 
000* lekë.
*3)* Bashkëpronar me 50% i një apartamenti me sip. 53 m2 në Tiranë, në 
vlerën *52 800* euro në të cilin janë kryer investime në vlerën *15 000* 
euro.</t>
  </si>
  <si>
    <t>*1)* Bashkëshorti zoti Urim Farrici llogari bankare në vlerën *450 231* 
lekë.
*2)* Bashkëshorti zoti Urim Farrici llogari bankare në vlerën *3 556* euro.
*3)* Llogari bankare në vlerën *10 500* lekë.
*4)* Llogari bankare në valutë në vlerën 262 dollar.
*5)* Djali zoti Renaldo Farrici llogari bankare në vlerën 517 dollar.
*6)* Djali zoti Klajdi Farrici llogari bankare në vlerën *46 000* lekë.</t>
  </si>
  <si>
    <t>Pronar i një veture tip Mercedes Benz, blerë në vitin 2005, në vlerën *600 
000* lekë.</t>
  </si>
  <si>
    <t>Bashkëshorti zoti Urim Farrici kredi bankare marrë më 12.11.2010 me 
principal *3 356 000* lekë dhe këst mujor *19 000* lekë.</t>
  </si>
  <si>
    <t>*1)* Apartament banimi në Bajram Curri, me sip. 86 m2, me vlerë *30 000* 
euro, të blerë nga prindërit me kursimet e tyre ndër vite.
*2)* Apartament banimi në Tiranë, me sip. 117 m2, me vlerë *63 000* euro, 
blerë nëpërmjet kursimeve të familjes dhe ndihmës së vëllezërve në SH.B.A.
*3)* Apartament banimi në Tiranë, me sip. 110 m2, me vlerë *60 000* euro, 
blerë nëpërmjet kursimeve të familjes dhe ndihmës së vëllezërve në SH.B.A.
*4)* Shtëpi banimi në fshatin e lindjes, Lekurtaj Geghysen në emër të të 
atit, e pavlerësuar dhe e amortizuar ndër vite.</t>
  </si>
  <si>
    <t>*1)* Automjet me vlerë *10 000* euro, e paregjistruar, blerë nëpërmjet 
kursimeve familjare dhe ndihmës së vëllezërve në SH.B.A.</t>
  </si>
  <si>
    <t>*1)* Bashkëpronar me 14% i një shtëpie banimi me sip. 120 m2, përfituar me 
privatizim, në vlerën *7 000 000* lekë.
*2)* Bashkëpronar me 20% i një shtëpie banimi me sip. 126 m2, me blerje, në 
vlerën *8 000 000* lekë.</t>
  </si>
  <si>
    <t>Para Kesh (Cash) në vlerën *1 200 000* lekë.</t>
  </si>
  <si>
    <t>*1)* Bashkëpronar me 50% i një shtëpie banimi 3-katëshe me sip. 500 m2, 
dhuratë nga babai, në vlerën *18 150 000* lekë.
*2)* Bashkëpronar me 33.3% i një toke truall me sip. *20 000* m2, 
trashëguar nga gjyshi, e panjohur ende nga Komisioni i Kthimit të Pronave.</t>
  </si>
  <si>
    <t>Pronar me 100% i një veture tip BMW X5, blerë në vitin 2010, në vlerën *41 
000* euro.</t>
  </si>
  <si>
    <t>Ortak me 100% i shoqërisë Kejvi shpk me kapital *100 000* lekë.</t>
  </si>
  <si>
    <t>Pronar me 100% i një apartamenti plus shtesë me sip. totale 91.9 m2, në 
vlerën *5 000 000* lekë.</t>
  </si>
  <si>
    <t>Pronar me 100% i një magazine me sip. 352 m2 në vlerën *10 500* dollar.</t>
  </si>
  <si>
    <t>Pronar me 100% i një ndërtese 2- katëshe në vlerën *5 000 000* lekë, me 
sip. 130 m2, nga të cilat 60 m2 shfrytëzohen për biznes dhe 70 m2 për banim.</t>
  </si>
  <si>
    <t>*1)* Pronar me 100% i një apartamenti me sip. 120 m2, në vlerën *5 500 000* 
lekë, në proces legalizimi, pjesë e regjimit martesor.
*2)* Pronar me 100% i një apartamenti me sip. 100 m2, blerë në vitin 2010, 
me certifikatë pronësie në vlerën *2 436 000* lekë.
*3)* Pronar me 100% i një bar kafeje me sip. 42 m2, blerë në vitin 2010, me 
certifikatë pronësie në vlerën *3 547 000* lekë.
*4)* Bashkëpronar i një banese 3-katëshe, në Tiranë, në proces legalizimi.</t>
  </si>
  <si>
    <t>Pronar i një veture tip Toyota në vlerën *1 300 000* lekë.</t>
  </si>
  <si>
    <t>*1)* Pronar i një toke truall me sip. *1 300* m2 në Kavajë, blerë në vitin 
2004, në vlerën *1 500 000* lekë.
*2)* Pronar i një toke truall me sip. 500 m2 në Kavajë, blerë në vitin 
2002, në vlerën *300 000* lekë, e cila i është vënë në dispozicion 
shoqërisë Beta shpk, nëpërmjet kontratës së sipërmarrjes, dhe në këmbim 
përfitoj ambjent për lokal me sip. 300 m2, bodrum me sip. 300 m2 si dhe një 
dyqan me sip. 120 m2.</t>
  </si>
  <si>
    <t>Llogari bankare në vlerën *300 000* lekë në bankë të nivelit të dytë.</t>
  </si>
  <si>
    <t>Pronar i një veture tip Audi A3, blerë në vitin 2010 me qira financiare, në 
vlerën *26 000* euro.</t>
  </si>
  <si>
    <t>Aksionar me 50% i firmës së ndërtimit Ergi shpk, krijuar në vitin 2007 me 
kapital fillestar në vlerën *100 000* lekë.</t>
  </si>
  <si>
    <t>Pronar me 100% i një shtëpie banimi 2-katërshe në vlerën *10 000 000* lekë.</t>
  </si>
  <si>
    <t>*1)* Depozitë kursimi në vlerën *2 300 000* lekë.
*2)* Depozitë kursimi në vlerën *10 000* dollar.</t>
  </si>
  <si>
    <t>*1)* Pronar me 100% i një shtëpie banimi 2-katërshe me sip. 118 m2 në 
Lushnjë e hipotekuar, në vlerën *3 500 000* lekë.
*2)* Pronar me 100% i një ap. banimi me sip. 60 m2 në Durrës, blerë më 
10.04.2004, në vlerën *1 900 000* lekë.
*3)* Pronar me 100% i një lokali me sip. 28.6 m2 në Lushnjë, blerë më 
05.03.2010, në vlerën *1 720 590* lekë.
*4)* Pronar me 100% i një lokali me sip. 79 m2 në Lushnjë, blerë më 
05.03.2010, në vlerën *4 752 680* lekë.
*5)* Pronar me 100% i një ap. banimi me sip. 70.38 m2 në Lushnjë, blerë më 
05.03.2010, në vlerën *2 822 731* lekë.
*6)* Bashkëpronar me 50% i një toke me sip. 500 m2 në Voskopojë, blerë më 
26.04.2006, në vlerën *1 500 000* lekë.</t>
  </si>
  <si>
    <t>Pronar me 100% i një veture tip Mercedes Benz, blerë më 23.01.2006, në 
vlerën *850 000* lekë.</t>
  </si>
  <si>
    <t>*1)* Dhënë hua në vlerën *70 000* euro një personi fizik nëpërmjet një 
kontrate huamarrje nënshkruar më 31.12.2009 për shumën *40 000* euro dhe 
një kontrate tjetër huamarrje nënshkruar më 12.03.2010 për shumën *30 000* 
euro.
*2)* Kredi bankare marrë më 12.02.2008 në bankë të nivelit të dytë me 
principal *185 000* euro, afat shlyerje 20 vjet dhe interes 5%.</t>
  </si>
  <si>
    <t>*1)* Pronar me 100% i një toke are me sip. *5 632* m2, në Prezë, në vlerën *2 
000 000* lekë.
*2)* Bashkëpronar me 70% i një toke are me sip. *5 000* m2, në Prezë, në 
vlerën *2 000 000* lekë.
*3)* Bashkëpronar me 70% i një sere për prodhim fidanesh me sip. *3 000* 
m2, në Prezë, në vlerën *33 000 000* lekë.
*4)* Pronar me 100% i një toke are me sip. *3 000* m2, në Vorë, në vlerën *1 
100 000* lekë.
*5)* Pronar me 100% i një toke are me sip. *5 000* m2, në Vorë, në vlerën *2 
310 000* lekë.
*6)* Pronar me 100% i një toke are me sip. *4 000* m2, në Vorë, në vlerën *1 
850 000* lekë.
*7)* Pronar me 100% i një truall ndërtimi me sip. *1 600* m2, në Vorë, në 
vlerën *1 750 000* lekë.
*8)* Pronar me 100% i një ndërtese 2- katëshe me sip. 829.4 m2, në Vorë, në 
vlerën *76 000 000* lekë.
*9)* Pronar me 100% i një truall ndërtimi me sip. *2 457* m2, në Vorë, në 
vlerën *3 200 000* lekë.
*10)* Bashkëpronar me 50% i një toke vreshtë me sip. *2 000* m2, në Tiranë, 
në vlerën *1 800 000* lekë.
*11)* Pronar me 100% i një toke are me sip. *3 004* m2, në Lushnjë, në 
vlerën *3 600 000* lekë.
*12)* Pronar me 100% i një apartamenti me sip. 177.73 m2, në Tiranë.
*13)* Pronar me 100% i një apartamenti me sip. 106.86 m2, në Tiranë.
*14)* Pronar me 100% i një apartamenti me sip. 145.35 m2, në Tiranë, në 
vlerën *1 950 000* lekë.
*15)* Pronar me 100% i një dyqani me sip. 170 m2, në Tiranë.
*16)* Pronar me 100% i një bodrumi me sip. 120 m2, në Tiranë.
*17)* Pronar me 100% i një apartamenti me sip. 88 m2, në Kavajë, në vlerën *1 
100 000* lekë.
*18)* Pronar me 100% i një apartamenti me sip. 40 m2, në Kavajë, në vlerën *600 
000* lekë.
*19)* Pronar me 100% i një garazhi me sip. 13 m2, në Kavajë, në vlerën *100 
000* lekë.</t>
  </si>
  <si>
    <t>*1)* Pronar i shoqërisë Agroblend shpk me kapital themeltar në vlerën *100 
000* lekë.
*2)* Kredi bankare për investime në vlerën *370 000* dollar.</t>
  </si>
  <si>
    <t>*1)* Pronar me 100% i një shtëpie banimi, me privatizim pas vitit 1991, në 
vlerën *40 000* lekë.
*2)* Bashkëpronar me 20% i një toke me sip. *2 100* m2 në Ksamil, në vlerën *18 
900 000* lekë.</t>
  </si>
  <si>
    <t>*1)* Llogari bankare në vlerën *43 000 000* lekë në Bankën Qendrore.
*2)* Llogari bankare në vlerën *25 000 000* lekë në bankë të nivelit të 
dytë.
*3)* Llogari bankare në vlerën *2 040 000* lekë në bankë të nivelit të dytë.</t>
  </si>
  <si>
    <t>Pronar me 100% i një veture në vlerën *250 000* lekë.</t>
  </si>
  <si>
    <t>*1)* Pronar me 100% i një shtëpie banimi me sip. 300 m2, në Divjakë, në 
vlerën *5 400 000* lekë.
*2)* Pronar me 100% i një toke arë me sip. *5 782* m2, në Divjakë, 
përfituar me ligjin nr. *7 501* në vitin 1991.
*3)* Pronar me 100% i një toke bujqësore me sip. *7 910* m2, blerë më 
13/12/2006 me çmim blerje *800 000* lekë, në të cilën është ndërtuar 
vreshtë në vlerën *1 140 000* lekë, pra në total në vlerën *1 940 000* lekë.
*4)* Bashkëpronar me 33.33% i një toke bujqësore me sip. *14 850* m2, blerë 
më 13/01/2004 me çmim blerje *1 000 000* lekë, në të cilën është ndërtuar 
vreshtë në vlerën *700 000* lekë, pra në total në vlerën *1 700 000* lekë.
*5)* Bashkëpronar me 33.33% i një toke bujqësore me sip. *6 570* m2, blerë 
më 23/05/2005 me çmim blerje *650 000* lekë, në të cilën është ndërtuar 
vreshtë në vlerën *3 15 000* lekë, pra në total në vlerën *965 000* lekë.</t>
  </si>
  <si>
    <t>*1)* Llogari bankare në vlerën *145 000* lekë.
*2)* Bashkëshortja llogari bankare në vlerën *89 000* lekë.
*3)* Para Kesh (Cash) në vlerën *1 000 000* lekë.</t>
  </si>
  <si>
    <t>*1)* Dhënë hua një personi fizik në vlerën *1 500 000* lekë.
*2)* Dhënë hua një personi fizik në vlerën *1 500 000* lekë.
*3)* Bashkëshortja pronare me 100% e një kantine vere, me asete në vlerën *2 
000 000* lekë.</t>
  </si>
  <si>
    <t>*1)* Pronar me 100% i një toke bujqësore me sip. *17 680* m2, përfituar me 
ligjin nr. 7501, për të cilin më datë 21.09.2009 është firmosur akt 
marrëveshje për një sip. *7 400* m2 në vlerën *83 500* euro, pjesë e 
regjimit martesor.
*2)* Pronar me 100% i një biznesi Hotel-Bar-Restorant në Llogara me 
hipotekë në vlerën *450 000* euro, pjesë e regjimit martesor.
*3)* Pronar me 100% i një shtëpie banimi në Orikum në vlerën *5 000 000* 
lekë.</t>
  </si>
  <si>
    <t>*1)* Depozitë bankare në vlerën *6 000 000* lekë në bankë të nivelit të 
dytë, pjesë e regjimit martesor.
*2)* Depozitë bankare në vlerën *4 400* dollar në bankë të nivelit të dytë, 
pjesë e regjimit martesor.
*3)* Depozitë bankare në vlerën *74 500* euro në bankë të nivelit të dytë, 
pjesë e regjimit martesor.
*4)* Depozitë bankare në vlerën *1 050 000* lekë në bankë të nivelit të 
dytë, pjesë e regjimit martesor.
*5)* Depozitë bankare në vlerën *1 085 000* lekë në bankë të nivelit të 
dytë, pjesë e regjimit martesor.
*6)* Depozitë bankare në vlerën *35 457* lekë në bankë të nivelit të dytë, 
pjesë e regjimit martesor.</t>
  </si>
  <si>
    <t>*1)* Pronar me 100% i një veture tip Fuoristrade në vlerën *1 500 000* lekë.
*2)* Pronar me 100% i një veture tip Mercedes Benz në vlerën *62 000* euro.</t>
  </si>
  <si>
    <t>Pronar me 100% i një veture tip Volkswagen Golf II, blerë në vitin 2005, në 
vlerën *100 000* lekë.</t>
  </si>
  <si>
    <t>*1)* Person Fizik i rregjistruar për ushtrimin e aktivitetit Shërbime 
interneti.
*2)* Bashkëshortja zonja Eliona Jaçe kredi bankare marrë më 27/06/2007 me 
detyrime total *1 050 000* lekë, afat maturimi 5 vjet dhe këst mujor *17 
500* lekë.</t>
  </si>
  <si>
    <t>Pronar me 100% i një shtëpie banimi me sip. 125 m2 në Tiranë në vlerën *75 
000* dollar.</t>
  </si>
  <si>
    <t>*1)* Para Kesh (Cash) në vlerën *30 000* euro.
*2)* Depozitë bankare në vlerën *10 160* dollar.
*3)* Llogari bankare në vlerën *196 498* lekë.
*4)* Bashkëshortja zonja Gentiana Bardhi llogari bankare në vlerën *218 656* 
lekë.
*5)* Bashkëshortja zonja Gentiana Bardhi llogari bankare në vlerën *145 431* 
lekë.</t>
  </si>
  <si>
    <t>Pronar i një veture tip Nissan në vlerën *3 000 000* lekë.</t>
  </si>
  <si>
    <t>Pronar me 100% i një apartament banimi në Peshkopi blerë në vlerën *2 500 
000* lekë.</t>
  </si>
  <si>
    <t>Pronar me 100% i një veture, dhuratë, në vlerën *190 000* lekë.</t>
  </si>
  <si>
    <t>*1)* Bashkëpronar me 50% i një shtëpie banimi me sip. 120 m2 dhe truall me 
sip. 760 m2, e trashëguar.
*2)* Bashkëpronar me 33% i një toke ullishte me sip. *1 150* m2 dhe i një 
toke are me sip. *7 550* m2, në Gorrenje, përfituar me ligjin nr. 7 501.
*3)* Bashkëshortja zonja Irena Mato pronare me 100% e një dyqani me sip. 
134.6 m2, blerë në vitin 2008, në vlerën *108 000* euro.
*4)* Bashkëshortja zonja Irena Mato pronare me 100% e një dyqani me sip. 
73.22 m2, blerë në vitin 2008, në vlerën *58 256* euro.
*5)* Bashkëshortja zonja Irena Mato pronare me 100% e një apartamenti me 
sip. 55.8 m2, blerë në vitin 2008, në vlerën *30 000* euro.
*6)* Bashkëshortja zonja Irena Mato pronare me 100% e një apartamenti me 
sip. 101.95 m2, blerë në vitin 2008, në vlerën *56 652* euro.</t>
  </si>
  <si>
    <t>*1)* Depozitë bankare në vlerën *3 170* euro.
*2)* Depozitë bankare në vlerën *60 000* lekë.
*3)* Depozitë bankare në vlerën *1 054 000* lekë.
*4)* Depozitë bankare në vlerën *10 000* lekë.
*5)* Depozitë bankare në vlerën *20 000* lekë.
*6)* Depozitë bankare në vlerën *1 870* dollar, pjesë e regjimit martesor.
*7)* Depozitë bankare në vlerën *6 675* dollar, pjesë e regjimit martesor.
*8)* Depozitë bankare në vlerën *10 785* euro.</t>
  </si>
  <si>
    <t>Pronar me 100% i një veture tip Volkswagen, blerë në vitin 2009, në vlerën *21 
000* euro.</t>
  </si>
  <si>
    <t>*1)* Bashkëpronar me 50% i një toke në vlerën *200 000* lekë, e trashëguar.
*2)* Pronar me 100% i një shtëpie banimi në vlerën *600 000* lekë, e 
trashëguar.</t>
  </si>
  <si>
    <t>Pronar i një veture, blerë në vitin 1998, në vlerën *500 000* lekë.</t>
  </si>
  <si>
    <t>*1)* Llogari bankare në vlerën *3 000* dollar, dhuratë nga xhaxhai zoti Zef 
Luka.
*2)* Para Kesh (Cash) në vlerën *300 000* lekë, një pjesë e të cilave 
dhuratë nga babai.</t>
  </si>
  <si>
    <t>Kredi bankare për strehim me principal *1 150 000* lekë.</t>
  </si>
  <si>
    <t>*1)* Pronar me 100% i një shtëpie banimi në Holandë në vlerën *510 000* 
gulden.
*2)* Pronar me 100% i një apartamenti në Tiranë në vlerën *205 000* dollar.
*3)* Pronar me 100% i një apartamenti në Durrës në vlerën *33 000* euro.
*4)* Bashkëpronar me 1/3 pjesë takuese i një apartamenti në Tiranë në 
vlerën *17 500* lekë.
*5)* Bashkëpronar me 1/4 pjesë takuese i një apartamenti në Tiranë në 
vlerën *62 000* dollar.
*6)* Bashkëpronar me 1/4 pjesë takuese i një trualli me sip. *22 100* m2 në 
Tepelenë, rikthim prone në vitin 2004.</t>
  </si>
  <si>
    <t>*1)* Depozitë bankare në vlerën *52 000* dollar.
*2)* Depozitë bankare në vlerën *81 000* euro.</t>
  </si>
  <si>
    <t>Pronar me 100% i një veture tip Mercedes Benz në vlerën *72 000* euro.</t>
  </si>
  <si>
    <t>*1)* Pronar me 100% i një pikture në vlerën *6 500* euro.
*2)* Pronar me 100% i një ore dore në vlerën *5 200* euro.
*3)* Pronar me 100% i një ore dore në vlerën *4 500* euro.
*4)* Pronar me 100% i një unaze diamanti në vlerën *11 500* euro.
*5)* Pronar me 100% i një servis porcelani në vlerën *6 800* euro.</t>
  </si>
  <si>
    <t>Pronar me 100% i aksioneve në NASDAQ në vlerën *18 000* dollar.</t>
  </si>
  <si>
    <t>Kredi bankare me principal *204 000* euro, interes 4.2% dhe afat maturimi 7 
vjet, për të cilin ka mbetur ende pa shlyer një vlerë prej *198 000* euro.</t>
  </si>
  <si>
    <t>*1)* Pronar i një banese me sip. 80 m2, blerë në vitin 1991, në vlerën *65 
000* lekë.
*2)* Djali zoti Kajdi Spahiu pronar i një banese me sip. 101 m2, dhuratë 
nga babai, në vlerën *44 395* euro.</t>
  </si>
  <si>
    <t>*1)* Pronar i një veture tip Mercedes Benz blerë në vitin 2010 në vlerën *125 
000* lekë.
*2)* Djali zoti Kajdi Spahiu pronar i një veture tip BMW, blerë në vitin 
2011 në vlerën *3 000* euro.
*3)* Djali zoti Kajdi Spahiu pronar i një veture tip Mercedes Benz blerë në 
vitin 2009 në vlerën *600 000* lekë.</t>
  </si>
  <si>
    <t>*1)* Kredi për blerje apartamenti me sip. 101 m2, marrë më 14.07.2006 në 
bankë të nivelit të dytë me principal *9 000* euro, afat maturimi 10 vjet 
dhe këst mujor 181.34 euro.
*2)* Bashkëshortja zonja Valentina Spahiu kredi bankare për blerje 
elektroshtëpiake me principal *500 000* lekë dhe këst mujor *10 709* lekë.</t>
  </si>
  <si>
    <t>*1)* Pronar me 100% i një shtëpie banimi me sip. 478 m2, në Fier, në vlerën *35 
000 000* lekë.
*2)* Pronar me 100% i një shtëpie banimi me sip. 120 m2 në Fier, përfituar 
me trashëgimi, në vlerën *10 070 000* lekë.
*3)* Pronar me 100% i një shtëpie banimi me sip. 130 m2, në Vlorë, në 
vlerën *6 370 000* lekë.
*4)* Pronar me 100% i një ambienti zyre me sip. 60 m2, në Fier, në vlerën *5 
200 000* lekë.
*5)* Pronar me 100% i një ambienti zyre me sip. 34.5 m2, në Fier, në vlerën *3 
400 000* lekë.
*6)* Pronar me 100% i një magazine me sip. 840 m2, në Fier, në vlerën *25 
400 000* lekë.</t>
  </si>
  <si>
    <t>*1)* Pronar me 100% i dy veturave në vlerën *1 900 000* lekë.
*2)* Pronar me 100% i një veture në vlerën *22 000* euro.</t>
  </si>
  <si>
    <t>*1)* Kredi bankare për blerje pasuri marrë në bankë të nivelit të dytë me 
principal *12 000 000* lekë dhe afat maturimi 10 vjet.
*2)* Overdraft për biznes marrë në bankë të nivelit të dytë me principal *15 
000 000* lekë.
*3)* Garanci pranë shoqëri sigurimesh në vlerën *70 000 000* lekë për 
llogari të Drejtorisë së Përgjithshme të Doganave.
*4)* Bashkëshortja zonja Xhuljana Sejdini pronare me 100% e shoqërisë UJORI 
shpk me kapital *100 000* lekë.</t>
  </si>
  <si>
    <t>*1)* Pronar me 100% i një shtëpie banimi dhe truall me sip. 490 m2 në 
Patos, blerë nga privatizimi banesave më 31.08.1994, në vlerën *112 928* 
lekë.
*2)* Pronar me 100% i një ambient biznesi me sip. 20 m2, blerë më 
27.06.1995, në vlerën *200 000* lekë.
*3)* Pronar me 100% i një toke bujqësore me sip. *16 000* m2, përfituar me 
ligjin nr. 7501.</t>
  </si>
  <si>
    <t>Depozitë bankare në vlerën *1 390* dollar, hapur më 03.10.2006 në bankë të 
nivelit të dytë.</t>
  </si>
  <si>
    <t>Pronar me 100% i një veture tip Opel, blerë më 14.05.2004, në vlerën *4 600* 
euro.</t>
  </si>
  <si>
    <t>*1)* Shtëpi banimi me sip. trualli 352 m2 dhe sip. ndërtese 100.5 m2, në 
Korçë, me vlerë *12 792 250* lekë. Pjesa e Z. Filo është 50%.</t>
  </si>
  <si>
    <t>*1)* Depozitë bankare në vlerën *1 158 377* lekë, e krijuar nga paga.
*2)* Llogari rrjedhëse në vlerën *401 958* lekë, e krijuar nga paga.
*3)* Llogari rrjedhëse me vlerën *1 576 115* lekë e krijuar me të ardhurat 
nga shitja e dyqanit.
*4)* Depozita bankare totale në vlerën *48 894* euro, të krijuara me të 
ardhurat nga shitja e dyqanit.
*5)* Llogari rrjedhësë në vlerën *767 935* lekë e krijuar nga të ardhurat 
si Kryetar i Këshillit Mbikëqyrës të Ujësjellës-Kanalizime-Korçë sha.
*6)* Llogari rrjedhësë në vlerën 923 euro e krijuar nga të ardhurat si 
Kryetar i Këshillit Mbikëqyrës të Ujësjellës-Kanalizime-Korçë sha.
*7)* Depozitë bankare në vlerën *2 450 115* lekë e krijuar nga të ardhurat 
e shitjes së dyqanit.
*8)* Kartë krediti me limit përdorimi *1 500* euro.
*9)* Depozitë bankare në emër të bashkëshortes me vlerë *2 343 050* lekë, e 
krijuar me të ardhurat nga paga dhe interesat bankare.
*10)* Depozitë bankare në emër të bashkëshortes në vlerën *1 978* euro, e 
krijuar me të ardhurat nga paga dhe interesat bankare.
*11)* Depozitë bankare në emër të bashkëshortes me vlerë 110 712, e krijura 
me të ardhurat nga paga.
*12)* Depozitë bankare në emër të bashkëshortes me vlerë 842 456, e 
mundësuar si dhuratë nga familja.
*13)* Llogari rrjedhëse në emër të bashkëshortes në vlerën *166 031* lekë, 
e krijuar me të ardhurat nga paga.
*14)* Llogari rrjedhëse në emër të bashkëshortes në vlerën *11 957* lekë, e 
krijuar me të ardhurat nga interesat bankare.
*15)* Depozitë bankare në emër të bashkëshortes në vlerën *500 000* lekë, e 
krijuar me të ardhurat nga paga.
*16)* Kartë krediti në emër të bashkëshortes me limit përdorimi *50 000* 
lekë.</t>
  </si>
  <si>
    <t>*1)* Pronar me 100% i një shtëpie banimi me sip. 120 m2 në vlerën *5 000 
000* lekë.
*2)* Pronar i një apartamenti me sip. 116.7 m2 dhe i një garazhi me sip. 25 
m2 në Sarandë, përfituar nga këmbimi me një truall ndërtimi me sip. 580 m2 
në Sarandë, blerë në vitin 1995, në vlerën *300 000* lekë dhe me para Kesh 
në vlerën *25 000* euro.
*3)* Pronar i një dyqani me sip. 50 m2 dhe i një garazhi me sip. 20 m2 në 
Tiranë, blerë në vitin 2009, ende të pahipotekuar, në vlerën *75 000* euro.
*4)* Pronar i një garazhi me sip. 15 m2 në Tiranë, blerë në vitin 2009, në 
vlerën *6 000* euro.
*5)* Bashkëpronar me 50% i një magazine drithi me sip. 310 m2, blerë në 
vitin 1993, në vlerën *100 000* lekë.</t>
  </si>
  <si>
    <t>*1)* Para Kesh (Cash) në vlerën *3 000* euro.
*2)* Depozitë kursimi në emër të fëmijëve në vlerën *30 000* lekë.</t>
  </si>
  <si>
    <t>Pronar i një veture tip Mercedes Benz, blerë në vitin 2009, pa doganë, në 
vlerën *33 866* euro.</t>
  </si>
  <si>
    <t>Pronar i tre letrave me vlerë, dhuratë nga shteti, në vlerën *250 000* 
lekë, pjesë e regjimit martesor.</t>
  </si>
  <si>
    <t>*1)* Kredi bankare për shtëpi banimi marrë në vitin 2000, me principal *5 
000 000* lekë, interes 3%, afat maturimi 25 vjet dhe këst mujor *24 000* 
lekë.
*2)* Kredi konsumatore për blerje automjeti marrë në vitin 2009, me 
principal *4 500 000* lekë dhe këst mujor *70 000* lekë.</t>
  </si>
  <si>
    <t>Pronar me 100% i një ndërtese 3-katëshe me sip. 790 m2 ne vlerën *237 000* 
euro.</t>
  </si>
  <si>
    <t>*1)* Apartament, me vlerë të deklaruar *449 904* lekë, përfituar nga Enti i 
Banesave me privatizim dhe kompesim. Zotërim 100% i Z. Çota.
*2)* Truall me sipërfaqe 205 m2 dhe sip. ndërtese 120 m2, me vlerë *8 817 
000* lekë. Zotërim 100% i Z. Çota.
*3)* Truall me sipërfaqe 250 m2 dhe sip. ndërtese 30 m2, me vlerë *4 291 
125* lekë.</t>
  </si>
  <si>
    <t>*1)* Automjet me vlerë *1 580 000* lekë, blerë në vitin 2009, në pronësi 
100% të Z. Çota, siguruar nëpërmjet të ardhurave nga biznesi para ushtrimit 
të detyrës si Kryetar dhe të ardhurat nga qiraja.</t>
  </si>
  <si>
    <t>*1)* Pronar me 100% i një kapanoni ndërtimi në vlerën *23 000 000* lekë.
*2)* Pronar me 100% i një magazine me sip. 80 m2, blerë në vitin 2006, në 
vlerën *1 000 000* lekë.
*3)* Pronar me 100% i dy dyqaneve me sip. 250 m2, blerë në vitin 2006, në 
vlerën *130 000* euro.
*4)* Pronar me 100% i një shtëpie banimi me sip. 178 m2, blerë në vitin 
2010, në vlerën *80 000* euro.</t>
  </si>
  <si>
    <t>Pronar me 100% i një veture tip Fuoristradë blerë në vitin 2011 në vlerën *20 
000* euro.</t>
  </si>
  <si>
    <t>Pronar me 100% i një shtëpie banimi me sip. 90 m2 në Vlorë, në vlerën *3 
000 000* lekë.</t>
  </si>
  <si>
    <t>Para Kesh (Cash) në vlerën *5 000 000* lekë.</t>
  </si>
  <si>
    <t>Bashkëshortja zonja Ariana Gjika pronar me 100% i një veture tip Mazda në 
vlerën *1 000 000* lekë.</t>
  </si>
  <si>
    <t>Pronar me 100% i një apartament banimi me sip. 75 m2, blerë më 02.11.1994, 
në vlerën *700 000* lekë.</t>
  </si>
  <si>
    <t>*1)* Pronar me 100% i një toke truall me sip. *1 800* m2 në vlerën *50 000* 
dollar.
*2)* Pronar me 100% i një pallati 11- katësh me sip. totale *3 640* m2 në 
vlerën *72 000 000* lekë.
*3)* Pronar me 100% i një magazine me sip. 187 m2 dhe i një trualli me sip. 
539 m2 në vlerën *550 000* lekë.
*4)* Pronar me 100% i një magazine me sip. 300 m2 në vlerën *500 000* lekë.
*5)* Pronar me 100% i një garazhdi me sip. 100 m2 në vlerën *15 000* dollar.
*6)* Pronar me 100% i një apartamenti me sip. 130 m2 në vlerën *40 000* 
dollar.</t>
  </si>
  <si>
    <t>*1)* Llogari bankare në vlerën *140 000* lekë.
*2)* Llogari bankare në vlerën *4 000* euro.</t>
  </si>
  <si>
    <t>*1)* Pronar me 100% i një veture tip Mercedes Benz në vlerën *25 000* euro.
*2)* Pronar me 100% i një veture tip BMË në vlerën *700 000* lekë.</t>
  </si>
  <si>
    <t>*1)* Pronar me 100% i një njësie tregtare me sip. 145.7 m2 në vlerën *4 100 
000* lekë.
*2)* Pronar me 100% i një shtëpie banimi me sip. 184 m2 në vlerën *5 152 
000* lekë.
*3)* Pronar me 100% i një garazhdi me sip. 33.98 m2 në vlerën *400 000* 
lekë.
*4)* Pronar me 100% i një shtëpie banimi me sip. 195.05 m2 në vlerën *5 500 
000* lekë.
*5)* Pronar me 100% i një garazhdi me sip. 35.38 m2 në vlerën *500 000* 
lekë.
*6)* Pronar me 100% i një ambienti me sip. 44.98 m2 në vlerën *500 000* 
lekë.
*7)* Pronar me 100% i një ambienti me sip. 13.76 m2 në vlerën *150 000* 
lekë.
*8)* Pronar me 100% i një Trualli me sip. *4 970* m2, në të cilin ndodhet 
një ndërtesë me sip. 145 m2 në Lezhë, në total në vlerën *1 590 400* lekë.
*9)* Pronar me 100% i një toke are me sip. *1 000* m2 në Shëngjin në vlerën *1 
200 000* lekë.
*10)* Pronar me 100% i një toke truall me sip. *1 000* m2, në të cilin 
ndodhet një ndërtesë me sip. 250 m2, në total në vlerën *1 900 000* lekë.
*11)* Pronar me 100% i një toke are me sip. 500 m2 në vlerën *600 000* lekë.
*12)* Pronar me 100% i një shtëpie banimi me sip. 130 m2 në Tiranë në 
vlerën *3 600 000* lekë, në proces kalimi pronësie.
*13)* Pronar me 100% i një garazhdi në Tiranë në vlerën *400 000* lekë, në 
proces kalimi pronësie.
*14)* Pronar me 100% i një apartamenti me sip. 117.39 m2 në vlerën *2 900 
000* lekë.
*15)* Pronar me 100% i një apartamenti me sip. 117.39 m2 në vlerën *2 900 
000* lekë.
*16)* Pronar me 100% i një ndërtese me sip. 634 m2 në vlerën *9 000 000* 
lekë.</t>
  </si>
  <si>
    <t>Depozitë kursimi në vlerën *1 733 920* euro, lënë peng për një kredi 
bankare marrë për llogari të shoqërisë Beato-Anibale shpk.</t>
  </si>
  <si>
    <t>*1)* Ortak me 51% i shoqërisë së ndërtimit Beato-Anibale shpk.
*2)* Kredi bankare në vlerën *190 000 000* lekë marrë për llogari të 
shoqërisë Beato-Anibale shpk.</t>
  </si>
  <si>
    <t>Pronar me 100% i një shtëpie banimi me sip. 92 m2.</t>
  </si>
  <si>
    <t>Pronar me 100% i një veture tip Mercedes Benz në vlerën *500 000* lekë.</t>
  </si>
  <si>
    <t>*1)* Pronar me 100% i ap.banimi me sip. 140 m2 në Tiranë me vlerë *158 620* 
euro, në proces hipotekimi.
*2)* Pronar me 100% i objekt në ndërtim me sip. 300 m2, me adresë ish 
reparti ushtarak,manastir Shën Theodhosi në Dhërmi në vlerën *500 000* lekë.
*3)* Bashkëpronar me 50% i një trualli me sip.*1 500* m2, me adresë ish 
reparti ushtarak, manastir Shën Theodhosi në Dhërmi në vlerën *600 000* 
lekë.
*4)* Bashkëshortja zonja Albana Didi bashkëpronare me 33.3% e një shtëpie 
banimi me sip. 78 m2 në Tiranë, me privatizim prej prindërve, në vlerën *30 
000* lekë.</t>
  </si>
  <si>
    <t>*1)* Kredi në bankë të nivelit të dytë me detyrim financiar të pashlyer në 
vlerën *16 598* euro, marrë në vitin 2008 me principal *20 000* euro e afat 
shlyerje 15 vjet.
*2)* Kredi në bankë të nivelit të dytë me detyrim financiar të pashlyer në 
vlerën *624 106* lekë, principal *700 000* lekë e afat shlyerje 15 vjet.
*3)* Bashkëshortja zonja Albana Didi Overdraft në bankë të nivelit të dytë 
me detyrim ë pashlyer në vlerën *217 821* lekë.</t>
  </si>
  <si>
    <t>Pronar me 100% i veturë tip sheverlet, me blerje, në vlerën *100 000* lekë.</t>
  </si>
  <si>
    <t>*1)* Pronar me 100% i ap.banimi me sip. 165 m2 në Tiranë, me blerje në 
vitin 2003, në vlerën *64 000* euro.
*2)* Pronar me 100% i ap.banimi me sip. 105 m2 në Durrës, me blerje në 
vitin 2007, në vlerën *45 000* euro.</t>
  </si>
  <si>
    <t>*1)* Pronar me 100% i një llogarie bankare në bankë të nivelit të dytë në 
vlerën *500 000* lekë.
*2)* Bashkëshortja zonja Mirela Lame llogari bankare në bankë të nivelit të 
dytë në vlerën *10 000* dollar.
*3)* Kredi për blerje banese me detyrim financiar të pashlyer në vlerën *1 
000 000* lekë, principal *2 000 000* lekë dhe afat shlyerje 20 vjet.</t>
  </si>
  <si>
    <t>Pronar me 100% i nje Mitsubishi tip Fuoristradë, me blerje në vitin 2006, 
në vlerën *6 000* euro.</t>
  </si>
  <si>
    <t>*1)* Pronar me 100% i një koleksioni armësh të vjetra, zjarri dhe të ftohta.
*2)* Pronar me 100% i një koleksioni dekoratash dhe medaljesh.
*3)* Pronar me 100% i një koleksioni uniformash dhe pajimesh ushtarake.
*4)* Pronar me 100 i koleksioneve të tjera bukinistike, nunismatike etj.</t>
  </si>
  <si>
    <t>Pronar me 100% i ap. banimi me sip. 94.5 m2 në Vlorë, me blerje nga babai, 
në vlerën *40 000* euro.</t>
  </si>
  <si>
    <t>*1)* Kredi bankare në bankë të nivelit të dytë me detyrim të pashlyer në 
vlerën *34 148* euro.
*2)* Kredi bankare në bankë të nivelit të dytë me detyrim të pashlyer në 
vlerën *73 724* lekë.
*3)* Kartë krediti në bankë të nivelit të dytë me detyrim të pashlyer në 
vlerën 664 euro.
*4)* Kartë krediti në bankë të nivelit të dytë me detyrim të pashlyer në 
vlerën 144 euro.
*5)* Overdraft me detyrim të pashlyer në vlerën *202 862* lekë.</t>
  </si>
  <si>
    <t>Kursime ndër vite në vlerën *15 000* euro.</t>
  </si>
  <si>
    <t>*1)* Pronar me 100% i një veture tip Opel, me blerje në vitin 2004, në 
vlerën *200 000* lekë.
*2)* Veturë tip Mini Cooper në përdorim, por që është në pronësi të dikujt 
tjetër.</t>
  </si>
  <si>
    <t>Bashkëpronar me 50% i ap. banimi në Tiranë me sip. 95.46 m2, me blerje me 
çmim *5 000 000* lekë dhe rivlerësuar në vitin 2013 në vlerën *16 825 200* 
lekë.</t>
  </si>
  <si>
    <t>*1)* Pronar me 100% i llogari bankare në bankë të nivelit të dytë në vlerën *50 
205* lekë.
*2)* Pronar me 100% i llogari bankare në bankë të nivelit të dytë në vlerën *1 
797* euro.
*3)* Pronar me 100% i llogari bankare në bankë të nivelit të dytë në vlerën *119 
009* lekë.
*4)* Pronar me 100% i llogari bankare në bankë të nivelit të dytë në vlerën 
6 euro.
*5)* Pronar me 100% i llogari bankare në bankë të nivelit të dytë në vlerën 
42 dollar.
*6)* Pronar me 100% i llogari bankare në bankë të nivelit të dytë në vlerën *1 
962* lekë.
*7)* Pronar me 100% i llogari bankare në bankë të nivelit të dytë në vlerën 
13 euro.
*8)* Kredi për blerje apartamenti marrë më 01.01.2000 me principal *5 000 
000* lekë, interes 3% dhe afat maturimi 25 vjet, pjesë e regjimit martesor.
*9)* Kredi personale marrë më 20.07.2012 me principal *1 000 000* lekë, 
afat maturimi 84 muaj e interest të variueshëm, pjesë e regjimit martesor.</t>
  </si>
  <si>
    <t>*1)* Tokë truall 560 m2, në zonën kadestrale 8533, kthyer nga Komisioni i 
Kthimit të Pronave. Pjesa në zotërim e Znj. Rista 50%.
*2)* Shtëpi banimi 2 kate me sipërfaqe totale 264.5 m2, ndërtuar mbi tokën 
truall. Ndërtesa është financuar nga shitja e 610 m2 truall, pronë e kthyer 
nga Komisioni i Kthimit të Pronave si dhe nga shitja e materialeve pas 
prishjes së shtëpisë ekzistuese. Pjesa në zotërim e Znj. Rista 50%</t>
  </si>
  <si>
    <t>*1)* Depozitë kursimi me vlerë *450 100* lekë. Pjesa në zotërim e Znj. 
Rista 50%.</t>
  </si>
  <si>
    <t>*1)* Zotërim i një automjeti, për të cilin nuk është deklaruar vlera 
përkatëse. Pjesa në zotërim e Znj. Rista 50%.</t>
  </si>
  <si>
    <t>*1)* Truall dhe ndërtesë me sip. 768 m2 (Kafja e Madhe në Shkodër), me 
vlerë *900 000* euro dhe *1 998 000* lekë. Financuar nëpërmjet dy kredive 
bankare me vlerë totale *850 000* euro, si dhe të ardhurat nga shitja *4 
000 000* lekë e një apartamenti dhe *3 900 000* lekë të disa ambienteve 
shërbimi. Pjesa në zotërim e Z. Çela është 33%.
*2)* Truall me sip. 300 m2, në Pulaj, plazh Velipojë, me vlerë *734 400* 
lekë. Financuar me të ardhurat nga dividenti të vitit 2010. Pjesa në 
zotërim e Z. Çela është 100%.
*3)* Truall me sip. 228 m2, në lagjen "Kongresi i Përmetit", Shkodër, me 
vlerë *1 500 000* lekë. Financuar me të ardhurat nga paga. Pjesa në zotërim 
e Z. Çela është 30%.
*4)* Apartament me sip. 688 m2, me vlerë *26 259 584* lekë. Financuar 
nëpërmjet një kredie bankare me vlerë *200 000* euro si dhe nga shitja *7 
000 000* lekë e një dyqani. Pjesa në zotërim e Z. Çela është 100%.
*5)* Bodrum me sip. 18,9 m2, në Rr. "Studenti", Shkodër, me vlerë *721 375* 
lekë. Financuar me të ardhurat nga paga.</t>
  </si>
  <si>
    <t>*1)* Kredi bankare me vlerë *2 000 000* euro, marrë për riorganizimin e 
kredive ekzistuese në vitin 2007. Shuma e detyrimit ende e pashlyer *1 076 
923* euro.
*2)* Kredi bankare me vlerë *260 000* euro, marrë për riorganizimin e 
kredive ekzistuese në vitin 2011.
*3)* Kredi bankare me vlerë *2 200 000* euro, marrë për riorganizimin e 
kredive ekzistuese në vitin 2012.
*4)* Kredi bankare me vlerë *600 000* euro marrë për pagesën e këstit të 
parë të "Kafes së Madhe" në vitin 2011.
*5)* Kredi në emër të Znj. Belma Çela me vlerë *250 000* euro, marrë për 
këstin e dytë të "Kafes së Madhe" në vitin 2007. Detyrimi ende i pashlyer 
është *105 157* euro.
*6)* Kartë krediti e Z. Agron Çela me garanci *5 000* dollarë, krijuar me 
të ardhurat nga dividentët në vitet 2011, 2012. Shuma e përdorur deri në 
datën e deklarimit *406 000* lekë.
*7)* Kartë krediti e Znj. Belma Çela me garanci *1 050 000* lekë. Shuma e 
përdorur deri në datën e deklarimit *487 000* lekë.</t>
  </si>
  <si>
    <t>*1)* Automjet me vlerë *72 000* euro, blerë me qira financiare.</t>
  </si>
  <si>
    <t>*1)* Zotërim i biznesit Xhenis-Sh shpk, me vlerë *43 960 000* lekë, 
themeluar në vitin 1999. Kaluar në pronësi të bashkëshortes, Znj. Belma 
Çela në dt. 19.03.2013. Pjesa në përqindje 100%.
*2)* Zotërim i biznesit Xheni-A.D. shpk, me vlerë *100 000* lekë, themeluar 
në vitin 2001. Kaluar në pronësi të bashkëshortes, Znj Belma Çela në dt. 
19.03.2013. Pjesa në përqindje 100%.
*3)* Zotërim i biznesit Ag-Pa-2008 shpk me vlerë *100 000* lekë, themeluar 
në vitin 2008. Pjesa në zotërim e Z. Çela është 30%.</t>
  </si>
  <si>
    <t>*1)* Banesë 3 kate mbi një truall me sip. 380 m2 në zonën e Plazhit, Durrës 
me vlerë *30 000 000* lekë. Financuar me të ardhurat ndër vite të 
aktivitetit privat si aksioner i shoqërisë AIBA-Kompani sha. Prona është 
pjesë e regjimit martesor.</t>
  </si>
  <si>
    <t>*1)* Automjet me vlerë *43 131* euro, i blerë në vitin 2001, financuar me 
të ardhurat ndër vite të aktivitetit privat si aksioner i shoqërisë 
AIBA-Kompani sha. Prona është pjesë e regjimit bashkëshortor.
*2)* Z. Andi Duka, automjet me vlerë *13 000* euro dhe *482 681* lekë TVSH, 
i blerë në vitin 2012 me të ardhurat e Z. Agron Duka nga aktiviteti privat 
ndër vite.</t>
  </si>
  <si>
    <t>*1)* Dhuruar të vëllait, Z. Armand Duka, në dt 5.09.2013 aksionet e 
zotëruara në AIBA-Kompani sha.</t>
  </si>
  <si>
    <t>*1)* Ortak në shoqëritë Go-Tech shpk me 40% të kuotave me vlerë *16 942* 
126 lekë dhe Eco-Market-Food shpk me 50% të kuotave me vlerë *16 942* 126 
lekë, financuar në të dyja rastet fillimisht nëpërmjet të ardhurave si 
aksioner i AIBA-Kompani sha. Në dt 11.09.2013 dhe 5.09.2013 janë depozituar 
në QKR Vendimet përkatëse të Asamblesë së Ortakëve të këtyre dy bizneseve, 
sipas të cilave Z. Duka humbet cilësinë e zotëruesit aktiv duke u bërë 
zotërues pasiv i kuotave dhe emëron Z. Armand Duka si përfaqësues të tyre. 
Kuotat janë pjesë e regjimit bashkëshortor.
*2)* Ortak në shoqërinë New-Century shpk me 22.5% të kuotave me vlerë *3 
150* 000 lekë, financuar me të ardhurat si aksioner i AIBA-Kompani sha. 
Kuotat janë pjesë e regjimit bashkëshortor.
*3)* Bashkëshortja, Znj. Fatbjana Duka, zotëron aksione në masën 25% të 
totalit të shoqërisë aksionare B.G.R. Vlera nominale e aksioneve është *36 
746* 500 lekë. Aksionet janë në emër të bashkëshortes znj.Duka, por i 
përkasin regjimit martesor(pronësi e dy bashkëshortëve). Burimi i pasurisë 
janë të ardhura ndër vite të z.Agron Duka. Bashkëshortët deklarohen pa 
cilësinë e zotëruesit aktiv pasi kanë emëruar si përfaqësues të tyre një 
person të tretë me emrin Armand Duka.</t>
  </si>
  <si>
    <t>*1)* Apartament në Rr. "Sami Frashëri", Tiranë, me vlerë *175 000* euro, 
blerë nga kursimet dhe të ardhurat nga aktiviteti privat i shoqërive 
"Albena" sh.a. dhe "Fashion 05". Pjesa në zotërim e Z. Zeneli është 50%.
*2)* Bashkëshortja, Znj. Alma Zeneli zotëron truall me sip. 3220 m2, me 
vlerë *1 900 000* lekë blerë me të ardhurat nga biznesi, pjesa e saj është 
50%.
*3)* Znj. Alma Zeneli zotëron apartament me sip. 90 m2, vlerë *3 600 000* 
lekë blerë me të ardhurat e krijuara nga tregtia.</t>
  </si>
  <si>
    <t>*1)* Gjendje cash *5 000 000* lekë, krijuar nga të ardhurat nga dividenti 
nga shoqëria "Albena" sh.a. në periudhën 25.05.2004 deri në 12.10.2006.
*2)* Gjendja cash *1 000 000* lekë, krijuar nga kursimet nga paga ndër vite.</t>
  </si>
  <si>
    <t>Automjet i zotëruar nga Z. Zeneli me vlerë *6 000* euro. Nuk specifikohet 
burimi i krijimit të pasurisë.</t>
  </si>
  <si>
    <t>*1)* Znj. Alma Zeneli ka përfituar me dhurim aksione në shoqërinë "Albena" 
sh.a. me vlerë *9 000 000* lekë në vitet 2007-2010.
*2)* Z. Zeneli ka përfituar me dhurim aksione në shoqërinë "Albena" sh.a. 
me vlerë *16 000 000* lekë në vitet 2004-2006.
*3)* Znj. Alma Zeneli zotëron 100% të aksioneve me vlerë *19 000 000* lekë 
të shoqërisë "Fashion 05".</t>
  </si>
  <si>
    <t>*1)* Znj. Alma Zeneli ka përfituar *80 000* euro nga shitja e një 
bar-kafeje pranë Shtëpisë Qendrore të Ushtrisë.
*2)* Znj. Alma Zeneli deklaron *19 000 000* lekë të ardhura nga biznesi 
"Fashion 05", ku ajo është 100% aksionere nga viti 2004-2009.</t>
  </si>
  <si>
    <t>*1)* Tokë are me sip. totale *2 788* m2, në zonën kadastrale 2769, 
Ndërfushaz, Mirditë. Nuk specifikohet vlera e tokës.
*2)* Truall 500 m2 dhe ndërtesë 76 m2, në zonën kadastrale 2769, 
Ndërfushaz, Mirditë. Nuk specifikohet vlera e truallit dhe ndërtesës.
*3)* Pemëtore me sip. 1938 m2, në zonën kadastrale 2769, Ndërfushaz, 
Mirditë. Nuk specifikohet vlera e pemëtores.</t>
  </si>
  <si>
    <t>Kredi bankare me vlerë *3 340 000* lekë, marrë për blerje apartamenti, 
aktivizuar në vitin 2012, me afat shlyerje 20 vjet.</t>
  </si>
  <si>
    <t>Automjet me vlerë *460 000* lekë, zotërim 100% i bashkëshortit Z. Deda.</t>
  </si>
  <si>
    <t>*1)* Apartament banimi me sip. totale 246 m2, me vlerë *110 000* euro, 
pranë zonës së Gjykatës, Tiranë, në proces legalizimi. Apartamenti është 
blerë me të ardhurat e siguruara nga shitja *50 000* euro e një apartamenti 
me sip. 113 m2 dhe kursime të bashkëshortëve. Vlera prej *30 000* euro 
deklarohet detyrim ende i pashlyer.
*2)* Apartament banimi me sip. 86 m2, në fshatin turistik "Aginos", Mali i 
Robit, me vlerë *50 000* euro. Shuma *40 000* euro është mundësuar nga 
kursimet e punës ndër vite të bashkëshortëve, ndërsa *10 000* euro janë 
ende detyrim i pashlyer.</t>
  </si>
  <si>
    <t>*1)* Depozita bankare me vlerë *9 575 057* lekë në emër të Znj. Peza, e 
krijuar nga kursimet e bashkëshortëve ndër vite.
*2)* Llogari rrjedhëse e Znj. Peza me vlerë *271 896* lekë.
*3)* Llogari bankare *400 000* lekë në emër të Znj. Peza.
*4)* Detyrim i pashlyer në vlerën *30 000* euro, si garanci për këstin 
përfundimtar për hipotekën e apartamentit në Tiranë.
*5)* Detyrim i pashlyer në vlerën *10 000* euro, si garanci për këstin 
përfundimtar për hipotekën e apartamentit në Malin e Robit.</t>
  </si>
  <si>
    <t>*1)* Shtëpi banimi me 450 m2 sip. truall dhe 589 m2 sip. banimi, vlerë *11 
500 000* lekë, ndërtuar në vitet 1992-1995. Shtëpia është financuar me të 
ardhurat e siguruara nga shitja e apartamentit të përfituar nga procesi i 
privatizimit plus të ardhurat e pjestuara nga shitja e shtëpisë së 
prindërve të bashkëshortes si edhe kredisë bankare.
*2)* Tokë me sip. 440 m2, në rrethin e Sarandës, me vlerë *264 000* lekë, 
blerë me të ardhurat familjare.
*3)* Apartament me vlerë *330 000* dollarë në Boston, SHBA, blerë me të 
ardhurat familjare dhe të ardhurat nga investimet.
*4)* Apartament me sip. 158 m2 në Sarandë.
*5)* Dyqan me sip. 99 m2, në Sarandë, me vlerë të paspecifikuar.
*6)* Znj. Jona Marashi, shtëpi banimi me vlerë *168 700* dollarë, pjesa në 
bashkëpronësi është 25%, blerë nëpërmjet të ardhurave të bashkëpronarëve 
dhe kredisë bankare.</t>
  </si>
  <si>
    <t>*1)* Gjendja e llogari bankare totale *535 323* lekë.
*2)* Gjendja e llogarive bankare *4 111* dollarë.
*3)* Gjendja e llogarive bankare *2 741* euro.
*4)* Kartë krediti minus *2 945* euro.
*5)* Kredi për blerje apartamenti për motrën *39 009* euro.
*6)* Bashkëshortja, Znj. Greta Angjeli, zotëron depozitë bankare me vlerë *378 
000* dollarë, krijuar nga të ardhurat familjare.
*7)* Znj. Angjeli ka llogari bankare me gjendje *5 851* dollarë., krijuar 
me të ardhurat nga paga dhe investimet.
*8)* Znj. Angjeli ka llogari bankare me gjendje *1 337* euro, krijuar me të 
ardhurat nga paga dhe investimet.
*9)* Znj. Angjeli ka llogari bankare me gjendje *197 206* lekë, krijuar me 
të ardhurat nga paga dhe investimet.
*10)* Znj. Angjeli ka fond pensioni privat *524 135* lekë.
*11)* Znj. Angjeli deklaron krediedhënie me vlerë *21 132 599* lekë, pa 
specifikuar afatin kohor dhe normën përkatëse të interesit.
*12)* Znj. Jona Marashi, ka llogari bankare me vlerë totale *52 162* 
dollarë, krijuar nga të ardhurat familjare.
*13)* Znj. Jona Marashi ka kredi bankare me vlerë *95 000* dollarë, marrë 
për blerje shtëpi banimi.
*14)* Znj. Jona Marashi ka kredi me vlerë *21 000* dollarë, marrë për 
shkollimin në nivel master.</t>
  </si>
  <si>
    <t>*1)* Z. Angjeli zotëron automjet me vlerë *50 915* dollarë, blerë nga të 
ardhurat familjare.
*2)* Znj. Jona Marashi zotëron dy automjete, njëri me vlerë *26 800* 
dollarë, blerë nëpërmjet qirasë financiare dhe tjetri me vlerë *28 000* 
dollarë, blerë nga të ardhurat familjare.</t>
  </si>
  <si>
    <t>Z. Angjeli deklaron si pasuri OJF-në Qendra Mesdheu, Universiteti Mesdhetar 
i Shqipërisë, me vlerë *100 000* lekë.</t>
  </si>
  <si>
    <t>*1)* Apartament me sip. 132.4 m2, në Rr. "Elbasanit", Tiranë, me vlerë *7 
500 000* lekë, blerë nëpërmjet një kredie bankare *5 000 000* lekë dhe 
kursimeve personale *2 500 000* lekë. Zotërim 100% i Z. Marto.
*2)* Apartament me sip. 110 m2 dhe garazh me sip 15 m2, në Sarandë, 
siguruar nëpërmjet një KONTRATË SHKËMBIMI. Nuk specifikohet vlera e 
apartamentit dhe objekti që është shkëmbyer në favor të apartamentit. 
Zotërim 100% i Z. Marto.
*3)* Truall me sip. 300 m2 dhe ndërtim me sip 70 m2, në Delvinë, përfituar 
me trashëgimi. Nuk specifikohet vlera përkatëse. Zotërim 50% i Z. Marto.
*4)* Tokë bujqësore me sip. *24 000* m2, përfituar me trashëgimi. Nuk 
specifikohet zona dhe vlera përkatëse. Zotërim 50% i Z. Marto.</t>
  </si>
  <si>
    <t>*1)* Kredi bankare me vlerë *2 764 450* lekë, marrë në vitin 2000 për 
blerje apartamenti.
*2)* Likujditete të krijuara në vitin 2012 nga paga si Drejtor i Burimeve 
Njerëzore në firmën "Alumil" sh.p.k. *2 444 869* lekë.
*3)* Likujditete të krijuara në vitin 2012 nga të ardhurat si anëtar i 
Këshillit të Bashkisë Tiranë *204 000* lekë.
*4)* Likujditete të krijuara në vitin 2012 nga bashkëshortja me të ardhurat 
nga paga si financiere pranë firmës "Saluga" sh.p.k. *315 000* lekë.</t>
  </si>
  <si>
    <t>*1)* Automjet me vlerë *13 900* euro, blerë me kursimet personale. Zotërim 
100% i Z. Marto.</t>
  </si>
  <si>
    <t>*1)* Apartament me sip. 162.5 m2, me vlerë *5 000 000* lekë, blerë me të 
ardhurat nga puna në emigracion dhe aktiviteti privat i familjes dhe i Z. 
Rakipi. Pjesa në zotërim e Z. Rakipi 50%.
*2)* Dy apartamente në zonën e Plazhit, Durrës, përkatësisht me sip. 74.1 
m2 dhe verandë, vlerë *56 104* euro dhe sip. 61.9 m2 dhe verandë, vlerë *36 
326* euro. Apartamentet janë blerë me të ardhurat nga puna në emigracion 
dhe aktiviteti privat i familjes dhe i Z. Rakipi. Pjesa në zotërim e Z. 
Rakipi 50%.</t>
  </si>
  <si>
    <t>*1)* Depozitë bankare me vlerë *210 000* euro, krijuar me të ardhurat nga 
puna në emigracion, aktiviteti privat i familjes dhe i Z. Rakipi.
*2)* Gjendja cash *20 000* euro, krijuar me të ardhurat nga puna në 
emigracion dhe aktiviteti privat i familjes dhe i Z. Rakipi. Pjesa në 
zotërim e Z. Rakipi 50%.
*3)* Detyrim i lindur nga qiraja financiare për blerjen e një automjeti në 
vitin 2010 për *26 000* euro. Nuk specifikohet sa është detyrimi i mbetur 
pashlyer në kohën e deklarimit.</t>
  </si>
  <si>
    <t>*1)* Automjet me vlerë *45 220* euro, blerë në vitin 2009 me të ardhurave 
nga puna në emigracion dhe aktiviteti privat i familjes dhe i Z. Rakipi.
*2)* Automjet me vlerë *26 000* euro, në përdorim nga e bija, blerë 
nëpërmjet qirasë financiare.</t>
  </si>
  <si>
    <t>Zotërim i 30% të kuotave të firmës Nickel-Mine shpk, me vlerë *30 000* 
lekë, blerë me të ardhurat nga puna në emigracion dhe aktiviteti privat i 
familjes dhe i Z. Rakipi. Pjesa zotëruese e Z. Rakipi së këtyre kuotave 
është 100%.</t>
  </si>
  <si>
    <t>*1)* Aktivitet privat Al-Fi shpk, me ortak, kapital fillestar *100 000* 
lekë, pezulluar në kohën e deklarimit për shkak të rikonstruksionit. 
Aktiviteti është krijuar me të ardhurat nga puna në emigracion dhe 
aktiviteti privat i familjes dhe i Z. Rakipi.</t>
  </si>
  <si>
    <t>*1)* Ndërtesë me sip. 72.5 m2, vlerë *2 000 000* lekë, në Lezhë, ndërtuar 
në vitet 1998-2000 me të ardhurat ndër vite dhe nga aktiviteti privat.
*2)* Kontratë shitblerje, viti 2014, për blerje apartamenti me sip. 80.53 
m2, vlerë *2 075 000* lekë, në Shëngjin. Burimi: të ardhurat ndër vite dhe 
të ardhurat nga aktiviteti privat.
*3)* Apartament me sip. 90.7 m2, vlerë *72 560* euro, në Farkë, përfituar 
me kontratë porosie të vitit 2012. Pagesa e apartamentit është bërë nga 
shoqëria Riza-Konstruksion shpk.
*4)* Kontratë porosie, viti 2009, për blerje garazhi me vlerë *5 950* euro, 
në Kashar. Burimi: të ardhurat ndër vite dhe të ardhurat nga aktiviteti 
privat.
*5)* Apartament me sip. 163.3 m2, vlerë *130 640* euro, në Farkë, përfituar 
me kontratë porosie të vitit 2012. Pagesa e apartamentit është bërë nga 
shoqëria Riza-Konstruksion shpk.
*6)* Dy vende parkimi me vlerë *20 000* euro, në Farkë, përfituar me 
kontratë porosie të vitit 2012. Pagesa e apartamentit është bërë nga 
shoqëria Riza-Konstruksion shpk.
*7)* Kontratë premtim shitje, viti 2014, për blerje ambienti me sip. 109.5 
m2. Vlera e parapaguar e kontratës *1 800 000* lekë.
*8)* Apartament me sip. 83.3 m2, vlerë *32 000* euro, në Golem, përfituar 
me shkëmbim nga kompania Ergi shpk për punime duralumini dhe punime të 
tjera.
*9)* Akt marrëveshje, viti 2009, për përfitimin e një apartamenti me sip. 
68.35 m2, vlerë *36 909* euro nga shoqëria Teuta-Konstruksion shpk për 
furnizimin me dritare, vetrata, etj.
*10)* Kontratë sipërmarrje, viti 2009, për një apartament me sip. 123.56 
m2, vlerë *58 073* euro, në Kashar, me shoqërinë "Teuta Konstruksion" në 
këmbim të furnizimit me dritare, vetrata, grila, etj.
*11)* Godinë polifunksionale "2 kate hotel - 1 kat bar restorant dhe 1 kat 
bodrum", në Ishull Shëngjin, investim i bërë gjysmë për gjysmë me të 
vëllain. Shuma e investuar nga Z. Ndoka është *30 000* euro, financuar me 
të ardhurat ndër vite dhe të ardhurat nga aktiviteti privat.
*12)* Bashkëshortja, Znj. Ndoka, zotëron truall dhe ndërtesë me 4 kate, me 
sip. banimi 96.4 m2 dhe sip. aktiviteti 81.8 m2, me vlerë *60 000* euro, 
ndërtuar në vitin 2007, Lezhë, me të ardhurat ndër vite dhe të ardhurat nga 
aktiviteti privat.
*13)* Znj. Ndoka, kontratë porosie, viti 2012, për një apartament dhe 
garazh me sip. totale 110 m2, vlerë *5 400 000* lekë, në Shëngjin. 
Apartamenti është financuar me të ardhurat ndër vite dhe të ardhurat nga 
aktiviteti privat.</t>
  </si>
  <si>
    <t>*1)* Llogari bankare në emër të vajzave, përkatësisht në shumat 302.209 
euro dhe 657.18 euro.
*2)* Detyrim për një kredi bankare marrë në vitin 2011, me vlerë *78 000* 
euro, ende e pashlyer për vlerën *42 626* euro.
*3)* Detyrim për një kredi bankare me vlerë *1 000 000* lekë, ende e 
pashlyer për vlerën *62 485* lekë.</t>
  </si>
  <si>
    <t>*1)* Bashkëshortja, Znj. Ndoka, zotëron një mjet detar, skaf plastik, me 
vlerë *20 400* euro, blerë në vitin 2013 me të ardhurat ndër vite dhe të 
ardhurat nga aktiviteti privat.</t>
  </si>
  <si>
    <t>*1)* Bashkëshortja, Znj. Ndoka zotëron aktivitet privat si "Person fizik", 
regjistruar në vitin 2011 me objekt Bar-kafe, punime të ndryshme 
duralumini, tregtim dhe import-eksport të mallrave të ndryshëm.</t>
  </si>
  <si>
    <t>*1)* Zotërim 100% i 24 apartamenteve në Tiranë, të ndodhura kryesisht në 
zonënë e Rr. së "Kavajës" e një pjesë e vogël në Rr/ "Hajdar Hidi" dhe Rr. 
"Durrësit", blerë gjatë viteve 2001-2011, me sip. totale *2 646* m2 dhe 
vlerë *3 554 550* euro. Apartamentet janë financuar përgjithësisht nga të 
ardhurat nga biznesi dhe pjesa tjetër me të ardhurat nga qiratë dhe paga e 
Z. Veliaj.
*2)* Truall me sip. 500 m2, vlerë *500 000* euro, në zonën e Plazhit, 
Durrës, blerë në vitin 2010 me të ardhurat nga biznesi.
*3)* Truall me sip. 56 m2, me vlerë *55 834 680* lekë, në Tiranë, blerë në 
vitin 2009 me të ardhurat nga biznesi.
*4)* Truall me sip. 409 m2, me vlerë *500 000* euro, në Tiranë, blerë në 
vitin 2007 me të ardhurat nga biznesi.
*5)* Truall me sip. 75 m2, me vlerë *105 000* euro, në Tiranë, blerë në 
vitin 2007 me të ardhurat nga biznesi.
*6)* Truall me sip. 70 m2, me vlerë *100 000* euro, në Tiranë, blerë në 
vitin 2007 me të ardhurat nga biznesi.
*7)* Apartament me sip. 220 m2, me vlerë *250 000* euro, në Durrës, blerë 
në vitin 2010 me të ardhurat nga biznesi.
*8)* Godinë me sip. trualli 180 m2 dhe 106 m2, vlerë *100 000* euro, në 
Tiranë, blerë në vitin 2003 me të ardhurat nga biznesi.
*9)* Bodrum me sip. 90 m2, vlerë *36 000* euro, në Tiranë, blerë në vitin 
2003 me të ardhurat nga biznesi.
*10)* Ndërtesë 3-katëshe, me sip. 1372 m2, vlerë *580 000* euro, në Tiranë 
të ish Pallati Ali Kelmendi dhe Godina e Ish Estradës, blerë në vitin 2007 
me të ardhurat nga biznesi.
*11)* Truall me sip. 42 m2, vlerë 100 000, Tiranë, blerë në vitin 2007 me 
të ardhurat nga biznesi.</t>
  </si>
  <si>
    <t>*1)* Llogari bankare me vlerë totale *5 568 636* lekë.
*2)* Llogari bankare me vlerë totale *430 944* euro.
*3)* Llogari bankare me vlerë totale 561 dollarë. Të gjitha llogaritë 
bankare janë krijuar me të ardhurat nga paga, qiratë, shitje e pasurive të 
patundshme dhe të ardhurat nga biznesi.
*4)* Dhënë hua 6 personave fizik në vitin 2011, me vlerë totale *1 200 000* 
euro, afat shlyerje 10 vjet, nuk specifikohet norma e interesit.
*5)* Dhënë hua një personi fizik *170 000* euro dhe *3 200 000* lekë, nuk 
specifikohet afati i shlyerjes dhe norma e interesit.</t>
  </si>
  <si>
    <t>Z. Veliaj zotëron 3 automjete, blerë në vitet 2009, 2007 dhe 2003 për 
shumat *15 000* euro, *72 000* dollarë, *23 000* euro, me të ardhurat nga 
biznesi.</t>
  </si>
  <si>
    <t>*1)* Dy piktura blerë në vitin 2011 me vlera *56 000* euro dhe *30 000* 
euro, me të ardhurat nga biznesi, paga dhe qiratë.
*2)* Një pikturë të blerë në vitin 2012, me vlerë *135 000* euro, me të 
ardhurat nga biznesi, paga dhe qiratë.</t>
  </si>
  <si>
    <t>*1)* Z. Veliaj zotëron 100% të aksioneve të UFO sh.p.k. krijuar në vitin 
1994, me *200 000* lekë kapital fillestar, të financuar me të ardhurat nga 
paga.
*2)* Zotëron 100% të aksioneve të UFO Security sh.p.k., krijuar në vitin 
2007 me *4 000 000* lekë kapital fillestar, të financuar me të ardhurat nga 
biznesi, paga dhe qiratë.
*3)* Zotëron 49.3% të aksioneve në ish shoqërinë "Stamles", referuar 
vendimit të Gjykatës Durrës. Nuk specifikohet vlera e këtyre *18 499* 
aksioneve.</t>
  </si>
  <si>
    <t>*1)* Z. Veliaj deklaron se i është dhuruar truall dhe ndërtesë, me sip. 
1264 m2 (pjesa e mbetur e Godinës së Ish Estradës), në vitin 2009. Nuk 
specifikohet nëse dhuruesi është subjekt publik apo privat, si dhe vlera.
*2)* Truall me sip. totale 747 m2, te Bulevardi Zogu i Parë, Tiranë, 
përfituar me dhurim në vitin 2007. Nuk specifikohet nëse dhuruesi është 
subjekt publik apo privat dhe vlera e saj.</t>
  </si>
  <si>
    <t>Pronare me 25% e nj ap. banimi me sip. 66 m2 në Tiranë, me vërtetim 
pronësie, në vlerën *7 260 000* lekë.</t>
  </si>
  <si>
    <t>*1)* Llogari rrjedhëse për pagën në bankë të nivelit të dytë në vlerën *82 
900* lekë.
*2)* Llogari rrjedhëse në Francë në vlerën 592 euro.
*3)* Depozitë kursimesh në Francë në vlerën *1 000* euro.</t>
  </si>
  <si>
    <t>Pronare me 100% e një veture tip Mazda, me blerje në vitin 2009, në vlerën *11 
000* euro.</t>
  </si>
  <si>
    <t>*1)* Bashkëpronar me 50% i një apartamenti në Tiranë me sip. 128 m2, me 
blerje në vitin 1998, në vlerën *50 000* dollar, pjesë e regjimit martesor.
*2)* Pronar me 100% i një vend parkimi për 2 automjete në Tiranë, me 
blerje, i pahipotekuar, në vlerën *30 000* euro.
*3)* Bashkëpronar me 28/100 pjesë takuese i një toke are ullishte në Tiranë 
me sip. *22 100* m2, me blerje në vitin 2005, në vlerën *2 000 000* lekë, 
pjesë e regjimit martesor.
*4)* Bashkëpronar me 50% i një kontrate sipërmarrje për dhënie trualli për 
ndërtim, prej të cilës përfitohen 4 shtëpi, pjesë e regjimit martesor.
*5)* Bashkëpronar me 1/3 pjesë takuese i një apartamenti në Tiranë, me 
privatizim në vitin 1992.</t>
  </si>
  <si>
    <t>*1)* Para Kesh (Cash) në vlerën *7 000* euro.
*2)* Bashkëshortja zonja Luena Tolica llogari në valutë në vlerën *27 994* 
euro.
*3)*Kredi bankare në vlerën *27 000* euro marrë në vitin 2005.
*4)*Kredi konsumatore në vlerën *750 000* lekë marrë në vitin 2008.</t>
  </si>
  <si>
    <t>*1)* Pronar me 100% i një veture tip Citroen C4 Picasso, me blerje në vitin 
2009, në vlerën *24 500* euro.
*2)* Bashkëpronar me 50% i një veture tip Citroen Rosalie i vitit 1931, 
pjesë e regjimit martesor.
*3)* Bashkëshortja zonja Luena Tolica pronare me 100% e një veture tip Fiat 
500, me blerje në vitin 2008, në vlerën *14 000* euro.</t>
  </si>
  <si>
    <t>Pjesë aksionesh në vlerën *5 000* euro në Arkën e Përkthyesve të Gjeneve të 
krijuara nga kontratat e përkthimit me këshillin e Europës.</t>
  </si>
  <si>
    <t>*1)* Financime në shoqërinë farmaceutike Eurofarm dhuratë nga vjehrri.
*2)* Financime në prona e pasuri dhuratë nga prindërit.</t>
  </si>
  <si>
    <t>Pronar me 100% i një shtëpie banimi dhe bodrumi, me privatizim në vitin 
1996.</t>
  </si>
  <si>
    <t>*1)* Kursime nga paga e bashkëshortëve në vlerën *900 000* lekë.
*2)* Kredi marrë në bankë të nivelit të dytë më 23.11.2011 për blerje 
veture me principal *1 450 000* lekë, afat maturimi 24 mujor, interes 15%.
*3)* Bashkëshortja zonja Alma Gjoni Kartë Krediti në bankë të nivelit të 
dytë me limit *1 800* euro.</t>
  </si>
  <si>
    <t>Pronar me 100% i një veture tip Minicooper në vlerën *2 300 000* lekë.</t>
  </si>
  <si>
    <t>*1)* Depozitë dhe llogari rrjedhëse në bankë të nivelit të dytë në vlerën *3 
182 769* lekë.
*2)* Gjendje kesh në vlerën *550 000* lekë, kursyer për nevoja familjare.</t>
  </si>
  <si>
    <t>Para kesh dhënë hua vëllait zotit Arian Morina në vlerën *1 500 000* lekë.</t>
  </si>
  <si>
    <t>*1)* Pronar i një apartamenti banimi në Tiranë me sip. 84 m2, me blerje nga 
Enti i banesave, në vlerën *958 592* lekë.</t>
  </si>
  <si>
    <t>*1)* Kursime nga pagat në vlerën *3 000* euro.
*2)* Kursime nga pagat në vlerën *2 000* dollar.
*3)* Kursime nga pagat në vlerën *150 000* lekë.
*4)* Bashkëshortja zonja Mimoza Bimo llogari bankare në bankë të nivelit të 
dytë në vlerën *155 000* lekë, nga pagesë dëmshpërblim me vendim gjyqi.
*5)* Djali zoti Florian Bimo llogari bankare në bankë të nivelit të dytë në 
vlerën *100 000* lekë.</t>
  </si>
  <si>
    <t>*1)* Shtëpi banimi me 3 kate, sip. 532 m2, vlerë *532 000* euro, në proces 
legalizimi.
*2)* Apartament me sip. 49.3 m2, vlerë *2 451 196* lekë, në Shëngjin, 
përfituar në vitin 2012.
*3)* Apartament me sip. 69.6 m2, vlerë *3 460 512* lekë, në Shëngjin.
*4)* Shtëpi banimi me sip. 160 m2, pa vlerë të specifikuar, në Luf, Pukë, 
përfituar me trashëgimi, në proces regjistrimi. Pjesa e Z. Frroku 50%.
*5)* Shtëpi banimi me sip. 500 m2, në Kqirë, Pukë, pa vlerë të specifikuar, 
përfituar me trashëgimi, në proces regjistrimi. Pjesa e Z. Frroku 50%.
*6)* Dyqan me sip. 133 m2, vlerë *130 000* euro, në Tiranë.
*7)* Dyqan me sip. 78.66 m2, vlerë *5 734 314* lekë, në Vlorë, përfituar në 
vitin 2010.
*8)* Dyqan me sip. 56.84 m2, vlerë *4 143 636* lekë, në Vlorë, përfituar në 
vitin 2010.
*9)* Bodrum me sip. 11.6 m2, vlerë *403 726* lekë, në Shëngjin.
*10)* Bodrum me sip. 11.6 m2, vlerë *403 726* lekë, në Shëngjin.
*11)* Lokal me sip. 200 m2, pa vlerë të specifikuar, në Luf, Pukë, në 
proces regjistrimi. Pjesa e Z. Frroku 50%.
*12)* Tokë are me sip. 30 dynim, në Luf, Pukë, pa vlerë të specifikuar, e 
fituar me trashëgimi, në proces regjistrimi. Z. Frroku zotëron 50%.
*13)* Tokë are me sip. 8 dynim, në Kqirë, Pukë, pa vlerë të specifikuar, e 
fituar me trashëgimi, ne proces regjistrimi. Z. Frroku zotëron 50%.
*14)* Tokë are me sip. 4450 m2, vlerë *1 335 000* lekë, në Yzberisht, 
Tiranë. Toka është në emër të shoqërisë AML shpk, ku Z. Frroku është 
bashkëpronar 50%.
*15)* Tokë are me sip. totale 2950 m2, pa vlerë të specifikuar, në 
Yzberisht, Tiranë. Toka është në emër të shoqërisë AML shpk.
*16)* Tokë are me sip. *22 400* m2, vlerë *448 000* lekë, në Kus, Tiranë, 
në emër të shoqërisë AML shpk.
*17)* Katër pemëtore, me sip. totale *110 950* m2, vlerë totale *2 219 000* 
lekë, në Kus, Tiranë. Pemëtoret janë në emër të shoqërisë AML shpk.
*18)* Dy vreshta, me sip. totale *5 512* m2, vlerë totale *1 000 000* lekë, 
në Kashar, Tiranë. Vreshtat janë në emër të shoqërisë AML shpk.
*19)* Bashkëshortja, Znj. Froku zotëron pemëtore me sip. 950 m2, vlerë *425 
000* lekë, në Kashar, Tiranë.
*20)* Znj. Frroku zotëron truall me sip. 250 m2, vlerë *6 699 250* lekë, në 
Kashar, Tiranë.</t>
  </si>
  <si>
    <t>*1)* Dhënë hua të tretëve në vlerën *100 000* euro.
*2)* Dhënë hua të tretëve në vitin 2013, *550 000* euro.
*3)* Kredi në formën e qirasë financiare për blerje të dy automjeteve *111 
300* euro, shuma ende e pashlyer në datën e deklarimit është *65 941* euro.</t>
  </si>
  <si>
    <t>*1)* Automjet me vlerë *89 000* euro, blerë me qira financiare.
*2)* Automjet me vlerë *1 000 000* lekë, nuk specifikohet burimi i krijimit 
të pasurisë.
*3)* Automjet me vlerë *22 300* euro, blerë me qira financiare në vitin 
2011, detyrimi ende i pashlyer është *7 300* euro.</t>
  </si>
  <si>
    <t>1) Z. Frroku zotëron 30% të aksioneve të shoqërisë Xhoi-Lloto sha.
2) Z. Frroku zotëron 50% të aksioneve të shoqërisë AML shpk.</t>
  </si>
  <si>
    <t>1) Të ardhura përpara fillimit të detyrës janë deklaruar në vlerën *800 000* 
euro nga shoqëria Xhoi-Lloto sha ku deklaruesi zotëron në kohën e 
deklarimit 30% të aksioneve.
2) Të ardhura përpara fillimit të detyrës janë deklaruar në vlerën *500 000* 
euro nga shoqëria AML shpk, ku deklaruesi zotëron në kohën e deklarimit 50% 
të aksioneve.</t>
  </si>
  <si>
    <t>*1)* Subjekti deklaron se zotëron 15 apartamente banimi, me sip. totale *1 
385* m2, pa vlerë të specifikuar, në Orikum, përfituar me kontratë 
shkëmbimi me ndërtuesin. Nuk specifikohet shërbimi i ofruar nga Z. Selami 
në këmbim të tyre.
*2)* Dy apartamente banimi të bashkuara në një, me sip. totale 200 m2, 
vlerë *80 000* euro, në Vlorë, blerë në vitin 2008. Apartamentet janë 
financuar nga shitja e apartamenteve të përfituara me kontratë shkëmbimi.
*3)* Garazh me sip. 1 015.67 m2, pa vlerë të specifikuar, në Orikum, i 
përfituar me kontratë shkëmbimi me ndërtuesin në këmbim të pasurisë së 
paluajtshme, në vitin 2010.
*4)* Apartament me sip. 106.5 m2, vlerë *5 936 000* lekë, në Orikum, blerë 
në vitin 2011. Burimi: shitja e apartamenteve të përfituara me kontratë 
shkëmbimi, nuk specifikohet shërbimi i ofruar nga Z. Selami në këmbim të 
tyre.
*5)* Apartament me sip. 106.5 m2, vlerë *5 936 000* lekë, në Orikum, blerë 
në vitin 2010. Burimi: shitja e apartamenteve të përfituara me kontratë 
shkëmbimi, nuk specifikohet shërbimi i ofruar nga Z. Selami në këmbim të 
tyre.
*6)* Dyqane me sip. 225 m2, vlerë të paspecifikuar, në Orikum, përfituar me 
kontratë shkëmbimi me ndërtuesin në vitin 2013. Nuk specifikohet shërbimi i 
ofruar nga Z. Selami.
*7)* Dyqane me sip. 248 m2, vlerë të paspecifikuar, në Orikum, përfituar me 
kontratë shkëmbimi me ndërtuesin në vitin 2013. Nuk specifikohet shërbimi i 
ofruar nga Z. Selami.
*8)* Truall me sip. *2 500* m2, vlerë *50 000* euro, në Orikum, blerë në 
vitin 2012. Trualli është financuar nga shitja e apartamenteve të 
përfituara me kontratë shkëmbimi.
*9)* Tokë me sip. *54 138* m2, vlerë *9 782 736* lekë, në Zvërnec, Vlorë, 
blerë në 2011, me të ardhurat nga shitja e apartamenteve.</t>
  </si>
  <si>
    <t>Gjendja cash *100 000* euro.</t>
  </si>
  <si>
    <t>*1)* Automjet me vlerë *7 000* euro, blerë në vitin 2011 me të ardhurat nga 
shitja e apartamenteve.
*2)* Automjet me vlerë *13 000* euro, blerë në vitin 2004 me të ardhurat 
nga shitja e apartamenteve.
*3)* Bashkëshortja, automjet me vlerë *4 500* euro, blerë në vitin 2007.</t>
  </si>
  <si>
    <t>*1)* Apartament me sip. 200 m2, vlerë *400 000* euro, në Rr. "Brigada 8", 
Tiranë. Burimi: *200 000* euro është financuar nga shitja e një shtëpie 
pushimi në Qerret, pjesa tjetër me kredi.
*2)* Apartament me sip. 99.5 m2, përfituar me privatizim, pa vlerë të 
specifikuar ku Znj. Kryemadhi zotëron 1/3, marrë me trashëgimi.
*3)* Apartament me sip. 75.5 m2, pa vlerë të specifikuar, përfituar me 
trashëgimi nga i ati. Znj. Kryemadhi zotëron 1/3.
*4)* Tokë me sip. 1200 m2, vlerë *5 000 000* lekë, ku 700 m2 janë blerë me 
të ardhurat e veta në vitin 2007, ndërsa pjesa tjetër është përfituar me 
dhurim në vitin 1995 nga i vëllai.
*5)* Kontratë sipërmarrje lidhur në vitin 2008 me kompaninë Agi-Kons shpk, 
pa vlerë të specifikuar, për ndërtimin e një godine në tokën me sip. 1900 
m2.
*6)* Kontratë sipërmarrje me kompaninë Lura shpk, pa vlerë të specifikuar, 
për një apartament me sip. totale 317.33 m2.
*7)* Bashkëshorti, Z. Ilir Meta, deklaron se zotëron një apartament 2 dhoma 
e kuzhinë, përfituar nga privatizim, pjesa e Z. Meta 25%.</t>
  </si>
  <si>
    <t>*1)* Llogari bankare me vlerë *234 930* lekë.
*2)* Gjendje cash *21 000* euro.
*3)* Depozitë bankare *2 190* dollarë.
*3)* Kredi bankare me vlerë detyrimi të pashlyer *175 400* euro, marrë në 
vitin 2010 për blerje apartamenti.
*4)* Detyrimi për kartë krediti minus 600 euro.</t>
  </si>
  <si>
    <t>Automjet me vlerë *33 954* euro, blerë në vitin 2005.</t>
  </si>
  <si>
    <t>*1)* Gjendje cash *20 000* euro, krijuar nga të ardhurat ndër vite, pjesë e 
regjimit martesor.
*2)* Gjendje cash *900 000* lekë, krijuar nga të ardhurat ndër vite, pjesë 
e regjimit martesor.
*3)* Llogari bankare me vlerë *16 734* lekë, krijuar nga të ardhuart 
personale. Pjesa e Znj. Gjylameti 100%.
*4)* Detyrim overdrafti *129 537* lekë.
*5)* Z. Gjylameti, gjendja e llogarive bankare 15 euro.</t>
  </si>
  <si>
    <t>*1)* Bashkëshorti, Z. Kostika Gjylameti zotëron një automjet me vlerë *6 
500* euro, blerë në vitin 2011 me të ardhurat personale.
*2)* Z. Gjylameti zotëron automjet me vlerë *2 500* euro, blerë në vitin 
2006 me të ardhurat personale.</t>
  </si>
  <si>
    <t>Ndërtesë 3-kate, me sip. totale 210 m2, vlerë *5 000 000* lekë, në Maminas, 
ndërtuar në vitin 1993 me të ardhurat nga puna në emigracion.</t>
  </si>
  <si>
    <t>Gjendja cash *50 000* euro.</t>
  </si>
  <si>
    <t>Automjet me vlerë *35 000* euro, blerë në vitin 2011 me të ardhurat nga 
aktiviteti privat.</t>
  </si>
  <si>
    <t>*1)* Apartament 2 dhoma e kuzhinë, blerë për vlerën *1 653 672*, pjesë e 
regjimit martesor.
*2)* Bashkëshorti, Z. Billa zotëron *1 200* m2 tokë, me vlerë *5 000 000* 
lekë, blerë me të ardhurat nga puna në emigracion. Pjesa e Z. Billa 50%.
*3)* Z. Billa, zotëron godinë me sip. 150 m2, vlerë *200 000* dollarë, e 
përdorur për tregti karburanti me pakicë, krijuar me të ardhuat nga 
emigracioni.</t>
  </si>
  <si>
    <t>*1)* Depozitë bankare me vlerë *16 500 000* lekë, krijuar nga të ardhurat 
personale dhe të ardhurat nga shitja e librave.
*2)* Depozitë kursimi *20 000* euro krijuar me të ardhurat nga mësimdhënia 
në Kosovë dhe Maqedoni.
*3)* Gjendja cash *25 000* euro, krijuar me të ardhurat nga mësimdhënia në 
Kosovë dhe Maqedoni.
*4)* Z. Billa, depozitë bankare 15 euro.</t>
  </si>
  <si>
    <t>Z. Billa zotëron automjet me vlerë *16 500* euro,</t>
  </si>
  <si>
    <t>*1)* Apartament me sip. 61.05 m2, me vlerë *147 438* lekë, në Krujë 
përfituar me privatizim në vitin 1994.
*2)* Apartament me sip. 44.3 m2, vlerë *1 200 000* lekë, në Krujë, blerë në 
vitin 2011 me të ardhurat nga aktiviteti privat.
*3)* Shtesë apartamenti me sip. 31.4 m2, me vlerë ndërtimi *500 000* lekë 
në vitin 2006, rivlerësuar *1 641 066* lekë në vitin 2011. Burimi i 
pasurisë të ardhurat nga aktiviteti privat.
*4)* Apartament me sip. 64.3 m2, vlerë *1 000 000* lekë, në Rr. "Ismail 
Qemali", Tiranë, blerë në vitin 2002 me të ardhurat nga biznesi.
*5)* Shtesë kati mbi apartamentin në Rr. "Ismail Qemali", Tiranë, me sip. 
79.7 m2, vlerë *2 000 000* lekë, ndërtuar në vitin 2003 me të ardhurat nga 
biznesi. Apartamenti është legalizuar në vitin 2009.
*6)* Apartament me sip. 54.47 m2, vlerë *49 500* dollarë, në Rr. "Ferit 
Xhajko", Tiranë, blerë në vitin 2007 me të ardhurat nga biznesi.
*7)* Z. Derveni zotëron 5 apartamente me sip. totale 433.2 m2, pa vlerë të 
specifikuar, në zonën e Plazhit, Durrës, përfituar në vitin 2010 me 
kontratë me kolateral këmbimi trualli në vitin 2010.
*8)* Z. Derveni zotëron 5 lokale, me sip. totale 344 m2, pa vlerë të 
specifikuar, në zonën e Plazhit, Durrës, përfituar me kontratë me kolateral 
këmbimi trualli.
*9)* Z. Derveni zotëron 14 Garazhe, me sip. totale 303.1 m2, pa vlerë të 
specifikuar, në zonën e Plazhit, Durrës, përfituar në vitin 2010 me 
kontratë me kolateral këmbimi trualli.
*10)* Tokë are me sip. 2000 m2, vlerë *614 000* lekë, në Karpen, Kavajë, 
blerë në vitin 2006 me të ardhurat nga biznesi.
*11)* Tokë truall me sip. totale 18,8 m2, vlerë *710 000* lekë, Rr. "Mine 
Peza", Tiranë, blerë në vitin 2011 me të ardhurat nga biznesi.</t>
  </si>
  <si>
    <t>*1)* Depozitë bankare *100 000* euro, krijuar me të ardhurat nga biznesi, 
kursimet familjare ndër vite, interesat bankare, shitje apartamentesh nga 
kontratat e këmbimit, etj.
*2)* Llogari rrjedhëse *59 968* dollarë, krijuar nga të ardhurat e biznesit 
ndër vite.
*3)* Gjendje cash *80 000* euro, nuk specifikohet burimi i krijimit.
*4)* Llogari rrjedhëse *66 795* lekë, krijuar nga kursimet.
*5)* Llogari rrjedhëse *77 738* lekë, krijuar nga të ardhurat nga biznesi, 
kursime familjare ndër vite, interesat bankare.
*6)* Dhënë hua *278 000* euro një personi fizik.
*7)* Dividend i patërhequr nga kompania Derveni shpk me vlerë *22 242 400* 
lekë.
*8)* Dividend i patërhequr nga kompania Eurogroup shpk me vlerë *12 638 420* 
lekë.</t>
  </si>
  <si>
    <t>Znj. Derveni zotëron automjet me vlerë *13 600* euro, blerë në vitin 2010, 
nuk specifikohet burimi i krijimit të pasurisë.</t>
  </si>
  <si>
    <t>*1)* Aksione me vlerë *25 000 000* lekë në kompaninë Derveni shpk me 
pjesëmarrje 100%.
*2)* Aksione me vlerë *15 300 000* lekë në kompaninë 
Eurogroup-Themele-Speciale shpk me pjesëmarrje 51%.</t>
  </si>
  <si>
    <t>*1)* Bashkëpronar me 25% i një apartamenti në Tiranë me sip. 52 m2, me 
privatizim në vitin 1992, në vlerën *52 000* euro.
*2)* Bashkëpronar me 50% i një apartament banimi me sip. 112 m2, me blerje 
në vlerën *44 800* dollar.
*3)* Bashkëpronar me 50% i një apartament banimi me sip. 60m2, i porositur, 
në vlerën *27 000* euro.</t>
  </si>
  <si>
    <t>*1)* Bashkëpronar me 50% i një depozite kursimi në vlerën *7 896* euro.
*2)* Djali zoti Fisnik Ziçishti pronar me 100% i një depozite kursimi në 
vlerën *10 743* euro.
*3)* Djali zoti Fisnik Ziçishti bashkëpronar me 50% i një depozite kursimi 
në vlerën *7 896* euro.</t>
  </si>
  <si>
    <t>*1)* Pronar me 100% i një veture tip Mercedes Benz i vitit 1990, me blerje 
në vlerën *10 000* euro.
*2)* Djali zoti Fisnik Ziçishti pronar me 100% i një veture tip Opel Astra 
në vlerën *3 500* euro.</t>
  </si>
  <si>
    <t>*1)* Pronar me 100% i një are dhe trualli me sip. *14 000* m2 si dhe i një 
ndërtese me sip. *2 600* m2 në Tiranë në vlerën *4 500 000* euro.
*2)* Pronar me 100% i një are me sip. *1 800* m2 në Tiranë në vlerën *216 
000* euro.
*3)* Pronar me 100% i një are me sip. 600 m2 në Tiranë në vlerën *72 000* 
euro.
*4)* Pronar me 100% i një are me sip. *7 250* m2 në Tiranë në vlerën *362 
500* euro.
*5)* Pronar me 100% i një pylli me sip. *23 300* m2 në Tiranë në vlerën *233 
000* euro.
*6)* Pronar me 100% i një pylli me sip. *10 800* m2 në Tiranë në vlerën *108 
000* euro.
*7)* Pronar me 100% i një apartamenti me sip. 81 m2 në Kavajë në vlerën *32 
000* euro.
*8)* Pronar me 100% i një apartamenti me sip. 84 m2 në Kavajë në vlerën *32 
200* euro.
*9)* Pronar me 100% i një bodrumi me sip. 220 m2 në Tiranë në vlerën *154 
000* euro.
*10)* Pronar me 100% i një njësie me sip. 100 m2 në Tiranë në vlerën *200 
000* euro.
*11)* Pronar me 100% i një njësie me sip. 50 m2 në Tiranë në vlerën *100 
000* euro.
*12)* Pronar me 100% i një njësie me sip. 228.36 m2 në Tiranë në vlerën *270 
000* euro.
*13)* Pronar me 100% i një trualli dhe ndërtese me sip. 69 m2 në Tiranë në 
vlerën *140 000* euro.
*14)* Pronar me 100% i një apartamenti me sip. 45.86 m2 në Tiranë në vlerën *50 
000* euro.
*15)* Pronar me 100% i një apartamenti me sip. 55.6 m2 në Tiranë në vlerën *45 
000* euro.
*16)* Pronar me 100% i një apartamenti me sip. 270 m2 në Kavajë në vlerën *80 
000* euro.
*17)* Pronar me 100% i një bodrumi me sip. 16 m2 në Tiranë në vlerën *2 000* 
euro.
*18)* Pronar me 100% i një bodrumi me sip. 129 m2 në Tiranë në vlerën *10 
000* euro.
*19)* Pronar me 100% i një trualli me sip. 110 m2 në Tiranë në vlerën *2 
000* euro.
*20)* Pronar me 100% i një njësie me sip. 386 m2 në Tiranë në vlerën *772 
000* euro.
*21)* Pronar me 100% i një njësie me sip. *1 220* m2 në Tiranë në vlerën *1 
830 000* euro.
*22)* Pronar me 100% i një apartamenti me sip. 195 m2 në Tiranë në vlerën *273 
000* euro.
*23)* Pronar me 100% i një apartamenti me sip. 195 m2 në Tiranë në vlerën *273 
000* euro.
*24)* Pronar me 100% i një apartamenti me sip. 94 m2 në Tiranë në vlerën *131 
600* euro.
*25)* Pronar me 100% i një garazhdi me sip. 16.7 m2 në Tiranë në vlerën *20 
000* euro.
*26)* Pronar me 100% i një garazhdi me sip. 16.7 m2 në Tiranë në vlerën *20 
000* euro.
*27)* Pronar me 100% i një garazhdi me sip. 22.6 m2 në Tiranë në vlerën *20 
000* euro.
*28)* Pronar me 100% i një garazhdi me sip. 22.6 m2 në Tiranë në vlerën *20 
000* euro.
*29)* Pronar me 100% i një garazhdi me sip. 22.6 m2 në Tiranë në vlerën *20 
000* euro.
*30)* Pronar me 100% i një garazhdi me sip. 22.6 m2 në Tiranë në vlerën *20 
000* euro.
*31)* Pronar me 100% i një garazhdi me sip. 18.6 m2 në Tiranë në vlerën *20 
000* euro.
*32)* Pronar me 100% i një garazhdi me sip. 18.6 m2 në Tiranë në vlerën *20 
000* euro.
*33)* Pronar me 100% i një garazhdi me sip. 18.6 m2 në Tiranë në vlerën *20 
000* euro.
*34)* Pronar me 100% i një garazhdi me sip. 24.8 m2 në Tiranë në vlerën *20 
000* euro.
*35)* Pronar me 100% i një garazhdi me sip. 22.6 m2 në Tiranë në vlerën *20 
000* euro.
*36)* Pronar me 100% i një garazhdi me sip. 22.6 m2 në Tiranë në vlerën *20 
000* euro.
*37)* Pronar me 100% i një garazhdi me sip. 21.8 m2 në Tiranë në vlerën *20 
000* euro.
*38)* Pronar me 100% i një garazhdi me sip. 30 m2 në Tiranë në vlerën *20 
000* euro.
*39)* Pronar me 100% i një garazhdi me sip. 30 m2 në Tiranë në vlerën *20 
000* euro.
*40)* Pronar me 100% i një garazhdi me sip. 26.3 m2 në Tiranë në vlerën *20 
000* euro.
*41)* Pronar me 100% i një garazhdi me sip. 22.2 m2 në Tiranë në vlerën *20 
000* euro.
*42)* Pronar me 100% i një garazhdi me sip. 22.2 m2 në Tiranë në vlerën *20 
000* euro.
*43)* Pronar me 100% i një garazhdi me sip. 16.7 m2 në Tiranë në vlerën *20 
000* euro.
*44)* Pronar me 100% i një garazhdi me sip. 16.7 m2 në Tiranë në vlerën *20 
000* euro.
*45)* Pronar me 100% i një garazhdi me sip. 22.6 m2 në Tiranë në vlerën *20 
000* euro.
*46)* Pronar me 100% i një garazhdi me sip. 22.6 m2 në Tiranë në vlerën *20 
000* euro.
*47)* Pronar me 100% i një garazhdi me sip. 22.6 m2 në Tiranë në vlerën *20 
000* euro.
*48)* Pronar me 100% i një garazhdi me sip. 22.6 m2 në Tiranë në vlerën *20 
000* euro.
*49)* Pronar me 100% i një garazhdi me sip. 26.3 m2 në Tiranë në vlerën *20 
000* euro.
*50)* Pronar me 100% i një garazhdi me sip. 27.6 m2 në Tiranë në vlerën *20 
000* euro.
*51)* Pronar me 100% i një garazhdi me sip. 27.6 m2 në Tiranë në vlerën *20 
000* euro.
*52)* Pronar me 100% i një are me sip. 480 m2 në Tiranë në vlerën *200 000* 
euro.
*53)* Pronar me 50% i një trualli me sip. *1 531* m2 në Tiranë në vlerën *2 
000 000* euro.
*54)* Pronar me 100% i një are me sip. *1 150* m2 në Tiranë në vlerën *57 
500* euro.
*55)* Pronar me 100% i një are me sip. *8 200* m2 në Tiranë në vlerën *70 
000 000* lekë.
*56)* Pronar me 100% i një are me sip. *6 705* m2 në Tiranë në vlerën *335 
250* euro.
*57)* Pronar me 100% i një are me sip. *5 300* m2 në Tiranë në vlerën *265 
000* euro.
*58)* Pronar me 100% i një are me sip. 620 m2 në Tiranë në vlerën *31 000* 
euro.
*59)* Pronar me 100% i një are me sip. 200 m2 në Tiranë në vlerën *10 000* 
euro.</t>
  </si>
  <si>
    <t>*1)* Para Kesh (Cash) në vlerën *26 000* euro.
*2)* Para Kesh (Cash) në vlerën *1 450 000* lekë.
*3)* Llogari rrjedhëse në bankë të nivelit të dytë në vlerën 40 euro.
*4)* Bashkëshortja zonja Elga Kosta para Kesh (Cash) në vlerën *34 800* 
euro.
*5)* Bashkëshortja zonja Elga Kosta para Kesh (Cash) në vlerën *2 100 000* 
lekë.
*6)* Bashkëshortja zonja Elga Kosta llogari rrjedhëse në bankë të nivelit 
të dytë në vlerën *2 618* euro.
*7)* Bashkëshortja zonja Elga Kosta llogari rrjedhëse në bankë të nivelit 
të dytë në vlerën *90 977* lekë.</t>
  </si>
  <si>
    <t>Pronar me 100% i një ore Piaget në vlerën *15 000* euro.</t>
  </si>
  <si>
    <t>*1)* Aksioner me 70% i shoqërisë Lani shpk me Nipt J61902075F në Tiranë me 
pjesë takuese në vlerën *430 000 000* lekë.
*2)* Aksioner me 50% i shoqërisë Lael-2000 shpk me Nipt K01422004F në 
Tiranë me pjesë takuese në vlerën *74 000 000* lekë, pjesë e regjimit 
martesor.
*3)* Aksioner me 20% i shoqërisë Tirana-Brew-House shpk me Nipt L11516013C 
në Tiranë me pjesë takuese në vlerën *100 000* lekë.
*4)* Aksioner me 30% i shoqërisë Albanian-Beverage-Group shpk me Nipt 
K79818401U në Skrapar me pjesë takuese në vlerën *100 000* lekë.
*5)* Aksioner me 51% i shoqërisë Albanian-Investment-Group shpk me Nipt 
K22412002M në Tiranë me pjesë takuese në vlerën *100 000* lekë.
*6)* Aksioner me 0.44% i shoqërisë Banka-Societe-Generale-Albania sha me 
Nipt K41424801U në Tiranë me pjesë takuese në vlerën *6 740 900* 000 lekë.</t>
  </si>
  <si>
    <t>Bashkëpronar me pjesë takuese 50% në një shtëpi banimi me sipërfaqe 160 m2, 
përfituar me trashëgimi.</t>
  </si>
  <si>
    <t>*1)* Zotërues me 100% i një llogarie rrjedhëse në një bankë të nivelit të 
dytë në vlerën *140 000* lekë.
*2)* Bashkëshortja znj. Jorida Ganaj zotëruese me 100% e një llogarie 
rrjedhëse në një bankë të nivelit të dytë në vlerën *125 000* lekë.</t>
  </si>
  <si>
    <t>Bashkëpronar me pjesë takuese 50% i një autoveture SEAT ALTEA, blerë në 
vitin 2010 me vlerë *22 600* euro, nga kursimet dhe një kredi tashmë e 
shlyer.</t>
  </si>
  <si>
    <t>*1)* Pronar me 100% i ish Hoteli Vjetër me sip. 914 m2, aktualisht i pa 
funksionueshem.
*2)* Pronar me 100% i ish Lavanderisë me sip. 413 m2, aktualisht i 
pafunksionueshëm.
*3)* Pronar me 100% i një zdrukthëtari- lavanderie me sip. 61 m, aktualisht 
i pafunksionueshëm.
*4)* Pronar me 100% i një kapanoni me sip. 102 m2, aktualisht i 
pafunksionueshëm.
*5)* Pronar me 100% i ish stallës së lopëve me sip. 297 m2, aktualisht i 
pafunksionueshëm.
*6)* Pronar me 100% i një ish magazine me sip. 65 m2, aktualisht i 
pafunksionueshëm.
*7)* Pronar me 100% i një toke are më sip. *2 423* m2 në Lezhë.
*8)* Pronar me 100% i një bar kafe dhe restorant i vjetër, përfituar nga 
ligji i privatizimit nr. 7501, në vlerën *400 000* lekë.</t>
  </si>
  <si>
    <t>*1)* Pronar me 100% i një ap. banimi me sip. 65 m2 në Ersekë, me privatizim 
në vitin 1992.
*2)* Bashkëpronar me 50% i një shtëpie banimi dhe trualli me sip. 300 m2 si 
dhe i një toke are me sip. 7 dynym në Ersekë, me blerje, në vlerën *200 000* 
lekë.
*3)* Pronar me 100% i një magazine me sip. 200 m2 në Ersekë, me blerje në 
ankand, në vlerën *130 000* lekë.</t>
  </si>
  <si>
    <t>Depozitë bankare në bankare të nivelit të dytë në vlerën *3 200 000* lekë.</t>
  </si>
  <si>
    <t>Pronar i një makine tip Jep në vlerën *250 000* lekë.</t>
  </si>
  <si>
    <t>Para dhënë hua me mirëbesim kunatit zotit Abedin B. në vlerën *5 000 000* 
lekë</t>
  </si>
  <si>
    <t>*1)* Pronar me 100% i një shtëpie banimi me sip. 120 m2 në Gjirokastër, me 
blerje në vitin 2002, në vlerën *120 000* lekë.
*2)* Pronar me 100% i një shtëpie banimi me sip. 100 m2 në Gjirokastër, me 
blerje në vitin 2006, në vlerën *2 500 000* lekë.</t>
  </si>
  <si>
    <t>Para Kesh (Cash) në vlerën *2 500 000* lekë.</t>
  </si>
  <si>
    <t>Hua në vlerën *10 000* euro, pa afat dhe pa interes, marrë për ndërtimin e 
shtëpisë së banimit.</t>
  </si>
  <si>
    <t>*1)* Pronar i një shtëpie banimi 2 katëshe në Belsh në vlerën *7 000 000* 
lekë.
*2)* Pronar i një shtëpie banimi në Durrës në vlerën *46 800* euro.
*3)* pronar i një sipërfaqeje prej *3 700* m2 në vlerën *925 000* lekë.
*4)* Bashkëshortja zonja Edlira Kuqja pronare me 100% e një toke bujqësore 
me sip. *4 000* m2 në Shkozë në vlerën *1 060 000* lekë.</t>
  </si>
  <si>
    <t>*1)* Prindërit pronar të një banese të privatizuar, por të paregjistruar në 
vlerën *66 000* lekë.
*2)* Pronar i një toke are me sip. *4 000* m2, përfituar nga ligji nr.7501.</t>
  </si>
  <si>
    <t>*1)* Pronar me 100% i një shtëpie më sip. 365 m2, në Durrës, në vlerën *7 
200 000* lekë.
*2)* Bashkëpronar me 50% i një toke are me sip. *9 410* m2, në Durrës, në 
vlerën *18 000 000* lekë, prej të cilës *1 391* m2 janë kthyer në truall 
dhe 480 m2 në ndërtim magazine për tregti.
*3)* Bashkëpronar me 50% i një toke are me sip. *7 113* m2 në Sukth në 
vlerën *1 400 000* lekë.
*4)* Bashkëpronar me 50% i një toke are me sip. 800 m2 në Ishëm në vlerën *4 
000 000* lekë.
*5)* Pronar me 100% i një toke are me sip. *1 000* m2 në Radë, përfituar me 
ligjin 7501.</t>
  </si>
  <si>
    <t>Bashkëshortja zonja Elida Huqi pronare me 100% e një veture tip Renault 
Clio, me blerje në vitin 2007, në vlerën *300 000* lekë.</t>
  </si>
  <si>
    <t>Aksioner me 50% i shoqërisë AgroHelp-sa shpk me kapital fillestar në 
vlerën *100 000* lekë.</t>
  </si>
  <si>
    <t>*1)* Pronar me 100% i një shtëpie banimi me sip. 227 m2 në Leskovik, me 
trashëgimi.
*2)* Bashkëpronar me 33% i një toke bujqësore me sip. *5 750* m2 në 
Leskovik në vlerën *200 000* lekë, përfituar me ligjin 7501.</t>
  </si>
  <si>
    <t>Para Kesh (Cash) në vlerën *1 500 000* lekë.</t>
  </si>
  <si>
    <t>*1)* Pronar me 100% i një veture tip Mercedes Benz në vlerën *700 000* lekë.
*2)* Pronar me 100% i një veture tip Audi në vlerën *150 000* lekë.</t>
  </si>
  <si>
    <t>*1)* Pronar me 100% i një pallati me 17 hyrje në Sarandë në vlerën *900 000* 
euro.
*2)* Pronar me 100% i një apartamenti banimi në Vlorë në vlerën *110 000* 
euro.
*3)* Pronar me 100% i një toke truall në Vlorë në vlerën *430 000* euro.</t>
  </si>
  <si>
    <t>*1)* Kredi bankare marrë në vitin 2007 me principal *210 000* euro dhe 
maturim në vitin 2011.
*2)* Kredi bankare marrë në vitin 2007 me principal *7 000 000* dhe maturim 
në vitin 2013.</t>
  </si>
  <si>
    <t>Pronar me 100% i një veture tip Mercedes Benz në vlerën *35 000* euro.</t>
  </si>
  <si>
    <t>Pronar me 100% i një skafi tip Ranieri në vlerën *50 000* euro.</t>
  </si>
  <si>
    <t>*1)* Pronar me 100% i një shtëpie banimi në Roskovec në vlerën *100 000* 
euro.
*2)* Pronar me 100% i një toke are me sip. 5 dynym në Fier, përfituar me 
ligjin 7501.
*3)* Pronar me 100% i një apartamenti banimi me sip. 63 m2 në Sarandë në 
vlerën *50 000* euro.
*4)* Pronar me 100% i një lokali në Roskovec në vlerën *70 000* euro.
*5)* Pronar me 100% i një toke truall me sip. 1 ha në Tiranë në vlerën *40 
000 000* lekë.</t>
  </si>
  <si>
    <t>Pronar me 100% i një veture tip Mercedes Benz në vlerën *32 000* euro.</t>
  </si>
  <si>
    <t>*1)* Pronar me 100% i një ap. banimi me sip. 61 m2 në Rubik, me blerje në 
vitin 1997, në vlerën *350 000* lekë.
*2)* Bashkëshortja zonja Albina Vuka bashkëpronare me 50% e një shtëpie 
banimi më sip. 43 m2 në Rubik, me privatizim, në vlerën *500 000* lekë.</t>
  </si>
  <si>
    <t>*1)* Bashkëshortja zonja Albina Vuka bashkëpronare me 50% e një llogarie 
rrjedhëse në bankë të nivelit të dytë në vlerën *203 300* lekë, hapur më 
07.10.2010 me interes 5.7%.
*2)* Bashkëshortja zonja Albina Vuka kredi bankare marrë më 28.04.2011 me 
principal *1 000 000* lekë, afat shlyerje 7 vjet dhe normë interesi 17.5%.</t>
  </si>
  <si>
    <t>*1)* Pronar me 100% i një toke me sip. *13 514* m2, trashëguar nga babai.
*2)* Pronar me 100% i një toke me sip. *1 172* m2, trashëguar nga babai.
*3)* Pronar me 100% i një shtëpie banimi me sip. 130 m2, trashëguar nga 
babai.
*4)* Pronar me 100% i një magazinë me sip. 87 m2, me blerje në vitin 1991, 
në vlerën *30 000* lekë.
*5)* Pronar me 100% i një toke me sip. 800 m2, me blerje në vitin 1996, në 
vlerën *300 000* lekë.
*6)* Bashkëpronar me 50% i stallave të ushtrisë, me privatizim me ankand, 
dhe tokave rreth tyre me sip. *3 740* m2, përfituar me ligjin nr. 7501 në 
vitin 1996.
*7)* Bashkëpronar me 50% një shtëpie banimi me sip. 394 m2, me privatizim 
me ankand në vitin 1996, në vlerën *700 000* lekë.
*8)* Pronar me 100% i një shtëpie banimi me sip. 95 m2, me blerje në vitin 
1997, në vlerën *1 300 000* lekë.
*9)* Pronar me 100% i një dyqani me sip. 90 m2, me blerje në vitin 1997, në 
vlerën *1 700 000* lekë.</t>
  </si>
  <si>
    <t>Para gjendje Kesh (Cash) dhe në bankë në vlerën *1 600 000* lekë.</t>
  </si>
  <si>
    <t>Pronar me 100% i një veture tip Mercedes Benz, me blerje në vitin 2006, në 
vlerën *1 200 000* lekë.</t>
  </si>
  <si>
    <t>Pronar me 100% i bono privatizimi, blerë në vitin 1995, në vlerën *480 000* 
lekë.</t>
  </si>
  <si>
    <t>Pronar me 100% i një studio fotografike në vlerën *8 500 000* lekë.</t>
  </si>
  <si>
    <t>*1)* Pronar me 100% i një toke bujqësore me sip. 20 dynym në Mamurras, me 
blerje në vitin 2008, në vlerën *6 715 151* lekë.
*2)* Pronar me 100% i një toke bujqësore me sip. 20 dynym në Mamurras, me 
blerje në vitin 2008, në vlerën *4 200 000* lekë.
*3)* Pronar me 100% i një toke bujqësore me sip. 5 dynym në Rubik, me 
blerje në vitin 2008, në vlerën *1 205 000* lekë.
*4)* Pronar me 100% i një toke bujqësore me sip. *1 160* m2 në Mamurras, me 
blerje në vitin 2009, në vlerën *381 969* lekë.
*5)* Pronar me 100% i një shtëpie banimi me sip. 400m2 në Mamurras në 
vlerën *15 000 000* lekë.
*6)* Pronar me 100% i një pallati 5 katësh me sip. 700 m2 në Tiranë, 
ndërtuar në vitin 1998, në proces legalizimi, në vlerën *6 000 000* lekë.
*7)* Pronar me 100% i një lokali me sip. 240 m2 në Tiranë, me blerje në 
vitin 2008, në vlerën *100 000* euro.</t>
  </si>
  <si>
    <t>Para Kesh (Cash) në vlerën *100 000* euro.</t>
  </si>
  <si>
    <t>*1)* Pronar me 100% i një veture tip Mercedes Benz, me blerje në vitin 
2008, në vlerën *10 000* euro.
*2)* Pronar me 100% i një veture tip Mercedes Benz, me blerje në vitin 
2009, në vlerën *10 000* euro.
*3)* Pronar me 100% i një veture tip X5, me blerje në vitin 2009, në vlerën *22 
000* euro.
*4)* Pronar me 100% i një veture tip Opel, me blerje në vitin 2010, në 
vlerën *4 000* euro.</t>
  </si>
  <si>
    <t>*1)* Pronar me 100% i një ap. banimi me sip. 50.1 m2, me blerje në vitin 
2003, në vlerën *2 500 000* lekë.
*2)* Pronar me 100% i një toke are me sip. 5700 m2 në Durrës, me blerje në 
vitin 2008, në vlerën *1 060 200* lekë.
*3)* Bashkëpronar me 50% i një ap. banimi me sip. 96 m2, me kontratë 
sipërmarrje, në vlerën *55 000* euro.</t>
  </si>
  <si>
    <t>Kredi për blerje apartamenti me sip. 96 m2 marrë më 14.09.2010 në bankë të 
nivelit të dytë me principal *2 172 182* lekë, me interes 0%, afat shlyerje 
180 muaj dhe këst mujor *12 500* lekë.</t>
  </si>
  <si>
    <t>Pronar me 100% i një veture tip Mercedes Benz, me blerje në vitin 2006, në 
vlerën *4 000* euro.</t>
  </si>
  <si>
    <t>Bashkëpronar me 50% i një depozitë bankare hapur më 01.09.2010, dhuruar nga 
prindërit, në vlerën *600 000* lekë.</t>
  </si>
  <si>
    <t>Bashkëpronar me 25% i një ap. banimi me sip. 40 m2 në Këlcyrë, me 
privatizim në vitin 1991.</t>
  </si>
  <si>
    <t>*1)* Bashkëpronar me 50% i një veture blerë në vitin 2010 në vlerën *600 
000* lekë, pjesë e regjimit martesor.
*2)* Pronar me 100% i një veture blerë në vitin 2007 në vlerën *100 000* 
lekë.
*3)* Pronar me 100% i një veture tip Fuoristradë blerë në vitin 2010 në 
vlerën *70 000* lekë.</t>
  </si>
  <si>
    <t>*1)* Pronar me 100% i një ap. banimi me sip. 128 m2, në Tiranë, në vlerën *12 
000 000* lekë.
*2)* Pronar me 100% i një ap. banimi me sip. 90 m2, në Memaliaj, në vlerën *2 
500 000* lekë.
*3)* Pronar me 100% i një farmacie me sip. 40 m2, në Memaliaj, në vlerën *600 
000* lekë.</t>
  </si>
  <si>
    <t>Pronar i një veture në vlerën *1 200 000* lekë.</t>
  </si>
  <si>
    <t>Para Kesh (Cash) në vlerën *37 000* euro.</t>
  </si>
  <si>
    <t>Pronar i një veture tip Mercedes Benz, me blerje në vitin 2003, në vlerën *850 
000* lekë.</t>
  </si>
  <si>
    <t>Aksioner me 100% i shkollës së mesme Tre Janari në Durrës me kapital 
fillestar *100 000* lekë.</t>
  </si>
  <si>
    <t>*1)* Pronar me 100% i një shtëpie banimi me sip. 180 m2 në vlerën *6 000 
000* lekë.
*2)* Pronar me 100% i një toke bujqësore me sip. 4 ha dhe i një kullote me 
sip. 2 ha në vlerën *8 400 000* lekë.</t>
  </si>
  <si>
    <t>Pronar me 100% i një makine tip Nissan Fuoristradë në vlerën *200 000* lekë.</t>
  </si>
  <si>
    <t>*1)* Pronar me 100% i një ap. banimi me sip. 71 m2 në Cërrik, me blerje në 
vitin 2002, në vlerën *200 000* lekë.
*2)* Bashkëpronar me 25% i një ap. banimi me sip. 71 m2 në Cërrik, me 
blerje në vitin 1992-1993, në vlerën *9 000* lekë.</t>
  </si>
  <si>
    <t>*1)* Pronar me 100% i një depozite bankare në bankë të nivelit të dytë në 
vlerën *1 800 000* lekë.
*2)* Pronar me 100% i një depozite bankare në valutë në vlerën *10 000* 
euro.</t>
  </si>
  <si>
    <t>Pronar me 100% i një veture tip Mercedes Benz, me blerje, në vlerën *1 500 
000* lekë.</t>
  </si>
  <si>
    <t>*1)* Pronar me 100% i një shtëpie banimi me sip. 180 m2 në Durrës, ndërtuar 
në vitin 2000 në proçes legalizimi, në vlerën *50 000* euro.
*2)* Pronar me 100% i një toke bujqësore me sip. *6 020* m2 në Durrës, 
përfituar me ligjin 7501, në vlerën *60 200* euro.</t>
  </si>
  <si>
    <t>Pronar me 100% i një veture tip Hyundai në vlerën *13 000* euro.</t>
  </si>
  <si>
    <t>Paga dhe shpërblime bruto si Anëtar i Parlamentit në vlerën *1 883 310* 
lekë.</t>
  </si>
  <si>
    <t>*1)* pjesëmarrje në komisione *114 000* lekë.
*2)* pagesa të marra për shpenzime telefoni dhe karburanti *773 750* lekë.
*3)* pagesa të marra për dieta ditore dhe akomodim *402 417* lekë.</t>
  </si>
  <si>
    <t>*1)* paga dhe shpërblime bruto të zonjës Albina Mancka deklarohen në vlerën *6 
118 598* lekë.
*2)* zonja Albina Mancka përfiton të ardhura nga dhënia me qira e zyrave në 
vlerën *10 800* euro.</t>
  </si>
  <si>
    <t>*1)* kredi në bankë të nivelit të dytë me vlerë detyrimi të pashlyer *3 886* 
euro, disbursuar më 05.01.2012, afat shlyerje 2 vjet, principal *10 000* 
euro.
*2)* kredi ne bankë të nivelit të dytë me vlerë detyrimi të pashlyer *42 
667* euro, marrë më 24.08.2006 me principal *100 000* euro.
*3)* kredi në bankë të nivelit të dytë me vlerë detyrimi të pashlyer *14 
070* euro, marrë më 16.11.2009 me principal *24 111* euro.</t>
  </si>
  <si>
    <t>Të ardhura nga paga dhe përfitime si deputet në vlerën *1 857 184* lekë</t>
  </si>
  <si>
    <t>*1)* Bashkëshortja zonja Rovena Gjiknuri paga si drejtuese në Top Channel 
në vlerën *1 400 000* lekë.
*2)* Bashkëshortja zonja Gjiknuri të ardhura nga punë artistike dhe 
krijuese në vlerën *600 000* lekë.</t>
  </si>
  <si>
    <t>*1)* Arkëtimet nga një hua dhënë bashkëshortes në vlerën *5 500* euro.
*2)* Arkëtim në vlerën *500 000* lekë si pasojë e detyrimeve të pashlyera 
që lindin nga kontrata e shitjes së aksioneve në një shoqëri në vitin 2010.</t>
  </si>
  <si>
    <t>*1)* Kredi për shtëpi banimi në bankë të nivelit të dytë me vlerë detyrimi 
të pashlyer *2 299 000* lekë, principal *5 000 000* lekë, interes 3% në vit.
*2)* Bashkëshortja zonja Rovena Gjiknuri kredi për blerje automjeti me 
vlerë detyrimi të pashlyer *7 600* euro, principal *18 200* euro.</t>
  </si>
  <si>
    <t>Paga dhe shpërblime si deputet në vlerën *2 585 284* lekë.</t>
  </si>
  <si>
    <t>*1)* Të ardhura nga interesa depozite në valutë, 106 dollar.
*2)* Të ardhura nga interesa depozite në valutë, 441 euro.</t>
  </si>
  <si>
    <t>*1)* Bashkëshortja zonja Aida Bushati të ardhura nga mësimdhënia në vlerën *509 
578* lekë.
*2)* Bashkëshortja zonja Aida Bushati të ardhura konsulenca në vlerën *13 
312* dollar.
*3)* Bashkëshortja zonja Aida Bushati të ardhura konsulenca në vlerën *14 
900* euro.
*4)* Bashkëshortja zonja Aida Bushati të ardhura konsulenca në vlerën *756 
000* lekë.</t>
  </si>
  <si>
    <t>*1)* Shitur makinë tip Volkswagen Golf në vlerën *3 800* euro.</t>
  </si>
  <si>
    <t>Paga neto si Zv/kryeministër në vlerën *1 823 732* lekë.</t>
  </si>
  <si>
    <t>Bashkëshortja zonja Enkeleida Haxhinasto paga nga punësimi në kompaninë 
Lerenti shpk në vlerën *600 000* lekë</t>
  </si>
  <si>
    <t>*1)* Paga dhe shpërblime si deputete *2 550 434* lekë.
*2)* Paga si pedagoge e jashtme tek Fakulteti i Punëve Sociale *239 760* 
lekë.
*3)* Paga si pedagoge e jashtme tek ISSAT *66 000* lekë.
*4)* Të ardhura nga angazhimi në projektin Network East West Women *1 550* 
dollar.
*5)* Të ardhura nga angazhimi në projektin CO-plan *1 350* euro.</t>
  </si>
  <si>
    <t>*1)* Bashkëshorti zoti Marian Gjermeni paga dhe shpërblime si Drejtor i 
Operacioneve Monetare në BSH *4 156 023* lekë.
*2)* Bashkëshorti zoti Marian Gjermeni interesa neto *1 073 985* lekë nga 
investimi në Letra me Vlerë të Qeverisë.
*3)* Bashkëshorti zoti Marian Gjermeni interesa nga depozita në valutë 494 
dollar.</t>
  </si>
  <si>
    <t>Bashkëshorti zoti Marian Gjermeni detyrim të pashlyer në vlerën *3 969 025* 
për kredi për shtëpi në Bankën e Shqipërisë.</t>
  </si>
  <si>
    <t>*1)* Paga si Këshilltar i Grupit parlamentar të PS *1 030 000* lekë.</t>
  </si>
  <si>
    <t>Apartament i dhënë me qira në vlerën *900 000* lekë.</t>
  </si>
  <si>
    <t>Fitime nga Intech shpk *19 278 000* lekë.</t>
  </si>
  <si>
    <t>Bashkëshortja zonja Adriana Beqaj të ardhura nga paga në Procredit-Bank sha *4 
635 000* lekë.</t>
  </si>
  <si>
    <t>DSSH paguan detyrime ndaj subjektit Ilir Beqaj në vlerën *634 000* lekë për 
suplement për pozicionin e ish deputetit.</t>
  </si>
  <si>
    <t>2 121%</t>
  </si>
  <si>
    <t>Paga dhe shpërblime si deputet *2 203 839* lekë.</t>
  </si>
  <si>
    <t>*1)* Bashkëshortja zonja Koka paga si administratore në Wind-co shpk në 
masën *1 200 000* lekë.
*2)* bashkëshortja përfiton me kontratë sipërmarrje me firmën Jedas shpk 
3500m2 sip.ndërtimi si ambient banimi dhe 2516m2 sip. ndërtimi ambient 
shërbimesh.
*3)* bashkëshortja përfiton 97.7m2 me kontratë shkëmbimi ku jep dy 
apartamente me sip 65m2 secili, kontrata ka Nr *992 340* datë *5 10 2012*.
*4)* bashkëshortja përfiton 15.66m2 truall me një garazh duke shkëmbyer me 
shtetasin V.M 38.4m2 garazh.</t>
  </si>
  <si>
    <t>Të ardhura nga të tretët që kanë shlyer vlerën *68 651 340* lekë, detyrim 
që lindi nga kontrata me zotin A. Hackovija për shitjen e apartamente 
banimit.</t>
  </si>
  <si>
    <t>Për vitin 2012, bashkëshortët Brunilda dhe Lefter Koka deklarojnë se kanë 
përfituara me dhurim apo shkëmbim përmes tre kontratave me objekt pasuri të 
patundshme:
*1)* Kontratë shkëmbimi me Nr. *1706 617* dt *13 07 2012*. ku Brunilda Koka 
përfiton nga shkëmbimi me bashkëshortin: a- 90m2 truall dhe godinë pasuria 
Nr5 643; b- sip. 2414m2 pasuria Nr. 5 899. e ku zoti Lefter Koka përfiton 
me shkëmbim 330 m2 truall pasuria Nr *23 47* mbi të cilën është ndërtuar 
një godinë 5kate me sipërfaqe bazë 203m2.
*2)* Kontratë Dhurimi Nr *439 152* dt *18 04 2012* ku zoti Lefter Koka 
dhuron për zonjën Brunilda Koka 9235m2 tokë arë.
*3)* Kontratë Dhurimi Nr *462 164* dt *8 05 2012* ku zoti Lefter Koka 
dhuron zonjës Brunilda Koka Pasurinë me Nr *27 262* truall me sip. 2257m2 
dhe pasurinë Nr *27 263* truall me sip. 308 m2 të pajisura me leje ndërtimi.</t>
  </si>
  <si>
    <t>Paga dhe shpërblime si Kryetare e Njësisë Bashkiake Nr.1 në vlerën *736 000* 
lekë.</t>
  </si>
  <si>
    <t>Honorar si bashkautore tekstesh *130 000* lekë.</t>
  </si>
  <si>
    <t>*1)* Bashkëshorti zoti Ligor Nikolla paga Universitetin Politeknik *1 128 
000* lekë.
*2)* Bashkëshorti zoti Ligor Nikolla pagesë si pedagog i jashtëm në 
Universitetin Kristal *135 000* lekë.
*3)* Bashkëshorti zoti Ligor Nikolla pagesë si pedagog i jashtëm në 
Albanian University *321 000* lekë.
*4)* Bashkëshorti zoti Ligor Nikolla pagesë si pedagog i jashtëm në 
Fakultetin e Shkencave të Natyrës *126 000* lekë.
*5)* Bashkëshorti zoti Ligor Nikolla honorar si anëtar i Këshillit të 
Fakultetit *67 000* lekë.
*6)*Bashkëshorti zoti Ligor Nikolla pagesë ore suplementare *118 000* lekë.</t>
  </si>
  <si>
    <t>Bashkëshorti zoti Ligor Nikolla detyrim të pashlyer në vlerën *1 225 993* 
lekë për një kredi në bankë të nivelit të dytë më afat shlyerje 10 vjet e 
interes 10% në vit.</t>
  </si>
  <si>
    <t>*1)* Paga si deputete *2 732 234* lekë.
*2)* Mësimdhënie në Qendrën me Orientim Gjinor dhe Kualifikim Profesional *2 
160* euro.</t>
  </si>
  <si>
    <t>Detyrim i pashlyer në vlerën *10 248* euro për një kredi për blerje 
autoveture me principal *11 400* euro.</t>
  </si>
  <si>
    <t>Paga si Ministër dhe N Kryetar i Kuvendit *1 754 903* lekë.</t>
  </si>
  <si>
    <t>Bashkëshortja pagë si specialiste pranë Drejtorisë rajonale të punësimit *589 
600* lekë</t>
  </si>
  <si>
    <t>*1)* te ardhura nga Shitje automjeti tip Benz A Klas në vlerën *5 000* euro.</t>
  </si>
  <si>
    <t>Bashkëshortët deklarojnë pakësime të depozitave bankare për shpenzime të 
deklaruara</t>
  </si>
  <si>
    <t>Paga si Kryetar i Bashkisë, Korçë *1 094 938* lekë.</t>
  </si>
  <si>
    <t>Bonus transporti *540 000* lekë.</t>
  </si>
  <si>
    <t>*1)* Të ardhura KRT, Këshill teknik *8 550* lekë.
*2)* Pjesëmarrja në Këshillin e Qarkut Korçë *104 080* lekë.</t>
  </si>
  <si>
    <t>*1)* Interesa të depozitave të fëmijëve *4 302* lekë.
*2)* Interesa të depozitave të fëmijëve 122 dollar.
*3)* Bashkëshortja zonja Amarda Peleshi paga dhe shpërblime si drejtore në 
bankë *2 264 267* lekë.
*4)* Bashkëshortja zonja Amarda Peleshi të ardhura nga interesa bankare në 
vlerën *274 472* lekë.</t>
  </si>
  <si>
    <t>Të ardhura nga shpronësimi i tokës për interes publik, VKM 779, 
dt.24.08.2010 në *706 666* lekë.</t>
  </si>
  <si>
    <t>Paga si Deputet *2 656 634* lekë.</t>
  </si>
  <si>
    <t>*1)* Bashkëshortja zonja Fatlinda Tahiri paga si pedagoge në Fakultetin e 
Shkencave Sociale *768 000* lekë.
*2)* Bashkëshortja zonja Fatlinda Tahiri honorare *15 000* lekë.</t>
  </si>
  <si>
    <t>Detyrim i të tretëve lindur nga kontrata për shitjen e automjetit tip 
Volkswagen në vlerën *2 500* euro.</t>
  </si>
  <si>
    <t>*1)* Paga si profesor në Fakultetin Ekonomik *720 529* lekë.
*2)* Honorare nga Fakulteti Ekonomik *516 696* lekë.
*3)* Honorare nga Universiteti Marin Barleti dhe Epoka *903 533* lekë.
*4)* Honorare nga Universiteti Aleksandër Xhuvani *324 000* lekë.</t>
  </si>
  <si>
    <t>Bashkëshortja paga dhe honorare nga Instituti për Konsultime 
Ekonomike-Juridike (IKEJ) dhe Universiteti Marin Barleti *405 236* lekë.</t>
  </si>
  <si>
    <t>*1)* Detyrim i pashlyer në vlerën *52 017* euro për një kredi për shtëpi në 
bankë të nivelit të dytë më principal *89 470* euro.
*2)* Detyrim i pashlyer në vlerën *2 412* euro për kredi për shtëpi në 
Bankën e Shqipërisë me principal *4 000 000* lekë.</t>
  </si>
  <si>
    <t>Paga neto si Anëtar i Komisionit Qendror të Zgjedhjeve *1 683 835* lekë.</t>
  </si>
  <si>
    <t>*1)* Bashkëshortja zonja Qamile Osmanaj paga neto si Infermiere pranë 
Autoritetit Shëndetësor Rajonal Tiranë *352 143* lekë.
*2)* Vajza Valmira Osmanaj paga neto nga Agjencia Kombëtare e Shoqërisë së 
Informacionit *939 095* lekë.
*3)* Vajza Valmira Osmanaj paga neto si pedagoge pranë Universitetit 
Ndërkombëtar të Tiranës *108 180* lekë.
*4)* Vajza Valmira Osmanaj interesa bankare të depozitës *28 494* lekë.
*5)* Vajza Drilona Osmanaj paga neto nga Inspektoriati Qendror *902 989* 
lekë.
*6)* Djali Pajtim Osmanaj paga neto si Specialist në Agjencinë e Mbrojtjes 
së Konsumatorit *442 354* lekë.</t>
  </si>
  <si>
    <t>Detyrim i pashlyer në vlerën *36 062* euro për një kredi për blerje 
apartament banimi marrë më 26.12.2007 me principal *49 000* euro dhe afat 
shlyerje 15 vjet.</t>
  </si>
  <si>
    <t>Paga neto si Anëtar i Komisionit Qendror të Zgjedhjeve *1 395 420* lekë.</t>
  </si>
  <si>
    <t>Bonuse për shpenzime karburanti për shkak të funksionit *350 000* lekë.</t>
  </si>
  <si>
    <t>*1)* Bashkëshortja zonja Alda Zguri paga neto pranë Drejtorisë së 
Transmetimeve në RTSH *400 000* lekë.
*2)* Djali Eneo Zguri paga neto pranë Organit Kombëtar të Hetimit të 
Aksidenteve Ajrore në Ministrinë e Transporteve *400 000* lekë.</t>
  </si>
  <si>
    <t>Shlyer rregullisht kredia bankare në bankë të nivelit të dytë me principal *5 
000 000* lekë.</t>
  </si>
  <si>
    <t>*1)* Paga në Kuvendin e Shqipërisë janar- tetor 2012 në vlerën *980 104* 
lekë.
*2)* Paga si Kryetar i Komisionit Qendror të Zgjedhjeve *391 035* lekë.</t>
  </si>
  <si>
    <t>Bonuse për shpenzime transporti për shkak të funksionit *85 217* lekë.</t>
  </si>
  <si>
    <t>*1)* Paga si Anëtar i Komisionit Qendror të Zgjedhjeve *1 683 835* lekë.
*3)* Paga si pedagoge e jashtme në shkollën e lartë jopublike Justicia *220 
000* lekë.
*4)* Paga si pedagoge e jashtme në shkollën e lartë jopublike Gjon Buzuku *126 
000* lekë.</t>
  </si>
  <si>
    <t>*1)* Bonuse për shpenzime transporti për shkak të funksionit *420 000* lekë.
*2)* Të ardhura si shërbime udhëtimi e dieta 700 euro.</t>
  </si>
  <si>
    <t>*1)* Interesa në vlerën *66 127* lekë nga riinvestime në ankandin e bonove 
të thesarit të Bankës së Shqipërisë.
*2)* Interesa në vlerën *109 320* lekë nga riinvestime në ankandin e bonove 
të thesarit të Bankës së Shqipërisë.
*3)* Interesa në vlerën *68 481* lekë nga pjesëmarrje në ankandin e Bankës 
së Shqipërisë për blerje bono thesari.
*4)* Interesa në vlerën *95 525* lekë nga maturimi i një depozite ku është 
bashkëpronare me 50%.</t>
  </si>
  <si>
    <t>*1)* Të ardhura nga paga si Kryetar Bashkie *700 932* lekë.</t>
  </si>
  <si>
    <t>*1)* Bashkëshortja: të ardhura nga paga si mësuese shkolle për 8 muaj *313 
600* lekë
*2)* Bashkëshortja: të ardhura nga paga si drejtoresh çerdheje për 4 muaj *133 
026* lekë.</t>
  </si>
  <si>
    <t>*1)* Të ardhura nga paga si Kryetar Komune *720 000* lekë.</t>
  </si>
  <si>
    <t>*1)* Të ardhura si anëtar i Këshillit të Qarkut *140 000* lekë.</t>
  </si>
  <si>
    <t>*1)* Të ardhura nga pensioni i dy prindërve *312 000* lekë.</t>
  </si>
  <si>
    <t>*1)* Të ardhura nga paga dhe shpërblime si Kryetar Bashkie *1 180 000* lekë.</t>
  </si>
  <si>
    <t>*1)* Të ardhura nga dhënia me qira e ndërtesës së shkollës "Rilindja" *7 
200 000* lekë.
*2)* Të ardhura nga dhënia me qira e apartamentit në Tiranë *720 000* lekë.</t>
  </si>
  <si>
    <t>*1)* Të ardhura nga paga si Kryetar Bashkie *1 259 720* lekë.</t>
  </si>
  <si>
    <t>*1)* Të ardhura nga paga dhe bonuset për transportin dhe telefonin si 
Kryetar Bashkie *2 034 000* lekë.</t>
  </si>
  <si>
    <t>*1)* Të ardhura nga pensioni i nënës *161 874* lekë.</t>
  </si>
  <si>
    <t>*1)* Të ardhura nga paga si Kryetar Bashkie *1 192 530* lekë.</t>
  </si>
  <si>
    <t>*1)* Të ardhura nga paga si Kryetar Komune *879 609* lekë.</t>
  </si>
  <si>
    <t>*1)* Bashkëshortja: të ardhura nga paga *514 074* lekë dhe të ardhura nga 
shpërblimi vjetor *90 000* lekë.</t>
  </si>
  <si>
    <t>*1)* Marrë kredi në vlerën *1 400 000* lekë, aktivizuar në 29.05.2012, 
pjesë e regjimit martesor.</t>
  </si>
  <si>
    <t>*1)* Të ardhura nga paga si Kryetar Komune *854 000* lekë.</t>
  </si>
  <si>
    <t>*1)* Të ardhura nga paga si Kryetar Komune *588 000* lekë.</t>
  </si>
  <si>
    <t>*1)* Të ardhura si anëtar i Këshillit të Qarkut *78 000* lekë.</t>
  </si>
  <si>
    <t>*1)* Të ardhura nga dhënia me qira e një objekti të papërcaktuar për vlerën *14 
000* euro, me pjesëmarrje 50%.</t>
  </si>
  <si>
    <t>*1)* Të ardhura nga fitimet e biznesit të shoqërisë Shqiponja shpk *21 000* 
lekë, me pjesëmarrje 50%.
*2)* Të ardhura nga biznesi i gazit "Oil Taçi" *50 000* euro, me 
pjesëmarrje 50%.</t>
  </si>
  <si>
    <t>*1)* Marrje kredie në vlerën *85 000* euro për djalin, pa u specifikuar 
institucioni ku është marrë, afati i shlyerjes dhe norma e interesit.
*2)* Marrje kredie në vlerën *35 000* euro, pa u specifikuar afati i 
shlyerjes dhe norma e interesit.
*3)* Marrje kredie në vlerën *79 000* euro për biznes, pa u specifikuar 
institucioni ku është marrë kredia, afati i shlyerjes dhe norma e interesit.</t>
  </si>
  <si>
    <t>*1)* Të ardhura nga paga si Kryetar Bashkie *728 112* lekë.</t>
  </si>
  <si>
    <t>*1)* Të ardhura si anëtar i Këshillit të Qarkut *144 000* lekë.</t>
  </si>
  <si>
    <t>*1)* Bashkëshortja: të ardhura nga paga *413 700* lekë
*2)*Bashkëshortja: të ardhura nga aktiviteti privat *600 000* lekë.</t>
  </si>
  <si>
    <t>*1)* Të ardhura nga paga si Kryetar Bashkie *929 500* lekë.</t>
  </si>
  <si>
    <t>*1)* Të ardhura si anëtar i Këshillit të Qarkut *139 200* lekë.</t>
  </si>
  <si>
    <t>*1)* Të ardhura nga paga si Kryetar Bashkie *1 080 000* lekë.</t>
  </si>
  <si>
    <t>*1)* Të ardhura nga aktiviteti privat i të atit *3 000 000* lekë.</t>
  </si>
  <si>
    <t>*1)* Të ardhura nga paga si Kryetar Bashkie *1 085 920* lekë.
*2)* Të ardhura nga dietat e shërbimeve *199 752* lekë.</t>
  </si>
  <si>
    <t>*1)* Bashkëshortja: të ardhura nga paga dhe shpërblimi vjetor *302 592* 
lekë.
*2)* Të ardhura nga qiraja e dyqanit, 100% pronësi e bashkëshortes *356 400* 
lekë. Për këtë vlerë deklarohet se është paguar tatimi përkatës.</t>
  </si>
  <si>
    <t>*1)* Të ardhura nga paga si Kryetar Komune *732 446* lekë.</t>
  </si>
  <si>
    <t>*1)* Të ardhura si anëtar i Këshillit të Qarkut *141 390* lekë.</t>
  </si>
  <si>
    <t>*1)* Të ardhura nga dhënia me qira e shtëpisë së banimit në Farkë të Vogël 
për vlerën *200 000* lekë. Deklaruar pagimi i tatimit përkatës.</t>
  </si>
  <si>
    <t>*1)* Shitje të shtëpisë së banimit, të trashëguar nga prindërit, me sip 250 
m2 (truall dhe ndërtesë) për vlerën *19 000 000* lekë.</t>
  </si>
  <si>
    <t>*1)* Të ardhura nga paga si Kryetar Bashkie *904 582* lekë.</t>
  </si>
  <si>
    <t>*1)* Të ardhura nga bonusi për transportin si Kryetar Bashkie *300 000* 
lekë.
*2)* Të ardhura nga bonusi për telefonin si Kryetar Bashkie *100 000* lekë.</t>
  </si>
  <si>
    <t>*1)* Të ardhura nga interesat për *1 800* euro dhe *1 350* euro për dy 
kontrata huaje përkatësisht në vlerat *40 000* euro dhe *30 000* euro.</t>
  </si>
  <si>
    <t>*1)* Bashkëshortja: të ardhura nga paga *201 600* lekë.</t>
  </si>
  <si>
    <t>*1)* Të ardhura nga paga si Kryetar Bashkie *707 877* lekë.</t>
  </si>
  <si>
    <t>*1)* Të ardhura nga bonusi për transportin si Kryetar Bashkie *510 000* 
lekë.</t>
  </si>
  <si>
    <t>*1)* Të ardhura nga dhënia me qira të një ambienti për dyqan *180 000* lekë.
*2)* Të ardhura nga dhënia me qira e një ambienti banimi *80 000* lekë.</t>
  </si>
  <si>
    <t>*1)* Bashkëshortja: të ardhura nga paga si administratore e shoqërisë 
Agroblend shpk *1 418 400* lekë.</t>
  </si>
  <si>
    <t>*1)* Bashkëshortja ka tërhequr *917 000* lekë nga llogaria e shoqërisë 
Agroblend shpk në llogarinë vetjake dhe *5 000* euro. Motivi i tërheqjes i 
paspecifikuar.</t>
  </si>
  <si>
    <t>*1)* Të ardhura nga paga dhe shpërblimet si Kryetar Bashkie *854 000* lekë.</t>
  </si>
  <si>
    <t>*1)* Të ardhurat nga interesat në Bono Thesari *7 567 654* lekë. Të 
ardhurat janë pjesë e regjimit martesor.</t>
  </si>
  <si>
    <t>*1)* Bashkëshortja: të ardhura nga paga dhe shpërblimet *400 276* lekë.
*2)* Vajza: të ardhura nga paga dhe shpërblimet *585 000* lekë.
*3)* Djali: të ardhura nga paga *40 000* lekë.</t>
  </si>
  <si>
    <t>*1)* Të ardhura nga paga dhe shpërblimet si Kryetar Bashkie *1 024 392* 
lekë.</t>
  </si>
  <si>
    <t>*1)* Të ardhura nga aktiviteti i prodhimeve bujqësore *600 000* lekë.</t>
  </si>
  <si>
    <t>*1)* Bashkëshortja: të ardhura nga paga *490 613* lekë
*2)* Bashkëshortja : të ardhura nga aktiviteti privat i prodhimit të pijeve 
alkoolike *1 000 000* lekë.</t>
  </si>
  <si>
    <t>Nuk ka deklaruar.</t>
  </si>
  <si>
    <t>*1)* Të ardhura nga interesat *2 092* euro. Pjesa në këto të ardhura është 
në masën 50%.
*2)* Të ardhura nga interesat *103 210* lekë. Pjesa në këto të ardhura 
është 50%.</t>
  </si>
  <si>
    <t>*1)* Bashkëshortja: Të ardhura nga aktiviteti privat i zotërimit të hotel 
Alpin shpk *524 025* lekë.</t>
  </si>
  <si>
    <t>*1)* Marrje huaje në vlerën *2 350 000* lekë. Pjesa në huamarrje 50%.
*2)* Marrje huaje në vlerën *6 700* $. Pjesa në huamarrje 50%.</t>
  </si>
  <si>
    <t>*1)* Të ardhura nga paga si Kryetar Bashkie *530 000* lekë.</t>
  </si>
  <si>
    <t>*1)* Bashkëshortja: të ardhurat nga paga *222 000* lekë.</t>
  </si>
  <si>
    <t>*1)* Të ardhura nga paga si Kryetar Bashkie *812 640* lekë.</t>
  </si>
  <si>
    <t>*1)* Të ardhura nga bonuse për transportin si Kryetar Bashkie *360 000* 
lekë.
*2)* Të ardhura nga bonuse për telefonin si Kryetar Bashkie *43 200* lekë.</t>
  </si>
  <si>
    <t>*1)* Të ardhura nga interesat e depozitës së kursimit 171 $.</t>
  </si>
  <si>
    <t>*1)* Të ardhura nga qiradhënia e një apartamenti banimi *10 200* euro.</t>
  </si>
  <si>
    <t>*1)* Bashkëshortja: të ardhurat nga paga *691 078* lekë.</t>
  </si>
  <si>
    <t>*1)* Të ardhura nga paga dhe bonuse si Kryetar Bashkie *1 900 000* lekë.</t>
  </si>
  <si>
    <t>*1)* Bashkëshortja: të ardhurat nga paga *1 394 302* lekë.
*2)* Të ardhura nga dhënia me qira e një ambienti për lokal nga i ati në 
vlerën *1 200 000* lekë.</t>
  </si>
  <si>
    <t>*1)* Pagesë detyrimi në vlerën *1 080 800* lekë për një kredi bankare të 
marrë në emrin e Z. Hasan Halilaj.
*2)* Pagesë detyrimi në vlerën *3 351 200* lekë për një kredi të marrë nga 
Z. Gent Halilaj .</t>
  </si>
  <si>
    <t>*1)* Të ardhura nga paga si Kryetar Bashkie *709 488* lekë.</t>
  </si>
  <si>
    <t>*1)* Të ardhura nga bonusi për transportin si Kryetar Bashkie *30 000* lekë.</t>
  </si>
  <si>
    <t>*1)* Të ardhura si anëtar i Këshillit të Qarkut *10 000* lekë.</t>
  </si>
  <si>
    <t>*1)* Bashkëshortja: të ardhurat nga paga *439 224* lekë.</t>
  </si>
  <si>
    <t>*1)* Të ardhura nga paga dhe dieta si Kryetar Bashkie *858 992* lekë.</t>
  </si>
  <si>
    <t>*1)* Të ardhura nga bonusi për transportin si Kryetar Bashkie *585 000* 
lekë.</t>
  </si>
  <si>
    <t>*1)* Bashkëshortja: të ardhurat nga paga *514 857* lekë.</t>
  </si>
  <si>
    <t>*1)* Të ardhura nga paga dhe shpërblime si Kryetar Bashkie *934 000* lekë.
*2)* Të ardhura nga puna pranë Qendrës Shëndetësore Peqin *191 989* lekë.</t>
  </si>
  <si>
    <t>*1)* Të ardhura si anëtar i Këshillit të Qarkut *143 000* lekë.</t>
  </si>
  <si>
    <t>*1)* Bashkëshortja: të ardhurat nga paga *637 290* lekë dhe shpërblimi 
vjetor *10 000* lekë.</t>
  </si>
  <si>
    <t>*1)* Të ardhura nga paga si Kryetar Bashkie *719 000* lekë.</t>
  </si>
  <si>
    <t>*1)* Të ardhura totale nga interesat bankare *13 918* lekë. Të ardhurat 
janë pjesë e regjimit martesor.
*2)* Të ardhura nga interesa bankare *11 173* në pronësi 100% të Z. Goro.</t>
  </si>
  <si>
    <t>*1)* Bashkëshortja: të ardhurat nga paga *72 000* lekë
*2)* Bashkëshortja: të ardhura nga interesa bankare *9 892* lekë.</t>
  </si>
  <si>
    <t>*1)* Të ardhura si anëtar i Këshillit të Qarkut *141 390* lekë.
*2)* Të ardhura si anëtar i KKRT-së së komunës *67 500* lekë.</t>
  </si>
  <si>
    <t>*1)* Të ardhura nga dhënia me qira kompanisë PLUS *600 000* lekë.
*2)* Të ardhura nga dhënia me qira të një ambienti bar-restorant *12 000* 
euro.</t>
  </si>
  <si>
    <t>*1)* Të ardhura nga paga e bashkëshortes *274 400* lekë.</t>
  </si>
  <si>
    <t>*1)* Të ardhura nga paga si Kryetar Bashkie *924 000* lekë.</t>
  </si>
  <si>
    <t>*1)* Të ardhura nga paga si Kryetar Bashkie *1 608 000* lekë.
*2)* Të ardhura nga shpërblimi vjetori si Kryetar Bashkie *10 000* lekë.
*3)* Të ardhura nga dietat e shërbimeve *100 326* lekë.</t>
  </si>
  <si>
    <t>*1)* Të ardhura si anëtar i Këshillit të Qarkut *96 600* lekë.
*2)* Të ardhurat si anëtar i Këshillit të Administrimit të Universitetit 
"Luigj Gurakuqi" *56 000* lekë.</t>
  </si>
  <si>
    <t>*1)* Të ardhura nga interesa bankare *33 797* lekë nga kuotat (aksionet) e 
fituara te hotel Turizmi nga babai në vlerën *40 000* euro.</t>
  </si>
  <si>
    <t>*1)* Bashkëshortja: të ardhurat nga paga *1 001 970* lekë.</t>
  </si>
  <si>
    <t>*1)* Të ardhura të përfituara nga shit-blerja e pasurisë së paluajtshme në 
vlerën *144 500* lekë.</t>
  </si>
  <si>
    <t>*1)* Të ardhura nga paga si Kryetar Bashkie *1 699 352* lekë.</t>
  </si>
  <si>
    <t>*1)* Të ardhura të bashkëshortes nga shitja e apartamentit në Tiranë *10 
450 000* lekë. Pjesa e Znj. Basha është 25%.</t>
  </si>
  <si>
    <t>*1)* Të ardhura nga paga dhe shpërblime si Kryetar Bashkie *1 294 800* lekë.</t>
  </si>
  <si>
    <t>*1)* Bashkëshortja, Znj. Kola: të ardhurat nga paga *426 000* lekë.
*2)* Të ardhura nga paga dhe shpërblime të Z. Ranuar Kolaj *492 552* lekë.
*3)* Të ardhura nga paga dhe shpërblime të bashkëshortes së Z. Ranuar Kolaj *495 
120* lekë.</t>
  </si>
  <si>
    <t>*1)* Të ardhura si anëtar i Këshillit të Qarkut *141 600* lekë.</t>
  </si>
  <si>
    <t>*1)* Bashkëshortja: të ardhurat nga paga *104 000* lekë dhe të ardhurat nga 
ekzekutimi i vendimit gjyqësor për shpërblim page *200 000* lekë.
*2)* Të ardhura nga paga e djalit *870 540* lekë.</t>
  </si>
  <si>
    <t>*1)* Të ardhura nga paga si Kryetar Bashkie *1 339 901* lekë.</t>
  </si>
  <si>
    <t>*1)* Të ardhura nga interesat në Bono Thesari *59 000* lekë.</t>
  </si>
  <si>
    <t>*1)* Bashkëshortja, Znj. Xhuljana Sejdini: të ardhurat nga paga *473 000* 
lekë.
*2)* Z. Alion Sejdini, të ardhura nga paga *405 273* lekë.
*3)* Znj. Ina Sejdini, të ardhurat totale nga pagat *377 739* lekë.
*4)* Znj. Imelda Sejdini, të ardhurat totale nga pagat *1 781 920* lekë dhe 
të ardhurat nga investimi në Bono Thesari *57 000* lekë.</t>
  </si>
  <si>
    <t>*1)* Të ardhura nga paga si Kryetar Bashkie *809 388* lekë.</t>
  </si>
  <si>
    <t>*1)* Të ardhura nga paga si Kryetar Bashkie *825 296* lekë.
*2)* Të ardhura nga paga kalimtare si ish-deputet *784 721* lekë.</t>
  </si>
  <si>
    <t>*1)* Të ardhura nga paga e bashkëshortes *514 504* lekë.</t>
  </si>
  <si>
    <t>*1)* Të ardhura nga bonuset si Kryetar Bashkie *360 000* lekë.</t>
  </si>
  <si>
    <t>*1)* Të ardhura nga qiradhënia në bashkëpronësi e një pike karburanti në 
Librazhd, për vlerën *2 160 000* lekë. Nuk specifikohet pjesa në zotërim e 
Z. Çota.</t>
  </si>
  <si>
    <t>*1)* Të ardhurat nga aktiviteti privat i bashkëshortes *230 000* lekë.</t>
  </si>
  <si>
    <t>*1)* Të ardhura nga paga si Kryetar Bashkie *525 294* lekë.</t>
  </si>
  <si>
    <t>*1)* Të ardhura nga paga si Kryetar Bashkie *1 036 998* lekë.</t>
  </si>
  <si>
    <t>*1)* Të ardhura nga bonuse për transportin si Kryetar Bashkie *540 000* 
lekë.
*2)* Të ardhura nga bonuse për telefonin si Kryetar Bashkie *166 288* lekë.</t>
  </si>
  <si>
    <t>*1)* Të ardhura si anëtar i Këshillit të Qarkut *60 000* lekë.</t>
  </si>
  <si>
    <t>*1)* Të ardhura nga interesat bankare 372 lekë.</t>
  </si>
  <si>
    <t>*1)* Bashkëshortja: të ardhura nga paga *870 568* lekë
*2)* Bashkëshortja: të ardhura nga interesat bankare 130.3 lekë.</t>
  </si>
  <si>
    <t>*1)* Shitje apartamenti në zonën kadastrale 8603, Vlorë për vlerën *7 650 
000* lekë.</t>
  </si>
  <si>
    <t>*1)* Dhurim i 3/5 të apartamentit në zonën kadastrale 8603, pa vlerë të 
specifikuar.</t>
  </si>
  <si>
    <t>Nuk ka deklaruar</t>
  </si>
  <si>
    <t>*1)* Bashkëshortja: të ardhura nga paga *441 645* lekë.</t>
  </si>
  <si>
    <t>*1)* Të ardhura nga paga si Kryetar Bashkie *1 001 710* lekë.</t>
  </si>
  <si>
    <t>*1)* Bashkëshortja: të ardhura nga paga *297 000* lekë.</t>
  </si>
  <si>
    <t>*1)* Të ardhura nga paga si Kryetar Bashkie *1 619 000* lekë.</t>
  </si>
  <si>
    <t>Z. Tushaj vijon të jetë aksioner pranë kompanisë Beato-Anibale shpk me 51% 
të kuotave. Për vitin 2012 kompania nuk ka shpërndarë dividentë.</t>
  </si>
  <si>
    <t>*1)* Bashkëshortja: të ardhura nga aktiviteti privat *52 233* lekë.</t>
  </si>
  <si>
    <t>*1)* Të ardhurat nga aktiviteti privat i Bar-restorant Sauk *1 740 000* 
lekë.
*2)* Të ardhura nga aktiviteti privat Kalaja Petrelë Restorant *1 740 000*.</t>
  </si>
  <si>
    <t>*1)* Marrje kredie në vlerë *50 000* euro dhe *20 000* dollarë për blerje 
apartamenti. Nuk specifikohen termat e kredisë.
*2)* Marrje kredie *40 000* euro për blerje automjeti. Nuk specifikohen 
termat e kredisë.</t>
  </si>
  <si>
    <t>*1)* Të ardhura nga paga si Kryetar Bashkie *1 093 460* lekë.
*2)* Të ardhura nga mësimdhënia pranë Universitetit Bujqësor të Tiranës *162 
000* lekë.</t>
  </si>
  <si>
    <t>*1)* Të ardhura si anëtar i Këshillit të Qarkut *141 210* lekë.</t>
  </si>
  <si>
    <t>*1)* Të ardhurat nga interesat bankare *36 171* lekë.</t>
  </si>
  <si>
    <t>*1)* Bashkëshortja: të ardhura nga paga *1 068 074* lekë.</t>
  </si>
  <si>
    <t>*1)* Paga neto si Gjyqtar i Gjykatës Kushtetuese *2 525 523* lekë.
*2)* Të ardhura si ekspert në trajnimet në Shkollën e Magjistraturës *99 
800* lekë.
*3)* Të ardhura nga mësimdhënia pranë Fakultetit të Drejtësisë në 
Universitetin Europian të Tiranës *2 025* euro.
*4)* Të ardhura nga mësimdhënia pranë Fakultetit të Drejtësisë Justiniani i 
Parë *70 297* lekë.</t>
  </si>
  <si>
    <t>Dieta në vlerën 838 euro.</t>
  </si>
  <si>
    <t>Interesa në vlerën *248 327* lekë nga Bonot e Thesarit pranë Bankës së 
Shqipërisë, pjesë e regjimit martesor.</t>
  </si>
  <si>
    <t>Bashkëshortja zonja Elvira Alibali xhiro vjetore nga ushtrimi i aktivitetit 
privat të noteres *3 950 516* lekë.</t>
  </si>
  <si>
    <t>Detyrime të papaguara në vlerën *49 000* euro për një kontratë sipërmarrje 
lidhur më 28.02.2012 dhe me vlerë totale *55 000* euro për një pasuri të 
paluajtshme në Durrës me sip.99.55 m2, pjesë e regjimit martesor.</t>
  </si>
  <si>
    <t>*1)* Paga si Gjyqtar i Gjykatës së Lartë *1 680 672* lekë.
*2)* Paga si pedagog i jashtëm *36 162* lekë.</t>
  </si>
  <si>
    <t>Interesa në vlerën *320 000* lekë nga bonot e thesarit.</t>
  </si>
  <si>
    <t>Qira apartamenti në vlerën *1 000 000* lekë.</t>
  </si>
  <si>
    <t>*1)* Bashkëshortja zonja Alda Muskaj të ardhura nga paga në vlerën *1 093 
164* lekë.
*2)* Interesa *175 570* lekë nga depozitat e fëmijëve.</t>
  </si>
  <si>
    <t>Detyrime të papaguara në vlerën *7 662 197* lekë për një kredi në bankë të 
nivelit të dytë më principal *830 748* lekë.</t>
  </si>
  <si>
    <t>Paga neto si Gjyqtar i Gjykatës së Lartë *1 680 672* lekë.</t>
  </si>
  <si>
    <t>*1)* Detyrime shlyer nga të tretë për shitje apartamenti 2+1 me sip. 105.9 
m2 në Tiranë sipas kontratës së shitjes me çmim *150 000* euro.
*2)* Detyrime shlyer nga të tretë për shitje apartamenti 2+1 me sip. 91 m2 
në Tiranë sipas kontratës së shitjes me çmim *70 000* euro.</t>
  </si>
  <si>
    <t>*1)* Paga dhe shpërblime si Gjyqtar i Gjykatës së Lartë *1 680 672* lekë.
*2)* Shpërblim për mësimdhënie si pedagog i jashtëm pranë Shkollës së Lartë 
Jopublike Sevasti e Parashqevi Qirjazi *434 865* lekë.</t>
  </si>
  <si>
    <t>Bashkëshortja zonja Edlira Dollaku paga dhe shpërblime si Drejtore e Degës 
Tiranë pranë INSIG sha në vlerën *1 091 986* lekë.</t>
  </si>
  <si>
    <t>Detyrime shlyer nga të tretë në vlerën *2 016 983* lekë sipas vendimit të 
Gjykatës së Rrethit Gjyqësor Tiranë për dëmshpërblime pas zbritjeve të 
shpenzimeve gjyqësore.</t>
  </si>
  <si>
    <t>Detyrime të pashlyera në vlerën *19 000* dollar për blerje apartamenti me 
këste për 20 vjet, çmimi i blerjes *34 410* dollar.</t>
  </si>
  <si>
    <t>*1)* Paga dhe shpërblime si Anëtar i Gjykatës së Lartë *1 680 672* lekë.
*2)* Pagesa nga mësimdhënia pranë Fakultetit të Drejtësisë në Universitetin 
e Tiranës *1 668 000* lekë.
*3)* Pagesa nga mësimdhënia pranë Fakultetit të Ekonomisë në Universitetin 
e Tiranës *259 200* lekë.
*4)* Pagesa nga mësimdhënia pranë Universitetit Beder *285 000* lekë.
*5)* Pagesa nga mësimdhënia pranë Universitetit Luarasi *27 000* lekë.
*6)* Pagesa nga mësimdhënia dhe trajnimet pranë Shkollës së Magjistraturës *199 
800* lekë.
*7)* Pagesa për kontribute në aktivitetet e organizuara nga GIZ *295 500* 
lekë.
*8)* Pagesa për kontribute në aktivitetet e organizuara nga Kontrolli i 
Lartë i Shtetit *96 210* lekë.</t>
  </si>
  <si>
    <t>Pagesa nga pjesëmarrja në mbledhjet e Bordit të Qendrës së Publikimeve 
Zyrtare *23 500* lekë.</t>
  </si>
  <si>
    <t>*1)* Bashkëshortja zonja Florina Nuni paga dhe shpërblime pranë Avokatit të 
Popullit *746 322* lekë.
*2)* Bashkëshortja zonja Florina Nuni pagesa nga mësimdhënia dhe trajnimet 
pranë Shkollës së Magjistraturës *26 460* lekë.</t>
  </si>
  <si>
    <t>Detyrime shlyer nga të tretë për shitjen e veturës tip Peugeot 307 në 
vlerën *7 000* euro.</t>
  </si>
  <si>
    <t>Paga si Gjyqtare e Gjykatës së Lartë *1 680 672* lekë.</t>
  </si>
  <si>
    <t>Anëtare e Bordit Drejtues të Zyrës së Administrimit të Buxhetit Gjyqësor *36 
720* lekë.</t>
  </si>
  <si>
    <t>Interesa bankare *718 961* lekë në bankë të nivelit të dytë.</t>
  </si>
  <si>
    <t>*1)* Bashkëshorti zoti Ardian Fullani paga si Guvernator i Bankës së 
Shqipërisë *6 311 921* lekë.
*2)* Bashkëshorti zoti Ardian Fullani honorare nga Këshilli Mbikëqyrës në 
Bankën e Shqipërisë *2 737 800* lekë.
*3)* Vajza zonja Fiona Fullani paga pranë Ginger shpk *780 068* lekë.</t>
  </si>
  <si>
    <t>Detyrime të pa paguara në vlerën *9 496 239* lekë për kredi për blerje 
apartamenti në Bankën e Shqipërisë.</t>
  </si>
  <si>
    <t>Paga si Gjyqtar i Gjykatës së Apelit *1 497 921* lekë.</t>
  </si>
  <si>
    <t>*1)* Qira lokali *600 000* lekë.
*2)* Qira nga subjekti Rexha-Gold shpk *3 600* euro.
*3)* Qira zyre *840 000* lekë.</t>
  </si>
  <si>
    <t>Bashkëshortja zonja Irma Broci paga si notere *2 272 797* lekë.</t>
  </si>
  <si>
    <t>Paga dhe shpërblime si Anëtar i Gjykatës së Lartë *1 139 300* lekë.</t>
  </si>
  <si>
    <t>Anëtar i Bordit Drejtues të Zyrës së Administrimit të Buxhetit Gjyqësor *18 
360* lekë.</t>
  </si>
  <si>
    <t>Bashkëshortja zonja Valbona Zeneli paga e shpërblime pranë Raiffeisen-Bank 
sha *4 813 392* lekë.</t>
  </si>
  <si>
    <t>*1)* Detyrime të papaguara në vlerën *129 512* euro për një kredi në valutë 
në bankë të nivelit të dytë.
*2)* Detyrime të papaguara në vlerën *19 326* euro për një kredi në valutë 
në bankë të nivelit të dytë.</t>
  </si>
  <si>
    <t>Paga si Anëtar i Gjykatës së Lartë *1 680 672* lekë.</t>
  </si>
  <si>
    <t>Bashkëshortja zonja Sonila Toska paga si specialiste në Komisionin Qendror 
të Zgjedhjeve *855 647* lekë.</t>
  </si>
  <si>
    <t>*1)* Paga neto si Gjyqtare e Gjykatës së Lartë *1 680 672* lekë.
*2)* Paga si eksperte pranë Shkollës së Magjistraturës *36 000* lekë.</t>
  </si>
  <si>
    <t>*1)* Interesa bankare *36 090* lekë nga depozitë në bankë të nivelit të 
dytë.
*2)* Interesa bankare *3 330* euro nga depozitë në valutë.
*3)* Interesa bankare 135 euro nga depozitë në valutë.</t>
  </si>
  <si>
    <t>*1)* Të ardhura nga qira *66 540* euro, për të cilën është paguar tatim në 
burim.
*2)* Të ardhura nga qira *650 000* lekë, për të cilën është paguar tatim në 
burim.</t>
  </si>
  <si>
    <t>Vajza Krista Mollaj bursë nga Universiteti Shtetëror i Tiranës për 
rezultate të larta *70 119* lekë.</t>
  </si>
  <si>
    <t>*1)* Detyrime paguar nga të tretë për shitjen e një apartamenti dhe 
ambjenteve ndihmëse në Tiranë me sip. 107 m2 në vlerën *105 000* euro.
*2)* Detyrime paguar nga të tretë për shitjen e një garazhi me sip. 31.3 m2 
në Tiranë në vlerën *12 000* euro.</t>
  </si>
  <si>
    <t>*1)* Detyrime të papaguara në vlerën *105 000* euro sipas kontratës së 
sipërmarrjes më shoqërinë AI&amp;GI shpk.
*2)* Detyrime të papaguara në vlerën *6 750* euro sipas kontratës së 
sipërmarrjes me shoqërinë Agi-Kons shpk.
*3)* Detyrime të papaguara në vlerën *272 100* euro sipas kontratës së 
sipërmarrjes me shoqërinë Mane-TCI shpk.</t>
  </si>
  <si>
    <t>Paga dhe shpërblime si Anëtar i Gjykatës së Lartë *1 680 672* lekë.</t>
  </si>
  <si>
    <t>Bashkëshortja zonja Majlinda Zenelaj paga pranë Institutit të Monumenteve 
të Kulturës *158 414* lekë.</t>
  </si>
  <si>
    <t>*1)* Interesa bankare 796 euro për depozitë në bankë të nivelit të dytë.
*2)* Interesa bankare 623 euro për depozitë në bankë të nivelit të dytë.</t>
  </si>
  <si>
    <t>Bashkëshorti zoti Odhise Andrea paga si drejtor teknik pranë Kobra-Security 
shpk dhe si administrator pranë GranitImportAL shpk *1 200 000* lekë.</t>
  </si>
  <si>
    <t>*1)* Detyrime të papaguara në vlerën *16 708* euro për një kredi bankare 
për blerje apartamenti me principal *20 000* euro e afat shlyerje 20 vjet.
*2)* Detyrime të papaguara në vlerën *400 000* lekë si pjesë takuese për 
ortakun e larguar nga GranitImportAL shpk.</t>
  </si>
  <si>
    <t>Interesa bankare *917 438* lekë nga depozita në bankë të nivelit të dytë.</t>
  </si>
  <si>
    <t>Qira apartamenti në vlerën *30 000* euro me sip. 143 m2 në Tiranë.</t>
  </si>
  <si>
    <t>*1)* Bashkëshorti zoti Neshat Fana të ardhura nga puna si avokat *198 000* 
euro.
*2)* Bashkëshorti zoti Neshat Fana të ardhura nga biznesi *200 000* lekë.
*3)* Bashkëshorti zoti Neshat Fana të ardhura nga shitja e makinës *145 474* 
lekë.</t>
  </si>
  <si>
    <t>*1)* Detyrime të papaguara në vlerën *323 177* euro për kredi në bankë të 
nivelit të dytë, pjesë e regjimit martesor.
*2)* Detyrime të papaguara në vlerën *50 000* euro për një apartament me 
sip. 127 m2 dhe çmim blerje *170 000* euro.
*3)* Detyrime të papaguara nëvlerën *20 000* euro ndaj shoqërisë Zbogoja-ja 
shpk, pjesë e regjimit martesor.
*4)* Bashkëshorti zoti Neshat Fana detyrime të papaguara në vlerën *60 619* 
euro ndaj Tirana Leasing për blerje makinash.</t>
  </si>
  <si>
    <t>Paga bruto si Gjyqtar i Gjykatës së Lartë *1 680 672* lekë.</t>
  </si>
  <si>
    <t>Interesa bankare të parapaguara në vlerën 300 euro për një depozitë bankare 
në bankë të nivelit të dytë.</t>
  </si>
  <si>
    <t>Qira apartamenti e garazhi në vlerën *5 280* euro, pjesë e regjimit 
martesor.</t>
  </si>
  <si>
    <t>Bashkëshortja zonja Rilinda Selimi paga bruto si Gjyqtare e Gjykatës së 
Rrethit Gjyqësor Tiranë *153 111* lekë.</t>
  </si>
  <si>
    <t>Detyrime shlyer nga të tretë në vlerën *8 000* euro për shitjen e një 
automjeti tip Mercedes Benz, pjesë e regjimit martesor.</t>
  </si>
  <si>
    <t>Detyrime të papaguara në vlerën *1 498* euro për një kredi shtëpie me 
principal *20 000* euro, interes 5% dhe afat shlyerje 5 vjet.</t>
  </si>
  <si>
    <t>Paga dhe shpërblime neto si Gjyqtar i Gjykatës së Apelit *1 287 108* lekë.</t>
  </si>
  <si>
    <t>*1)* Bashkëshortja zonja Kristina Ndreca paga dhe shpërblime neto *1 008 
898* lekë.
*2)* Djali zoti Erion Ndreca paga dhe shpërblime neto *811 188* lekë.
*3)* Djali zoti Erind Ndreca paga dhe shpërblime neto *550 344* lekë.</t>
  </si>
  <si>
    <t>Detyrime të papaguara në vlerën *2 000 000* lekë ndaj shoqërisë 
Art-Konstruksion shpk për një apartament bazuar në një kontratë sipërmarrje.</t>
  </si>
  <si>
    <t>*1)* Paga neto si Anëtar i Gjykatës Kushtetuese *2 052 336* lekë.
*2)* Të ardhura në vlerën *2 507 000* lekë nga mësimdhënia në Fakultetin e 
Drejtësisë, Institutin Europian dhe Shkollën e Magjistraturës.
*3)* Të ardhura në vlerën *15 000* euro nga mësimdhënia në Universitetin 
Europian të Tiranës.
*4)* Të ardhura në vlerën *192 000* lekë nga mësimdhënia në Universitetin 
Luarasi.
*5)* Të ardhura në vlerën *3 320* euro nga bashkëpunimi me fondacione të 
huaja.
*6)* Të ardhura në vlerën *257 000* lekë nga bashkëpunimi me fondacione të 
huaja.
*7)* Të ardhura në vlerën *9 000* lekë për seminar në Institutin e Medias.</t>
  </si>
  <si>
    <t>Të ardhura në vlerën *60 408* lekë nga anëtarësia në Këshillin për Arsimin 
e Lartë dhe Shkencën.</t>
  </si>
  <si>
    <t>Qira ambiente zyre dhe bodrumi në vlerën *480 000* lekë, pjesë e regjimit 
martesor.</t>
  </si>
  <si>
    <t>Të ardhura nga libri Jurisprudencë dhe Praktikë Ndërkombëtare në vlerën *112 
000* lekë.</t>
  </si>
  <si>
    <t>*1)* Bashkëshortja zonja Neriman Zaganjori interesa bankare në vlerën *296 
000* lekë.
*2)* Bashkëshortja zonja Neriman Zaganjori të ardhura si notere *850 000* 
lekë.</t>
  </si>
  <si>
    <t>*1)* Paga si Inspektor i Përgjithshëm i Inspektoriatit të Lartë të 
Deklarimit dhe Kontrollit të Pasurive *1 951 603* lekë.
*2)* Paga si Prokuror i Përgjithshëm *170 107* lekë.</t>
  </si>
  <si>
    <t>Bashkëshortja zonja Ardjana Llalla (Mema) paga si mjeke në Drejtorinë 
Spitalore të Institutit të Sigurimeve të Kujdesit Shëndetësor *531 772* 
lekë.</t>
  </si>
  <si>
    <t>*1)* Interesa bankare në bankë të nivelit të dytë 867 dollar.
*2)* Interesa bankare në bankë të nivelit të dytë *1 692* euro.</t>
  </si>
  <si>
    <t>*1)* Qira ndërtese për pjesën takuese 55/100 në Tiranë në vlerën *12 000* 
euro.
*2)* Qira apartamenti me sip. 130.33 m2 në Tiranë në vlerën *12 000* euro.</t>
  </si>
  <si>
    <t>*1)* Paga si Ministër i Brendshëm dhe si President në vlerën *1 981 819* 
lekë.
*2)* Shpërblim vjetor në vlerën *9 000* lekë.</t>
  </si>
  <si>
    <t>*1)* Dieta nga udhëtimet në vlerën *1 320* dollar./
*2)* Dieta nga udhëtimet në vlerën 920 euro.</t>
  </si>
  <si>
    <t>Të ardhura nga Këshilli i Lartë i Drejtësisë në vlerën *36 000* lekë.</t>
  </si>
  <si>
    <t>*1)* Qira dyqani në Durrës në vlerën *12 000* euro.
*2)* Qira apartamenti në Durrës në vlerën *600 000* lekë.
*3)* Qira dyqani në Durrës në vlerën *720 000* lekë.</t>
  </si>
  <si>
    <t>*1)* Bashkëshortja zonja Odeta Nishani paga si drejtore pranë Ministrisë së 
Kulturës në vlerën *943 540* lekë.
*2)* Bashkëshortja zonja Odeta Nishani paga si anëtare e Këshillit 
Mbikëqyrës së PSH në vlerën *243 442* lekë.
*3)* Bashkëshortja zonja Odeta Nishani dieta nga udhëtimet në vlerën 660 
dollar.
*4)* Bashkëshortja zonja Odeta Nishani dieta nga udhëtimet në vlerën 480 
euro.
*5)* Bashkëshortja zonja Odeta Nishani shpërblim vjetor në vlerën *9 000* 
lekë.</t>
  </si>
  <si>
    <t>*1)* Detyrime të papaguara në vlerën *4 094 868* lekë për një kredi për 
apartament në bankë të nivelit të dytë.
*2)* Detyrime të papaguara në vlerën *105 927* euro për një kredi për 
shtëpi në bankë të nivelit të dytë.</t>
  </si>
  <si>
    <t>Paga si Avokat i Popullit në vlerën *1 888 928* lekë.</t>
  </si>
  <si>
    <t>*1)* Dieta shërbimi për vizita zyrtare jashtë shtetit në vlerën 880 euro.
*2)* Dieta nga TAIEX në vlerën 240 euro.</t>
  </si>
  <si>
    <t>*1)* Bashkëshortja zonja Marta Onorato paga pranë Institutit Europian të 
Tiranës në vlerën *21 862* euro.
*2)* Bashkëshortja zonja Marta Onorato paga pranë Zonja e Këshillit të Mirë 
në vlerën *4 320* euro.</t>
  </si>
  <si>
    <t>*1)* Detyrime të papaguara në vlerën *3 628 175* lekë për një kredi për 
blerje apartamenti marrë në vitin 2003 me principal *5 000 000* lekë, 
interes 3% dhe afat shlyerje 25 vjet.
*2)* Detyrime të papaguara në vlerën *359 015* lekë për një kredi në bankë 
të nivelit të dytë marrë në janar 2012 me principal *500 000* lekë.
*3)* Detyrime të papaguara në vlerën *131 800* lekë për një kredi në bankë 
të nivelit të dytë marrë në gusht 2012 me principal *197 700* lekë.
*4)* Detyrime të papaguara në vlerën *298 254* lekë për një overdraft në 
bankë të nivelit të dytë.</t>
  </si>
  <si>
    <t>*1)* Paga dhe shpërblime si Drejtor i Shërbimit Informativ të Shtetit *696 
970* lekë.
*2)* Paga neto si Zv. Ministër i Teknologjisë së Inovacionit dhe 
Komunikimit *1 425 769* lekë.
*3)* Të ardhura nga programi Brain Gain *500 000* lekë.</t>
  </si>
  <si>
    <t>Pjesëmarrje në bordin e Agjencisë së Kërkimit dhe Teknologjisë së 
Inovacionit *105 540* lekë.</t>
  </si>
  <si>
    <t>Detyrime të papaguara në vlerën *4 887 870* lekë për një kredi për blerje 
ap. banimi në Tiranë marrë në 07.09.2011 me principal *5 000 000* lekë, 
interes 4%, këst mujor *25 000* lekë dhe afat shlyerje 30 vjet.</t>
  </si>
  <si>
    <t>Paga si Gjyqtar i Gjykatës së Rrethit Gjyqësor Durrës *1 115 600* lekë.</t>
  </si>
  <si>
    <t>Pagesa si anëtar i Këshillit të Lartë të Drejtësisë në vlerën *108 000* 
lekë.</t>
  </si>
  <si>
    <t>Të ardhura nga toka bujqësore në Mallakastër në vlerën *150 000* lekë.</t>
  </si>
  <si>
    <t>Bashkëshortja zonja Rudina Hamitaj paga si mësuese pranë gjimnazit Gjergj 
Kastrioti Durrës në vlerën *432 000* lekë.</t>
  </si>
  <si>
    <t>*1)* Paga si Drejtor i Përgjithshëm i Shërbimit Legjislativ *1 523 100* 
lekë.
*2)* Të ardhura nga mësimdhënia në Shkollën e Magjistraturës në vlerën *8 
640* lekë.
*3)* Të ardhura nga mësimdhënia në Universitetin Luigj Gurakuqi, Shkodër 
në vlerën *86 400* lekë.
*4)* Të ardhura nga mësimdhënia në Shkollën e Lartë Jopublike Gjon Buzuku 
në vlerën *109 350* lekë.</t>
  </si>
  <si>
    <t>Honorare si anëtar i Bordit të Qendrës së Publikimeve Zyrtare në vlerën *23 
500* lekë.</t>
  </si>
  <si>
    <t>*1)* Të ardhura nga interesa në vlerën *52 902* lekë nga bono thesari me 
afat maturimi 1 vjeçar.
*2)* Të ardhura nga interesa në vlerën *134 140* lekë nga bono thesari me 
principal *2 000 000* lekë dhe afat maturimi 1 vjeçar.
*3)* Të ardhura nga interesa në vlerën 960 euro nga bono thesari me 
principal *19 000* euro.
*4)* Të ardhura nga interesa në vlerën 674 euro nga depozita në valutë të 
huaj.
*5)* Të ardhura nga interesa në vlerën *95 525* lekë nga depozita bankare.</t>
  </si>
  <si>
    <t>*1)* Paga si Gjyqtar i Gjykatës së Rrethit Gjyqësor Tiranë *1 002 123* lekë.
*2)* Të ardhura nga mësimdhënia pranë universitetit Justiniani I në 
vlerën *725 122* lekë.
*3)* Të ardhura nga mësimdhënia pranë universitetit Kristal në vlerën *378 
000* lekë.
*4)* Të ardhura nga mësimdhënia pranë Fakultetit Ekonomik në vlerën *133 
550* lekë.</t>
  </si>
  <si>
    <t>Pagesa për shpenzime telefonike në vlerën *120 000* lekë.</t>
  </si>
  <si>
    <t>Shpërblim nga pjesëmarrja në Mbledhjet e Këshillit të Lartë të Drejtësisë 
në vlerën *108 000* lekë.</t>
  </si>
  <si>
    <t>Të ardhura në vlerën *100 000* lekë nga pjesëmarrja në konferenca e shitje 
libra të shtëpisë botuese Morava.</t>
  </si>
  <si>
    <t>Bashkëshortja zonja Luiza Mustafaj paga neto si Drejtoreshë e gjimnazit 
Partizani në vlerën *669 672* lekë.</t>
  </si>
  <si>
    <t>Paga si Gjyqtar I Gjykatës së Apelit Vlorë *1 256 467* lekë.</t>
  </si>
  <si>
    <t>Shpërblime nga pjesëmarrja në mbledhjet e Këshillit të Lartë të Drejtësisë 
në vlerën *99 000* lekë.</t>
  </si>
  <si>
    <t>*1)* Nëna zonja Myrvete Saliko pension pleqërie në vlerën *102 360* lekë.
*2)* Nëna zonja Myrvete Saliko të ardhura nga toka bujqësore, pemëtaria dhe 
bletaria në Kolonjë në vlerën *1 100 000* lekë.
*3)* Djali zoti Ibrahim Saliko paga si Jurist I Jashtëm pranë Urdhrit të 
Infermierit të Shqipërisë në vlerën *307 500* lekë.
*4)* Djali zoti Ibrahim Saliko paga si Specialist pranë Ministrisë së 
Drejtësisë në vlerën *275 403* lekë.
*5)* Bashkëshortja zonja Lavdie Skënderi paga si e punësuar në sektorin 
privat në vlerën *42 000* lekë.</t>
  </si>
  <si>
    <t>Paga si Gjyqtar i Gjykatës së Apelit Tiranë *1 521 627* lekë.</t>
  </si>
  <si>
    <t>Qira ambienti në vlerën *16 000* euro.</t>
  </si>
  <si>
    <t>*1)* Bashkëshortja zonja Elona Çaushi paga si administratore e shoqërisë 
ADFD shpk në vlerën *5 761 160* lekë.
*2)* Bashkëshortja zonja Elona Çaushi të ardhura nga dividentë prej 
shoqërisë ADFD shpk në vlerën *30 000 000* lekë.</t>
  </si>
  <si>
    <t>*1)* Detyrime të papaguara në vlerën *68 367* euro për një kredi marrë më 
27.03.2008 me principal *90 000* euro afat maturimi 15 vjet, pjesë e 
regjimit martesor.
*2)* Detyrime të papaguara në vlerën *350 000* lekë për një overdraft në 
bankë të nivelit të dytë.
*3)* Detyrime të papaguara në vlerën *10 000* euro për një kartë krediti në 
bankë të nivelit të dytë.
*4)* Detyrime të papaguara në vlerën *19 378* euro për një kredi për blerje 
makine, pjesë e regjimit martesor.</t>
  </si>
  <si>
    <t>Paga bruto si Gjyqtar i Gjykatës së Rrethit Gjyqësor Tiranë *1 270 783* 
lekë.</t>
  </si>
  <si>
    <t>Kompensim për shpenzime telefonike *120 000* lekë.</t>
  </si>
  <si>
    <t>Shpërblime nga pjesëmarrja në mbledhjet e Këshillit të Lartë të Drejtësisë *90 
000* lekë.</t>
  </si>
  <si>
    <t>*1)* Bashkëshortja zonja Ermira Kapllani paga dhe shpërblime pranë 
Agjencisë së Kthimit dhe Kompensimit të Pronave *491 249* lekë.
*2)* Bashkëshortja zonja Ermira Kapllani të ardhura si notere pranë Dhomës 
së Noterisë Tiranë në vlerën *280 425* lekë.
*3)* Bashkëshortja zonja Ermira Kapllani të ardhura nga shitja e automjetit 
në vlerën *100 000* lekë.</t>
  </si>
  <si>
    <t>Detyrime të papaguara në vlerën *11 876* euro për një kredi për blerje 
banese.</t>
  </si>
  <si>
    <t>Paga dhe shpërblime neto pranë Agjencisë së Kthimit dhe Kompensimit të 
pronave në vlerën *942 041* lekë.</t>
  </si>
  <si>
    <t>*1)* Paga dhe shpërblime neto pranë Këshillit të Lartë të Drejtësisë në 
vlerën *846 059* lekë.
*2)* Shpërblime neto si anëtar i Këshillit Drejtues të Shkollës së 
Magjistraturës në vlerën *18 000* lekë.</t>
  </si>
  <si>
    <t>Interesa bankare në vlerën 100 euro për depozitë kursimi hapur më 
20.05.2011 në bankë të nivelit të dytë me afat maturimi 12 muaj dhe interes 
vjetor 3.5%.</t>
  </si>
  <si>
    <t>Bashkëshortja zonja Arjeta Çefa paga dhe shpërblime neto në kuvendin e 
Shqipërisë në vlerën *1 009 264* lekë.</t>
  </si>
  <si>
    <t>*1)* Detyrime të papaguara në vlerën *4 510 150* lekë për një kredi bankare 
për strehim marrë më 31.01.2011 në bankë të nivelit të dytë me principal *5 
000 000* lekë, afat maturimi 15 vjet dhe këst mujor *37 200* lekë.
*2)* Detyrime të papaguara në vlerën *93 085* euro për blerje apartament 
banimi.</t>
  </si>
  <si>
    <t>Paga dhe shpërblime neto si Gjyqtar i Gjykatës së Shkallës së Parë për 
Krime të Rënda në vlerën *1 262 686* lekë.</t>
  </si>
  <si>
    <t>Pagesa neto si anëtar i Këshillit të Lartë të Drejtësisë në vlerën *108 000* 
lekë.</t>
  </si>
  <si>
    <t>Bashkëshortja zonja Enkelejda Hallunaj paga neto si mjeke stomatologe pranë 
Autoritetit Shëndetësor Rajonal në vlerën *432 205* lekë.</t>
  </si>
  <si>
    <t>Detyrime të papaguara në vlerën *3 953 583* lekë për një kredi marrë më 
17.12.2005 në bankë të nivelit të dytë me principal *5 000 000* lekë, 
interes 3% dhe afat maturimi 300 muaj.</t>
  </si>
  <si>
    <t>*1)* Paga dhe shpërblime neto si Gjyqtar i Gjykatës së Rrethit Gjyqësor 
Lushnjë *1 111 992* lekë.
*2)* Pagesa nga angazhimi si ekspert pranë Shkollës së Magjistraturës në 
vlerën *36 000* lekë.</t>
  </si>
  <si>
    <t>Shpërblime nga pjesëmarrja në mbledhjet e Këshillit të Lartë të Drejtësisë 
në vlerën *108 000* lekë.</t>
  </si>
  <si>
    <t>Të ardhura në vlerën *300 000* lekë nga toka e përfituar nga ligji nr. 7501.</t>
  </si>
  <si>
    <t>Bashkëshortja paga dhe shpërblime neto si Inspektore në Ministrinë e 
Drejtësisë dhe të ardhura për leje lindje në vlerën *470 317* lekë.</t>
  </si>
  <si>
    <t>Detyrime të papaguara në vlerën *650 934* lekë për një kredi për 
konstruksion apartamenti marrë në Prill 2005 me principal *2 500 000* lekë, 
afat shlyerje 20 vjet dhe interes ë ndryshueshëm.</t>
  </si>
  <si>
    <t>Paga si Gjyqtar i Gjykatës së Apelit *1 542 219* lekë.</t>
  </si>
  <si>
    <t>*1)* Babai zoti Asim Haxhialushi pension në vlerën *174 552* lekë.
*2)* Nëna zonja Rahmije Haxhialushi pension në vlerën *144 000* lekë.
*3)* Bashkëshortja zonja Rozana Haxhialushi të ardhura nga shitja e veturës 
tip Fiat Punto në vlerën *500 000* lekë.</t>
  </si>
  <si>
    <t>Të ardhura nga paga si Ministër i Kulturës, Rinisë dhe Sporteve *2 098 163* 
lekë.</t>
  </si>
  <si>
    <t>Të ardhura totale nga qiradhënia *32 500* euro. Pjesa e Z. Bumçi në këto të 
ardhura është 1/3.</t>
  </si>
  <si>
    <t>Bashkëshortja, të ardhura nga paga pranë Ministrisë së Punëve të Jashtme *1 
163 300* lekë.</t>
  </si>
  <si>
    <t>Gjendja cash në fund të vitit *2 500* euro, krijuar nga të ardhurat.</t>
  </si>
  <si>
    <t>Të ardhura nga paga si Minsitër i Drejtësisë *1 822 000* lekë.</t>
  </si>
  <si>
    <t>Të ardhura si anëtar i KKT dhe KLD *100 000* lekë.</t>
  </si>
  <si>
    <t>Të ardhura nga qiradhënia *34 000* euro, për një zyre pranë Kullave 
Binjake. Shuma i përket detyrimit të prapambetur nga viti 2011 dhe 2012.</t>
  </si>
  <si>
    <t>Bashkëshortja, të ardhura nga paga *869 315* lekë.</t>
  </si>
  <si>
    <t>Të ardhura nga shitja e një apartamenti 67 m2 në qytetin e Durrësit për *65 
000* euro.</t>
  </si>
  <si>
    <t>*1)* Gjendja totale e llogarive bankare në fund të vitit *140 434* euro.
*2)* Gjendja totale e llogarive bankare në fund të vitit *2 087 906* lekë.
*3)* Pakësim pasurie *40 000* euro për një tokë truall në Lundër, anullim 
kontrate.</t>
  </si>
  <si>
    <t>*1)* Të ardhura nga paga dhe shpërblime si Ministër i Brendshëm dhe si 
anëtar i KKT-së *1 117 298* lekë.
*2)* Të ardhura nga paga dhe shpërblime të tjera financiare si Deputet i 
Kuvendit të Shqipërisë *1 794 028* lekë.</t>
  </si>
  <si>
    <t>Bashkëshortja, të ardhura nga paga si pedagoge pranë Fakultetit të 
Shkencave të Natyrës *1 043 120* lekë.</t>
  </si>
  <si>
    <t>Të ardhura nga shitja e një apartamenti me sip. 83.7 m2, vlerë *180 000* 
euro, në Rr. "Andon Zako Çajupi", në qytetin e Tiranës.</t>
  </si>
  <si>
    <t>*1)* Marrje kredie *5 000 000* lekë nga Enti Kombëtar i Banesave, me afat 
shlyerje 25 vjet.</t>
  </si>
  <si>
    <t>*1)* Të ardhura nga paga dhe shpërblime si Ministër i Mjedisit, Pyjeve dhe 
Administrimit të Ujërave *1 684 375* lekë.
*2)* Të ardhura nga dietat 880 euro dhe *2 980* dollarë.</t>
  </si>
  <si>
    <t>Bashkëshortja, të ardhura nga paga si Drejtor i Statistikës dhe IT pranë 
Ministrisë së Ekonomisë, Tregtisë dhe Energjitikës dhe si këshilltare pranë 
Albtelekom sha *2 474 054* lekë.</t>
  </si>
  <si>
    <t>*1)* Subjekti deklaron se shtesa e gjendjes cash nga të ardhurat nga paga 
është *550 000* lekë.
*2)* Gjendja e llogarisë rrjedhëse të pagës të Z. Mediu në fund të vitit 
504.31 lekë.
*3)* Gjendja e llogarisë rrjedhëse të pagës së Znj. Mediu në fund të vitit 
3 614.06 lekë.
*4)* Detyrimi ndaj kompanisë "Oto" për blerje apartamenti në Rr. 
"Elbasanit" është *21 000* dollarë.</t>
  </si>
  <si>
    <t>Të ardhura nga paga si Ministër i Bujqësisë, Ushqimit dhe Mbrojtjes së 
Konsumatorit *1 687 030* lekë.</t>
  </si>
  <si>
    <t>Të ardhura si anëtar i Bordit të Fondit të Zhvillimit të Zonave Malore *25 
000* lekë.</t>
  </si>
  <si>
    <t>*1)* Të ardhura nga interesat *305 819* lekë, përfituar nga investimi i *5 
000 000* lekëve në Bono Thesari pranë Bankës së Shqipërisë.
*2)* Të ardhura nga interesat *276 028* lekë, përfituar nga investimi i *5 
000 000* lekëve në Bono Thesari, pasqyruar në llogarinë rrjedhëse të pagës 
personale.
*3)* Të ardhura nga interesat *65 655* lekë, përfituar nga investimi në 
Bono Thesari pranë një banke të niveli të dytë në vlerën *1 050 000* lekë.
*4)* Të ardhura totale nga interesat e depozitave në dollarë, *1 081* 
dollarë.
*5)* Të ardhura totale nga interesat e depozitave në euro, *2 608* euro.
*6)* Të ardhura nga interesat nga depozita për shkollimin e vajzës 821 
dollarë.
*7)* Të ardhura totale nga interesat e depozitave në lekë *437 393* lek</t>
  </si>
  <si>
    <t>*1)* Të ardhura nga dhënia me qira e një apartamenti në Rr. "Kavajës", 
Tiranë *12 000* euro.
*2)* Të ardhura nga dhënia me qira e një apartamenti në Qerret, Kavajë *4 
000* euro.</t>
  </si>
  <si>
    <t>*1)* Bashkëshortja, Znj. Ruli, ka të ardhura nga paga si Drejtor i degës 
Tiranë pranë kompanisë së sigurimeve "Interalbanian" sh.a.*1 716 021* lekë.
*2)* Bashkëshortja ka realizuar të ardhura nga shërbimet e konsulencës *1 
200 000* lekë.</t>
  </si>
  <si>
    <t>Të ardhura nga shitja e automjetit *2 100 000* lekë. Pjesa zotëruese e Z. 
Ruli 100%.</t>
  </si>
  <si>
    <t>*1)* Gjendja në fund të vitit e investimit në Bono Thesari pranë Bankës së 
Shqipërisë *5 000 000* lekë.
*2)* Gjendja në fund të vitit e investimit në Bono Thesari pranë një banke 
të nivelit të dytë, *1 050 000* lekë.
*3)* Gjendja totale e depozitave në euro në fund të vitit *68 164* euro.
*4)* Gjendja e depozitës për shkollimin e vajzës në fund të vitit *36 822* 
dollarë.
*5)* Gjendja totale e depozitave në dollarë në fund të vitit *69 933* 
dollarë .
*6)* Gjendja totale e depozitave në lekë, në fund të vitit *6 944 286* lekë.
*7)* Gjendja e investimit në Fonde Investimi Afatgjatë *25 941* euro.
*8)* Gjendja e depozitës së investuar në vitin 2009 në Fonde të Investimit 
Afatgjatë, *20 472* euro.
*9)* Depozitë 1-vjeçare, që maturohet në vitin 2013, *10 000* euro
*10)* Gjendja cash, *5 000* euro, krijuar nga kursimet e vitit.</t>
  </si>
  <si>
    <t>Të ardhura nga paga si Ministër i Inovacionit dhe Teknologjisë së 
Informacionit dhe Komunikimit *1 691 218* lekë.</t>
  </si>
  <si>
    <t>Të ardhura nga paga si Ministër i Integrimit *1 692 517* lekë.</t>
  </si>
  <si>
    <t>Të ardhura nga interesat bankare 206.54 euro.</t>
  </si>
  <si>
    <t>Të ardhura nga dhënia me qira ambienteve Bankës Intesa San Paolo *27 000* 
euro.</t>
  </si>
  <si>
    <t>*1)* Bashkëshorti, Z. Ajazi, të ardhura nga honorare, shpërblime dhe dieta 
pranë kompanisë "Mediavision" *18 000* euro.
*2)* Të ardhura nga interesat bankare të bashkëshortit *3 746* dollarë.</t>
  </si>
  <si>
    <t>*1)* Janë shitur kuotat e zotëruara nga bashkëshorti në shoqërinë 
Mediavision.
*2)* Detyrim overdrafti i Znj. Bregu në vlerën *2 500* euro.
*3)* Gjendja e llogarisë në lekë e Znj. Bregu, në fund të vitit *715 033* 
lekë.
*4)* Gjendja e llogarisë në lekë e Z. Ajazi në fund të vitit *437 132* lekë.
*5)* Gjendja e llogarisë në euro e Z. Ajazi në fund të vitit *6 572* euro.
*6)* Depozitë në emër të Z. Ajazi me vlerë *20 234* euro, krijuar nga 
pakësimi i llogarive rrjedhëse dhe të ardhurat nga qiraja.
*7)* Gjendja e depozitave totale në dollarë e Z. Ajazi në fund të vitit *235 
800* USD.
*8)* Depozita në lekë e Z. Ajazi në fund të vitit *100 000* lekë.</t>
  </si>
  <si>
    <t>*1)* Të ardhura nga paga dhe përfitime të tjera financiare si Ministër i 
Financave *1 821 819* lekë.</t>
  </si>
  <si>
    <t>Të ardhura nga interesa bankare dhe interesat në Bono Thesari *570 000* 
lekë.</t>
  </si>
  <si>
    <t>Të ardhura nga dhënia e shtëpisë me qira *2 100 000* lekë.</t>
  </si>
  <si>
    <t>*1)* Z. E. Bode, të ardhura nga pensioni familjarë *72 054* lekë.
*2)* Z. E. Bode, të ardhura nga interesat bankare dhe interesat në Bono 
Thesari *236 197* lekë.
*3)* Znj. Adela Bode, të ardhura totale nga paga, interesa bankare dhe 
interesa nga Bono Thesari *1 154 713* lekë.
*4)* Z. Ali Vishaj, person i lidhur në deklaratë me Znj. Adela Bode, të 
ardhura nga paga *1 710 000* lekë.</t>
  </si>
  <si>
    <t>*1)* Gjendja e llogarisë rrjedhëse në fund të vitit *560 278* lekë.
*2)* Gjendja e depozitës në fund të vitit *2 032 477* lekë.
*3)* Gjendja e investimit në Bono Thesari *4 590 000* lekë.
*4)* Gjendja e investimit në Bono Thesari të Z. E. Bode *1 830 000* lekë.
*5)* Gjendja e investimit në Bono Thesari të Znj. Adela Bode *2 000 000* 
lekë.
*6)* Gjendja e llogarisë rrjedhëse e Znj. Adela Bode në fund të vitit *2 
000* euro.
*7)* Gjendja e llogarisë rrjedhëse e Znj. Adela Bode në fund të vitit *128 
536* lekë.</t>
  </si>
  <si>
    <t>*1)* Të ardhura nga paga dhe shpërblime të tjera si Kryeministër *2 247 780* 
lekë.
*2)* Të ardhura nga dieta *4 170* euro dhe *1 940* dollarë.</t>
  </si>
  <si>
    <t>*1)* Bashkëshortja, Znj. Liri Berisha, të ardhura nga pensioni *310 502* 
lekë.
*2)* Znj. Argita Malltezi, të ardhura nga shitja e një garazhi në Rr. 
"Lidhja e Prizrenit" *45 424* euro.
*3)* Znj. Argita Malltezi, të ardhura nga paga dhe shpërblime të tjera si 
pedagoge pranë Fakultetit të Drejtësisë *2 072 545* lekë.
*4)* Znj. Argita Malltezi, të ardhura nga mësimdhënia në Universitete 
private *6 164 749* lekë.
*5)* Znj. Argita Malltezi, të ardhura nga ekspertiza *11 000* euro.
*6)* Znj. Argita Malltezi, të ardhura nga "professional fee" *1 866* 
dollarë.
*7)* Znj. Argita Malltezi, të ardhura nga qira apartamenti *15 600* euro.
*8)* Znj. Argita Malltezi, të ardhura nga shitje pronë e patundshme *55 424* 
euro.
*9)* Z. Shkëlzen Berisha, të ardhura nga aktiviteti në fushën e konsulencës 
ligjore *5 668 384* lekë.</t>
  </si>
  <si>
    <t>*1)* Z. Shkëlzen Berisha, marrje kredie bankare me vlerë *55 000* euro për 
blerje automjeti, me afat shlyerje 5 vjet.</t>
  </si>
  <si>
    <t>Të ardhura nga paga si Ministër i Arsimit dhe Shkencës *1 682 645* lekë.</t>
  </si>
  <si>
    <t>Të ardhura nga honorare nga Komisioni i Titujve, Këshilli i Arsmit të 
Lartë, Bordi i Agjensisë së Shkencës *261 402* lekë.</t>
  </si>
  <si>
    <t>*1)* Bashkëshortja, Znj. N. Tafaj, të ardhura nga paga si edukatore pranë 
DAR, Tiranë, *579 380* lekë.
*2)* Znj. B. Tafaj, të ardhura nga paga si punonjëse biblioteke pranë 
Universitetit Politeknik, *555 358* lekë.
*3)* Znj. E. Kasneci, të ardhura nga puna si kërkuese shkencore pranë 
Universitetit Tubinges, Gjermani, *8 042* euro.
*4)* Znj. E. Kasneci, të ardhura nga leja e lindjes *14 250* euro.
*5)* Znj. E. Kasneci, të ardhura nga apartamenti i dhënë me qira në 
Sindelfingen *6 615* euro.</t>
  </si>
  <si>
    <t>*1)* Të ardhura nga paga dhe shpërblime si Drejtor i Kabinetit të 
Kryeministrit *2 163 000* lekë.
*2)* Të ardhura nga dieta dhe honorare *1 680* euro.</t>
  </si>
  <si>
    <t>Të ardhura nga interesat bankare *206 000* lekë.</t>
  </si>
  <si>
    <t>*1)* Bashkëshortja, Znj. Bylykbashi, të ardhura nga ushtrimi i profesionit 
të lirë si mjeke stomatologe *600 000* lekë.
*2)* Znj. Bylykbashi, të ardhura nga qiradhënia *243 000* lekë.</t>
  </si>
  <si>
    <t>Shlyerje huaje nga të tretë. Nuk specifikohet shuma përkatëse.</t>
  </si>
  <si>
    <t>*1)* Depozitë bankare *41 600* euro.
*2)* Depozitë bankare *1 000 000* lekë.
*3)* Llogari rrjedhëse *12 000* euro, burimi, shlyerja e borxhit nga 
persona të tretë.
*4)* Llogari rrjedhëse *1 140 000* lekë.
*5)* Gjendja cash *200 000* lekë.
*6)* Gjendja cash *1 000* euro.
*7)* Depozitë me afat *1 000 000* lekë.
*8)* Llogari rrjedhëse *606 000* lekë.
*9)* Depozitë bankare *20 000* euro.
*10)* Llogari rrjedhëse *126 000* lekë.
*11)* Depozitë bankare *1 000 000* lekë.</t>
  </si>
  <si>
    <t>Të ardhurat nga paga si Deputet i Kuvendit të Shqipërisë *2 604 434* lekë.</t>
  </si>
  <si>
    <t>Të ardhura nga paga si Deputet i Kuvendit të Shqipërisë *3 050 051* lekë.</t>
  </si>
  <si>
    <t>Të ardhura nga paga dhe përfitime të tjera financiare si Deputet i Kuvendit 
të Shqipërisë *2 590 034* lekë.</t>
  </si>
  <si>
    <t>Bashkëshortja, të ardhura nga paga *590 000* lekë.</t>
  </si>
  <si>
    <t>Të ardhura nga paga dhe shpërblime si Ministër i Mbrojtjes *1 691 031* lekë.</t>
  </si>
  <si>
    <t>*1)* Bashkëshortja, Znj. Imami, të ardhura nga paga si pedagoge pranë 
Akademisë së Arteve të Bukura *1 079 763* lekë.
*2)* Znj. Imami, të ardhura nga shitja e pikturave si ushtrim i profesionit 
të lirë *5 400* euro.
*3)* Znj. Imami, të ardhura nga interesa bankare *60 852* lekë.
*4)* Znj. Imami, ka përiftuar një apartamenti me sip. 55.2 m2 si dhuratë 
nga prindërit dhe vëllai. Nuk specifikohet vlera e apartamentit, i cili 
është privatizuar nga prindërit në vitin 1992.</t>
  </si>
  <si>
    <t>*1)* Të ardhurat nga paga si Kryetar i Komisionit Qendror të Zgjedhjeve 
deri në dt. 16.10.2012, *1 593 911* lekë.
*2)* Të ardhurat nga paga dhe shpërblime si Zv. Ministër i Brendshëm nga 
dt. 16.10.2012 deri në 31.12.2012, *285 170* lekë.</t>
  </si>
  <si>
    <t>*1)* Të ardhura nga bonuse për transportin si Kryetar i Komisionit Qendror 
të Zgjedhjeve *334 783* lekë.
*2)* Të ardhura nga bonuse për transportin si Zv. Ministër i Brendshëm *52 
500* lekë.</t>
  </si>
  <si>
    <t>*1)* Të ardhura nga qiradhënia *30 000* dollarë.</t>
  </si>
  <si>
    <t>Marrje huaje nga persona të tretë *60 000* euro.</t>
  </si>
  <si>
    <t>*1)* Të ardhurat nga paga dhe përfitime të tjera financiare si Zv. Kryetar 
i Kuvendit të Shqipërisë *3 280 131* lekë.
*2)* Të ardhura nga mësimdhënia në Universitetin "Aleksandër Xhuvani" *137 
610* lekë.</t>
  </si>
  <si>
    <t>*1)* Të ardhura nga qiradhënia me kompaninë "AMC" për vendosje të antenës 
në tarracën e banesës së Z. Turku, *450 000* lekë.
*2)* Të ardhura nga qiradhënia me shoqërinë "Top Start" *540 000* lekë.
*3)* Të ardhura nga qiradhënia e zyrave *360 000* lekë.
*4)* Të ardhura nga dhënia me qira persona fizikë *100 000* lekë.</t>
  </si>
  <si>
    <t>*1)* Bashkëshortja, Znj. Turku, të ardhura nga paga si specialiste e 
Drejtorisë së Marrëdhenieve me Jashtë, pranë Universitetit Aleksandër 
Xhuvani *606 564* lekë.
*2)* Znj. Turku, të ardhura nga mësimdhënia në Universitetin "Aleksandër 
Xhuvani" *81 000* lekë.
*3)* Znj. Turku, të ardhura nga shpërblimi në fund të vitit *10 000* lekë.</t>
  </si>
  <si>
    <t>Të ardhura nga shitja e një prone të dhuruar nga i ati i Z. Turku, me sip. 
39.6 m2, vlerë *2 917 728* lekë, në Elbasan.</t>
  </si>
  <si>
    <t>Të ardhura nga paga si Deputet i Kuvendit të Shqipërisë *2 710 000* lekë.</t>
  </si>
  <si>
    <t>Të ardhura nga paga dhe përfitime të tjera financiare si Deputet i Kuvendit 
të Shqipërisë *3 176 051* lekë.</t>
  </si>
  <si>
    <t>Bashkëshortja, të ardhura nga paga *391 284* lekë.</t>
  </si>
  <si>
    <t>Të ardhura nga paga dhe përfitime të tjera financiare si Deputet i Kuvendit 
të Shqipërisë *2 689 687* lekë.</t>
  </si>
  <si>
    <t>Të ardhura nga paga dhe përfitime të tjera financiare si Deputet i Kuvendit 
të Shqipërisë *2 586 434* lekë.</t>
  </si>
  <si>
    <t>*1)* Të ardhura nga qiradhënia me kompaninë "AMC" *787 971* lekë.
*2)* Të ardhura nga qiradhënia me kompaninë "Vodafon" *38 402* euro.</t>
  </si>
  <si>
    <t>Të ardhura nga paga si Kryetar i Komunës Thumanë *728 112* lekë.</t>
  </si>
  <si>
    <t>Të ardhura si anëtar i Këshillit të Qarkut *140 400* lekë.</t>
  </si>
  <si>
    <t>Të ardhura nga shitja e një autoveture me vlerë *100 000* lekë.</t>
  </si>
  <si>
    <t>Të ardhura nga paga si Deputet i Kuvendit të Shqipërisë *3 023 006* lekë.</t>
  </si>
  <si>
    <t>Bashkëshortja, të ardhura nga paga si Drejtor pranë Inspektoriatit 
Shtetëror të Punës *1 035 000* lekë.</t>
  </si>
  <si>
    <t>*1)* Gjendja e llogarisë bankare të Z. Patozi *48 255* euro.
*2)* Gjendja e llogarisë bankare të Znj. Patozi *6 000* euro.</t>
  </si>
  <si>
    <t>Të ardhura nga paga dhe përfitime të tjera financiare si Deputet i Kuvendit 
të Shqipërisë *2 746 634* lekë.</t>
  </si>
  <si>
    <t>Të ardhura nga interesa bankare *4 259* euro.</t>
  </si>
  <si>
    <t>Të ardhura nga dhënia me qira e një apartamenti *21 600* euro.</t>
  </si>
  <si>
    <t>*1)* Z. R. Fino, të ardhura nga paga dhe shpërblime si punonjës pranë 
"ANTA" sh.a. *1 041 503* lekë;
*2)* Bashkëshortja, Znj. Fino, të ardhura nga aktiviteti privat (xhiroja 
vjetore) *2 100 000* lekë.</t>
  </si>
  <si>
    <t>Të ardhura nga paga dhe përfitime të tjera financiare si Deputet i Kuvendit 
të Shqipërisë *3 202 000* lekë.</t>
  </si>
  <si>
    <t>Të ardhura *333 600* lekë nga investimi ne Bono Thesari</t>
  </si>
  <si>
    <t>*1)* Të ardhura nga qiradhënia e një lokali në Klos *240 000* lekë.
*2)* Të ardhura nga qiradhënia e një apartamenti në Tiranë *360 000* lekë.</t>
  </si>
  <si>
    <t>Bashkëshortja, të ardhura nga paga *184 000* lekë.</t>
  </si>
  <si>
    <t>Kursimet nga të ardhurat e vitit *1 800 000* lekë.</t>
  </si>
  <si>
    <t>Të ardhurat nga paga si Drejtori i Spitalit Universitar të Traumës *1 106 
537* lekë.</t>
  </si>
  <si>
    <t>*1)* Bashkëshortja, të ardhura nga paga si kryelaborante pranë Spitalit 
Universitar të Traumës *479 725* lekë.
*2)* Z. Denis Mihaj, të ardhura nga paga si stomatolog pranë Spitalit 
Universitar të Traumës *606 374* lekë.
*3)* Z. Denis Mihaj, të ardhura nga paga pranë shoqërisë "Univers Alb" *600 
000* lekë.</t>
  </si>
  <si>
    <t>Të ardhurat nga paga si Deputet i Kuvendit të Shqipërisë *2 584 789* lekë.</t>
  </si>
  <si>
    <t>*1)* Të ardhurat nga interesat bankare *1 050 000* lekë.
*2)* Të ardhurat nga interesat bankare 388 euro.
*3)* Të ardhurat nga interesat bankare229 dollarë.</t>
  </si>
  <si>
    <t>Të ardhura nga shitja e librave dhe e drejta e autorit nga "Media Mapo" 
sh.p.k. *20 000* euro.</t>
  </si>
  <si>
    <t>Bashkëshortja, të ardhura nga aktiviteti privat si notere *1 200 000* lekë.</t>
  </si>
  <si>
    <t>*1)* Bashkëshortja përshkruan pasurinë *52 000* euro, e cila do të 
likujdohet në formë kleringu me një apartament me sip. 104.2 m2, në Tiranë, 
për veprimet noteriale në shërbim të shoqërisë "Ferrar" sh.p.k. dhe "C&amp;S 
Construction" për vitet 2010-2014. Vlera përfundimtare do caktohet në 
përfundim të ndërtimit të objektit karabina.
*2)* Gjendja e llogarisë bankare të Z. Blushi në fund të vitit *26 541* 
dollarë.
*3)* Gjendja e llogarisë bankare të Z. Blushi në fund të vitit *40 439* 
euro.
*4)* Gjendja e llogarisë bankare të Z. Blushi në fund të vitit *20 000 000* 
milionë lekë.
*5)* Gjendja e llogarisë rrjedhëse të Z. Blushi *1 490 947* lek.</t>
  </si>
  <si>
    <t>*1)* Të ardhurat nga paga si Deputet i Kuvendit të Shqipërisë *2 593 600* 
lekë.
*2)* Të ardhura nga mësimdhënia pranë Fakultetit të Shkencave të Natyrës, 
UT, *162 000* lekë.
*3)* Të ardhura nga mësimdhënia pranë Universitetit Zonja e Këshillit të 
Mirë *2 000* euro.</t>
  </si>
  <si>
    <t>Bashkëshortja, të ardhura totale nga paga si pedagoge pranë Universitetit 
Politeknik të Tiranës dhe si konsulente pranë kompanisë ALBAVIA shpk *1 159 
900* lekë.</t>
  </si>
  <si>
    <t>Detyrime të papaguara në vlerën *2 200 000* lekë për një kredi në bankë të 
nivelit të dytë marrë më 28.06.2002 me principal *5 000 000* lekë.</t>
  </si>
  <si>
    <t>*1)* Detyrime të papaguara në vlerën *3 763 695* lekë për një kredi për 
blerje apartamenti në bankë të nivelit të dytë marrë më 21.10.2005 me 
principal *5 000 000* lekë, interes 3% dhe afat maturimi 240 muaj.
*2)* Bashkëshortja zonja Magi Cici detyrime të papaguara në vlerën *218 588* 
lekë për një hua për rikonstruksion apartamenti marrë më 02.05.2006 me 
principal *1 000 000* lekë dhe afat maturimi 84 muaj.</t>
  </si>
  <si>
    <t>Dieta në vlerën *2 000* euro.</t>
  </si>
  <si>
    <t>Bashkëshortja zonja Ermira Kuko paga nga puna në Universitetin e Brukselit 
në vlerën *23 400* euro.</t>
  </si>
  <si>
    <t>Shitje apartamenti në Tiranë me sip. 79 m2 në vlerën *88 000* euro.</t>
  </si>
  <si>
    <t>*1)* Detyrime të papaguara në vlerën *211 196* euro për një kredi për 
blerje apartamenti me principal *180 000* euro, interes 3.784% dhe afat 
shlyerje 15 vjet, pjesë e regjimit martesor.
*2)* Detyrime të papaguara në vlerën *18 500* euro për një borxh pa interes 
prej *20 000* euro marrë prindërve të bashkëshortes, përkatësisht Z. 
Dhimitri Samara dhe Znj. Iliana Samara.</t>
  </si>
  <si>
    <t>Paga si Ambasador në Emiratet e Bashkuara Arabe në vlerën *29 256* dollar.</t>
  </si>
  <si>
    <t>Bashkëshortja paga si Financiere në Ambasadën Shqiptare në Emiratet e 
Bashkuara Arabe në vlerën *3 240* dollar.</t>
  </si>
  <si>
    <t>Paga si Ambasadore në UNESCO në vlerën *25 128* euro.</t>
  </si>
  <si>
    <t>Paga neto si Ambasador në Greqi në vlerën *24 837* euro.</t>
  </si>
  <si>
    <t>*1)* Para të tërhequra nga depozita e krijuar prej 1/3 së trashëgimisë nga 
babai zoti Filip Kota në vlerën *6 165* euro.
*2)* Para të tërhequra nga depozita e krijuar prej 1/3 së trashëgimisë nga 
babai zoti Filip Kota në vlerën *4 266* euro.
*3)* Para të përfituara prej qerasë dhe pagesave të prapambetura e krijuar 
prej 1/3 së trashëgimisë nga babai zoti Filip Kota në vlerën *418 370* lekë.</t>
  </si>
  <si>
    <t>*1)* Bashkëshortja zonja Elvira Dervishi paga neto si Këshilltare në 
Qendrën e Shërbimit Ligjor Falas në vlerën *9 294* euro.
*2)* Djali zoti Eldi Dervishi të ardhura si student kontrollor në Agjencinë 
Nacionale të Trafikut Ajror në vlerën *11 040* euro.
*3)* Djali zoti Eldi Dervishi të ardhura si student kontrollor në Agjencinë 
Nacionale të Trafikut Ajror në vlerën *344 047* lekë.
*4)* Djali zoti Eldi Dervishi të ardhura nga biznesi Events Albania 
Touring në formën e pagës në vlerën *210 480* lekë.
*5)* Djali zoti Eldi Dervishi të ardhura nga biznesi Events Albania 
Touring në formën e dividendëve në vlerën *22 264* lekë.</t>
  </si>
  <si>
    <t>Paga si Ambasador në Portugali në vlerën *29 892* euro.</t>
  </si>
  <si>
    <t>Bashkëshortja zonja Iris Trako paga bruto si Sekretare Teknike Part -Time 
pranë Ambasadës Portugaleze në vlerën *3 360* euro.</t>
  </si>
  <si>
    <t>*1)* Detyrime të papaguara në vlerën *3 000* euro si pagesë e mbetur e një 
kuote ndaj firmës Lura shpk për një apartament të papërfunduar në Durrës.
*2)* Detyrime të papaguara në vlerën *2 000* euro si pagesë e mbetur e një 
kuote ndaj firmës Beta shpk për një garazh dhe depo të papërfunduar në 
Tiranë.</t>
  </si>
  <si>
    <t>Paga si Drejtor i Protokollit të Shtetit në vlerën *974 340* lekë.</t>
  </si>
  <si>
    <t>Detyrime të papaguara në vlerën *752 125* lekë për një kredi për arsye 
personale marrë më 07.09.2011 me principal *1 000 000* lekë dhe këst mujor *28 
289* lekë.</t>
  </si>
  <si>
    <t>Paga si Konsull i Përgjithshëm i Republikës së Shqipërisë në Turqi në 
vlerën *20 160* euro.</t>
  </si>
  <si>
    <t>Bashkëshortja zonja Alma Muça paga si Staf Teknik në Konsullatë në vlerën *3 
240* euro.</t>
  </si>
  <si>
    <t>Paga si Ambasador i Republikës së Shqipërisë në Indi në vlerën *29 273* 
dollar.</t>
  </si>
  <si>
    <t>Interesa bankare në vlerën 255 euro nga depozita në valutë.</t>
  </si>
  <si>
    <t>Zonja Zhuljeta Kerciku (Lolaj) paga si menaxhere zyre në kompaninë 
Europartner Consulting në vlerën *1 691 199* lekë.</t>
  </si>
  <si>
    <t>Kthim i pjesës së borxhit në vlerën *20 000* euro nga i vëllai zoti Arben 
Kerciku.</t>
  </si>
  <si>
    <t>Bashkëshortja të ardhura nga mësimdhënia në vlerën *13 000* dollar.</t>
  </si>
  <si>
    <t>Detyrime të papaguara në vlerën *10 000* euro për një hua marrë në vitin 
2009 për blerje apartamenti, me principal *10 000* euro, pa interes dhe 
afat shlyerje deri në mars 2011.</t>
  </si>
  <si>
    <t>Paga si Zëvendës Ministre e Ministrisë së Punës, Çështjeve Sociale dhe 
Shanseve të Barabarta në vlerën *1 540 000* lekë.</t>
  </si>
  <si>
    <t>Qira dyqani në vlerën *140 000* lekë.</t>
  </si>
  <si>
    <t>*1)* Detyrime të papaguara në vlerën *426 732* lekë për një kredi në bankë 
të nivelit të dytë më maturim në vitin 2015.
*2)* Detyrime të papaguara në vlerën *435 269* lekë për një kredi për 
blerje pajisjesh shtëpiake marrë më 20.01.2012 në bankë të nivelit të dytë, 
më afat maturimi 4 vjet.</t>
  </si>
  <si>
    <t>Qira në vlerën *1 000* euro nga toka në pronësi në Kosovë, e cila 
shfrytëzohet nga familja.</t>
  </si>
  <si>
    <t>Të ardhura në vlerën *8 000* euro nga pjesa takuese të ndërmarrjes së 
familjes në Kosovë.</t>
  </si>
  <si>
    <t>*1)* Detyrime të papaguara në vlerën *2 821 000* lekë për një kredi bankare 
pa interes në bankë të nivelit të dytë marrë më 15.01.2010, me principal *3 
136 000* lek, afat maturimi 30 vjet dhe këst mujor *8 711* lekë.
*2)* Detyrime të papaguara në vlerën *19 369* euro për një kredi bankare në 
bankë të nivelit të dytë marrë më 07.01.2010, me principal *25 000* euro 
dhe afat maturimi 10 vjet.</t>
  </si>
  <si>
    <t>Paga dhe shpërblime si Ambasador i Republikës së Shqipërisë në Belgjikë në 
vlerën *24 837* euro.</t>
  </si>
  <si>
    <t>Bashkëshortja zonja Marsela Tepelena (Xhangolli) paga si Sekretare në NATO 
në vlerën *11 548* euro.</t>
  </si>
  <si>
    <t>Dieta e shërbime në vlerën *1 000* euro.</t>
  </si>
  <si>
    <t>*1)* Qira shtëpie në vlerën *1 000* euro.
*2)* Qira shtëpie në vlerën *300 000* lekë.</t>
  </si>
  <si>
    <t>*1)* Djali zoti Besart Robo paga si Inxhinier Elektrik pranë Petrofac 
Engineering Ltd në vlerën *50 000* sterlina britanike.
*2)* Djali zoti Besart Robo të ardhura nga qira ambient banimi në vlerën *8 
040* sterlina britanike.</t>
  </si>
  <si>
    <t>Djali zoti Besart Robo detyrime të papaguara në vlerën *104 236* sterlina 
britanike për një kredi për blerjen e një apartamenti banimi.</t>
  </si>
  <si>
    <t>Paga, dieta dhe shpërblime si Ambasador i Republikës së Shqipërisë në Pekin 
në vlerën *30 450* dollar.</t>
  </si>
  <si>
    <t>Djali zoti Glendi Xhani paga nga mësimdhënia në vlerën *144 000* jen.</t>
  </si>
  <si>
    <t>Detyrime të papaguara në vlerën *3 278 638* lekë për një kredi për strehim 
marrë në shtator 2006 në bankë të nivelit të dytë me principal *5 000 000* 
lekë, afat maturimi 14 vjet dhe interes 3%.</t>
  </si>
  <si>
    <t>Paga si Deputet në vlerën *2 734 934* lekë.</t>
  </si>
  <si>
    <t>Bashkëshortja zonja Pranvera Komani paga si Shefe Sektori në Ministrinë e 
Arsimit dhe Shkencës në vlerën *857 376* lekë.</t>
  </si>
  <si>
    <t>Detyrime të papaguara në vlerën *2 930 153* lekë për një kredi bankare për 
blerje banese.</t>
  </si>
  <si>
    <t>Paga dhe shpërblime si Ambasador i Republikës së Shqipërisë në Mbretërinë e 
Bashkuar në vlerën *1 958 850* lekë.</t>
  </si>
  <si>
    <t>*1)* Bashkëshortja paga në vlerën *120 000* lekë.
*2)* Djali zoti Erion Berisha të ardhura nga biznesi në vlerën *1 000 000* 
lekë.</t>
  </si>
  <si>
    <t>Të ardhura nga pensioni OKB në vlerën *9 600* dollar.</t>
  </si>
  <si>
    <t>Bashkëshorti zoti Ariel Halimi shitje veture për skrap në vlerën *20 000* 
lekë.</t>
  </si>
  <si>
    <t>*1)* Detyrime të papaguara në vlerën *12 000* euro ndaj një banke të 
nivelit të dytë.
*2)* Detyrime të papaguara në vlerën *2 000 000* lekë për një kredi në 
bankë të nivelit të dytë me afat shlyerje 25 vjet.
*3)* Kunati zoti Ermal Halimi detyrime të papaguara në vlerën *26 544* euro 
për një kredi me principal *36 000* euro dhe afat shlyerje 7 vjet marrë në 
vitin 2010 për llogari të bashkëshortit zoti Ariel Halimi.</t>
  </si>
  <si>
    <t>*1)* Shpërblime si Këshilltar i Jashtëm i Kryeministrit në vlerën *414 634* 
lekë.
*2)* Honorar si Kryetar i Komisionit të Programeve të Historisë pranë 
Ministrisë së Arsimit dhe Shkencës në vlerën *94 600* lekë.</t>
  </si>
  <si>
    <t>*1)* Qira në vlerën *3 600* euro për një shtëpi në Tiranë.
*2)* Qira në vlerën *400 000* lekë për dy apartamente të pahipotekuar në 
Tiranë.</t>
  </si>
  <si>
    <t>*1)* Bashkëshortja zonja Angjelika Ceka të ardhura nga aktiviteti privat me 
shtëpinë botuese Migjeni në vlerën *1 898 500* lekë.
*2)* Bashkëshortja zonja Angjelika Ceka të ardhura nga aksionet pranë 
Albinvest në vlerën *120 000* lekë.
*3)* Vajza zonja Olgita Ceka paga si arkeologe në Qendrën e Studimeve 
Albanologjike në vlerën *600 000* lekë
*4)* Djali zoti Egin Ceka paga si Sekretar i Ambasadës së Shqipërisë në 
Vjenë në vlerën *12 960* euro.
*5)* Bashkëshortja e djalit zonja Maide Ceka paga si punonjëse në Ambasadën 
Kanadeze në Vjenë në vlerën *18 000* euro.</t>
  </si>
  <si>
    <t>Paga si Ambasador i Republikës së Shqipërisë në Egjipt në vlerën *29 300* 
dollar.</t>
  </si>
  <si>
    <t>*1)* Qira bodrumi në vlerën *12 000* euro.
*2)* Qira apartamentesh në vlerën *400 000* lekë.</t>
  </si>
  <si>
    <t>Paga si Ambasador i Republikës së Shqipërisë në Kroaci në vlerën *24 504* 
euro.</t>
  </si>
  <si>
    <t>Bashkëshortja zonja Fatbardha Qazimi paga nga mësimdhënia në vlerën 848 
euro.</t>
  </si>
  <si>
    <t>*1)* Qira ambienti në vlerën *286 600* lekë.
*2)* Qira apartamenti në vlerën *1 600* euro.</t>
  </si>
  <si>
    <t>Bashkëshortja zonja Ilda Poda paga si Operatore pranë Konsullatës së 
Republikës së Shqipërisë në Greqi në vlerën *7 200* euro.</t>
  </si>
  <si>
    <t>Detyrime të papaguara në vlerën *2 737 506* lekë për një kredi marrë në 
vitin 2005 në bankë të nivelit të dytë për blerje banese.</t>
  </si>
  <si>
    <t>Paga si Drejtor i Drejtorisë Konsullore në Arabinë Saudite në vlerën *1 218 
580* lekë.</t>
  </si>
  <si>
    <t>Shitje veture në vlerën *400 000* lekë.</t>
  </si>
  <si>
    <t>Paga neto si Drejtore për Rajonin e Ballkanit në vlerën *1 218 580* lekë.</t>
  </si>
  <si>
    <t>*1)* Bashkëshorti të ardhura nga mësimdhënia pranë Universitetit 
Ndërkombëtar të Tiranës në vlerën *595 900* lekë./
*2)* Bashkëshorti pension në vlerën *31 838* lekë./
*3)* Vajza paga neto pranë Raiffeisen Bank në Vienë në vlerën *35 014* euro.</t>
  </si>
  <si>
    <t>*1)* Paga dhe dieta si Ambasador i Republikës së Shqipërisë në Federatën 
Ruse në vlerën *31 000* euro.
*2)* Paga të prapambetura nga viti 2007 në vlerën *3 690* euro.</t>
  </si>
  <si>
    <t>*1)* Interesa bankare në vlerën *335 600* lekë nga tre depozitë në bankë të 
nivelit të dytë.
*2)* Interesa bankare në vlerën *1 180* euro nga dy depozita në valutë.
*3)* Interesa bankare në vlerën 730 dollar nga depozitë bankare në valutë.</t>
  </si>
  <si>
    <t>*1)* Interesa bankare në vlerën *270 084* lekë nga depozita në formë 
obligacionesh me afat dy vjeçar, shumë *6 000 000* lekë dhe interes 10%.
*2)* Interesa bankare në vlerën 341 euro nga depozita një vjeçare në valutë 
të huaj në shumën *12 100* euro dhe interes 3.5%.</t>
  </si>
  <si>
    <t>Bashkëshortja zonja Dolores Koçi paga si asistente e projektit EU IPA 2010 
në vlerën *2 160 000* lekë.</t>
  </si>
  <si>
    <t>*1)* Detyrime të papaguara në vlerën *42 859* euro për një kredi në bankë 
të nivelit të dytë me interes 6.9% dhe këst mujor 300euro.
*2)* Detyrime të papaguara në vlerën *203 683* lekë për një overdraft në 
bankë të nivelit të dytë.
*3)* Detyrime të papaguara në vlerën *10 130* euro për një overdraft në 
valutë.</t>
  </si>
  <si>
    <t>Interesa bankare në vlerën 254 dollar.</t>
  </si>
  <si>
    <t>Detyrime të papaguara në vlerën *1 070* për një kredi për blerje dhe 
mobilim apartamenti banimi marrë më 05.09.2003 me principal *10 000* dollar 
e afat maturimi 10 vjet.</t>
  </si>
  <si>
    <t>Të ardhurat nga paga dhe përfitime të tjera financiare si Deputet i 
Kuvendit të Shqipërisë *1 403 095* lekë.</t>
  </si>
  <si>
    <t>Bashkëshortja, të ardhura nga paga si administratore pranë kompanisë ÄLDOSCH 
shpk *1 499 594* lekë.</t>
  </si>
  <si>
    <t>Të ardhura totale nga shitja e automjetit në, shitja e shtëpisë dhe qiratë 
në Australi *145 446* euro.</t>
  </si>
  <si>
    <t>*1)* Përfituar me akt-shkëmbimi truall me sip. 8002 m2 dhe 3315 m2 në 
këmbim të një toke truall dhe ndërtese.
*2)* Gjendja e llogarive bankare në lekë të Z. Doshi në fund të periudhës *592 
797* lekë.
*3)* Gjendja e llogarive bankare në euro të Z. Doshi në fund të periudhës 
237 euro.
*4)* Marrë kredi bankare me vlerën *776 460* franka zviceriane, e cila 
është aktivizuar në dt. 03.0.2012. Nuk specifikohet arsyeja e marrjes se 
kredisë dhe as termat e saj.
*5)* Marrë kredi bankare me vlerë *500 000* euro, e cila është aktivizuar 
në dt. 27.12.2012. Nuk specifikohet arsyeja e marrjes se kredisë dhe as 
termat e saj.
*6)* Marrë kredi bankare nga bashkëshortja, Znj. Doshi, me vlerë *42 000 
000* lekë, aktivzar në dt. 01.08.2012. Nuk specifikohet arsyeja e marrjes 
se kredisë dhe as termat e saj.</t>
  </si>
  <si>
    <t>Të ardhurat nga paga dhe përfitime të tjera financiare si Deputet i 
Kuvendit të Shqipërisë *2 030 614* lekë.</t>
  </si>
  <si>
    <t>Të ardhurat nga paga si Këshilltar Ligjor dhe pensioni suplementar si 
Deputet *130 000* lekë.</t>
  </si>
  <si>
    <t>Të ardhurat si anëtar i Bordit të "ANTA"s-Rinas, *915 840* lekë.</t>
  </si>
  <si>
    <t>*1)* Bashkëshortja, të ardhurat nga paga *720 000* lekë.
*2)* Z. Kreshnik Braho, të ardhurat nga paga si oficer i policisë 
gjyqësore, Durrës, *600 000* lekë.
*3)* Z. Arbër Braho, të ardhurat nga paga si jurist pranë "ANTA" - Rinas *1 
200 000* lekë.</t>
  </si>
  <si>
    <t>Të ardhura nga paga dhe shpërblime të tjera financiare si Deputet i 
Kuvendit të Shqipërisë *3 266 276* lekë.</t>
  </si>
  <si>
    <t>Bashkëshortja, të ardhura nga pensioni *200 000* lekë.</t>
  </si>
  <si>
    <t>Të ardhura nga paga dhe shpërblime të tjera financiare si Deputet i 
Kuvendit të Shqipërisë *2 591 834* lekë.</t>
  </si>
  <si>
    <t>Bashkëshortja, të ardhura nga paga pranë shoqërisë "Media 6" për periudhën 
01.01.2012-22.06.2012, *480 000* lekë.</t>
  </si>
  <si>
    <t>Marrje kredie *2 500 000* lekë për blerje automjeti, me afat shlyerje 5 
vjet.</t>
  </si>
  <si>
    <t>Paga dhe shpërblime si Deputet i Kuvendit të Shqipërisë në vlerën *2 512 
634* lekë.</t>
  </si>
  <si>
    <t>Të ardhura nga qira farmacie dhe zyrash në vlerën *420 000* lekë.</t>
  </si>
  <si>
    <t>Bashkëshortja zonja Avonila Qefalia paga dhe shpërblime si specialist pranë 
Komunës Dajt në vlerën *300 000* lekë.</t>
  </si>
  <si>
    <t>Detyrime të paguara në vlerën -*264 000* lekë për një kredi konsumatore 
marrë në vitin 2008 në bankë të nivelit të dytë me principal *1 000 000* 
lekë.</t>
  </si>
  <si>
    <t>Paga bruto si Prefekte e Qarkut Shkodër në vlerën *1 314 150* lekë.</t>
  </si>
  <si>
    <t>Qira në vlerën *561 000* lekë.</t>
  </si>
  <si>
    <t>Detyrime të papaguara në vlerën *6 210 772* lekë për një kredi për shtëpi.</t>
  </si>
  <si>
    <t>Paga neto si Deputet i Kuvendit të Shqipërisë në vlerën *3 089 198* lekë.</t>
  </si>
  <si>
    <t>Bashkëshortja zonja Kristina Hanxhari paga neto si arsimtare në Greqi në 
vlerën *9 024* euro.</t>
  </si>
  <si>
    <t>Gjendje cash nga te ardhurat personale, *5 300* euro</t>
  </si>
  <si>
    <t>Paga dhe shpërblime si Deputete e Kuvendit të Shqipërisë në vlerën *2 775 
659* lekë.</t>
  </si>
  <si>
    <t>Qira dyqani në vlerën *9 800* euro.</t>
  </si>
  <si>
    <t>*1)* Djali zoti Arian Leskaj interesa bankare në vlerën *802 708* lekë nga 
depozita në bankë të nivelit të dytë.
*2)* Bashkëshortja e djalit zotit Arian Leskaj interesa bankare në vlerën 
296 dollar nga depozita në bankë të nivelit të dytë.
*3)* Bashkëshortja e djalit zotit Arian Leskaj paga në vlerën *312 000* 
lekë.
*4)* Djali zoti Arian Leskaj qira ambjenti me sip. 571.5 m2 në Tiranë në 
vlerën *1 080 000* lekë.
*5)* Djali zoti Arian Leskaj qira zyrash me sip. 11.2 m2 në Tiranë në 
vlerën *120 000* lekë.
*6)* Djali zoti Arian Leskaj qira zyrash me sip. 520 m2 në Tiranë në vlerën *108 
000* euro.
*7)* Djali zoti Arian Leskaj qira ambjenti tregtar me sip. 970 m2 si dhe dy 
garazhde në Tiranë në vlerën *36 000* euro.
*8)* Djali zoti Arian Leskaj qira ambjenti me sip. 400 m2 në Tiranë në 
vlerën *6 000* euro.
*9)* Djali zoti Arian Leskaj qira ambjenti tregtar në Tiranë në vlerën *28 
977* euro.
*10)* Djali zoti Arian Leskaj qira ambjenti tregtar në Tiranë në vlerën *25 
994 961* lekë.
*11)* Djali zoti Arian Leskaj qira ambjenti tregtar me sip. *1 744* m2 në 
Tiranë në vlerën *70 038* euro.
*12)* Djali zoti Arian Leskaj qira ambjenti me sip. *1 200* m2 në Tiranë në 
vlerën *19 000* euro.
*13)* Djali zoti Besnik Leskaj paga neto pranë ARC shpk në vlerën *548 640* 
lekë.
*14)* Djali zoti Besnik Leskaj paga neto pranë AAIP sh.a. në vlerën *703 
194* lekë.
*15)* Djali zoti Besnik Leskaj paga neto pranë shoqërisë 
Arian-Leskaj.Besnik-Leskaj.Delo-Ahmeti shpk në vlerën *720 000* lekë.
*16)* Djali zoti Besnik Leskaj paga neto pranë A&amp;B-Business-Consulting shpk 
në vlerën *5 222 464* lekë.
*17)* Djali zoti Besnik Leskaj paga neto pranë D&amp;L-Administrim shpk në 
vlerën *847 140* lekë.
*18)* Djali zoti Besnik Leskaj paga neto pranë Bashkisë Elbasan në vlerën *628 
650* lekë.
*19)* Djali zoti Besnik Leskaj paga neto pranë Mobi.Bank shpk në vlerën *576 
000* lekë.
*20)* Bashkëshorti zoti Astrit Leskaj pension në vlerën *2 268 000* lekë.</t>
  </si>
  <si>
    <t>*1)* Djali zoti Arian Leskaj detyrime të papaguara në vlerën *490 021* euro 
për një kredi bankare marrë më 04.02.2010 në bankë të nivelit të dytë me 
principal *1 061 711* euro me maturim më 04.12.2014.
*2)* Djali zoti Arian Leskaj detyrime të papaguara në vlerën *95 232* euro 
për një hua marrë shoqërisë Matrix-Konstruksion shpk.
*3)* Djali zoti Besnik Leskaj detyrime të papaguara në vlerën *21 809* euro 
për një kredi bankare marrë më 10.06.2008.
*4)* Djali zoti Besnik Leskaj detyrime të papaguara në vlerën *55 501* euro 
për një kredi bankare marrë më 23.07.2009.
*5)* Djali zoti Besnik Leskaj detyrime të papaguara në vlerën *231 281* 
euro për një overdraft.</t>
  </si>
  <si>
    <t>Paga dhe shpërblime si Kryetar i Bashkisë Fushë Arrëz në vlerën *1 088 112* 
lekë.</t>
  </si>
  <si>
    <t>Ali LAHO</t>
  </si>
  <si>
    <t>Kryebashkiak - Bashkia Ersekë</t>
  </si>
  <si>
    <t>nr: 10299/2011 nr: 10299/2012 nr: 10299/2013</t>
  </si>
  <si>
    <t>Bashkëshortja zonja Rajmonda Laho, Vajza zonja Nesila Laho</t>
  </si>
  <si>
    <t>Paga si kryetar i Bashkisë Libohovë në vlerën *600 000* lekë.</t>
  </si>
  <si>
    <t>Të ardhura si anëtar i Kryesisë së Qarkut në vlerën *76 000* lekë.</t>
  </si>
  <si>
    <t>Bashkëshortja paga në vlerën *520 000* lekë.</t>
  </si>
  <si>
    <t>Asqeri KUQJA</t>
  </si>
  <si>
    <t>Kryebashkiak - Bashkia Belsh</t>
  </si>
  <si>
    <t>nr: 10266/2011 nr: 10266/2012 nr: 10266/2013</t>
  </si>
  <si>
    <t>Paga si Kryetar i Bashkisë Përrenjas në vlerën *700 392* lekë.</t>
  </si>
  <si>
    <t>Bashkëshortja zonja Sofie Karriqi paga në vlerën *600 456* lekë.</t>
  </si>
  <si>
    <t>*1)* Paga dhe shpërblime si Kryetar i Bashkisë Manëz në vlerën *1 064 561* 
lekë.
*2)* Paga si pedagog i jashtëm pranë Universiteti Bujqësor në vlerën *93 
000* lekë.</t>
  </si>
  <si>
    <t>Bashkëshortja zonja Elida Huqi paga nga mësimdhënia pranë gjimnazit Naim 
Frashëri Durrës në vlerën *516 000* lekë.</t>
  </si>
  <si>
    <t>Paga si anëtar i Këshillit të Qarkut në vlerën *143 000* lekë.</t>
  </si>
  <si>
    <t>Paga si Kryetar i Bashkisë Selenicë në vlerën *700 392* lekë.</t>
  </si>
  <si>
    <t>*1)* Detyrime të papaguara në vlerën *28 550* euro për një kredi bankare në 
bankë të nivelit të dytë.
*2)* Detyrime të paguara në vlerën *600 000* lekë për një hua marrë një 
personi fizik.</t>
  </si>
  <si>
    <t>Të ardhura si anëtar i Këshillit të Qarkut në vlerën *94 670* lekë.</t>
  </si>
  <si>
    <t>Të ardhura nga toka bujqësore në vlerën *334 000* lekë.</t>
  </si>
  <si>
    <t>Bashkëshortja zonja Filloreta Topçiu paga dhe shpërblime nga mësimdhënia në 
vlerën *449 546* lekë.</t>
  </si>
  <si>
    <t>Përfitim financiar për transport në vlerën *324 000* lekë sipas ligjit nr. 
10160, datë 15.10.2009.</t>
  </si>
  <si>
    <t>Detyrime të papaguara në vlerën *29 785* euro për një kredi për blerje 
apartamenti marrë më 08.10.2012 me principal *30 000* euro, afat maturimi 
15 vjet dhe këst mujor 255 euro.</t>
  </si>
  <si>
    <t>Paga dhe shpërblime si Kryetar i Bashkisë Rubik në vlerën *774 000* lekë.</t>
  </si>
  <si>
    <t>Shpërblim si Këshilltar Qarku në vlerën *108 000* lekë.</t>
  </si>
  <si>
    <t>Bashkëshortja zonja Albina Vuka paga si Inspektore pranë Bashkisë Rubik në 
vlerën *288 000* lekë.</t>
  </si>
  <si>
    <t>*1)* Bashkëshortja paga nga mësimdhënia në vlerën *526 800* lekë.
*2)* Djali zoti Arion Marku të ardhura nga biznesi Studio Fotografike në 
vlerën *550 000* lekë.</t>
  </si>
  <si>
    <t>Shitje toke me sip. 1 dynym në vlerën *700 000* lekë.</t>
  </si>
  <si>
    <t>Paga si Kryetar i Bashkisë Mamurras në vlerën *1 185 600* lekë.</t>
  </si>
  <si>
    <t>*1)* Shitur veturë tip Mercedes Benz në vlerën *23 000* euro.
*2)* Shitur veturë tip Opel në vlerën *5 000* euro.</t>
  </si>
  <si>
    <t>Detyrime të papaguara në vlerën *5 450 000* lekë për një kredi për ndërtim 
shtëpie marrë në mars 2012 në bankë të nivelit të dytë me principal *6 000 
000* lekë.</t>
  </si>
  <si>
    <t>Paga si Kryetar i Bashkisë Shijak në vlerën *728 112* lekë.</t>
  </si>
  <si>
    <t>Të ardhura si anëtar i Këshillit të Qarkut Durrës në vlerën *140 400* lekë.</t>
  </si>
  <si>
    <t>Interesa bankare në vlerën *17 127* lekë.</t>
  </si>
  <si>
    <t>*1)* Bashkëshortja zonja Aljona Buka paga pranë Eurotech-Cement shpk në 
vlerën *480 000* lekë.
*2)* Babai pension pleqërie në vlerën *164 544* lekë.
*3)* Nëna pension pleqërie në vlerën *164 712* lekë.
*4)* Bashkëshortja zonja Aljona Buka shitje veture tip Mercedes Benz në 
vlerën *200 000* lekë.</t>
  </si>
  <si>
    <t>*1)* Detyrime të papaguara në vlerën *1 822 182* lekë për një kredi për 
blerje apartamenti me sip. 96 m2 marrë më 14.09.2010 në bankë të nivelit të 
dytë me principal *2 172 182* lekë, me interes 0%, afat shlyerje 180 muaj 
dhe këst mujor *12 500* lekë.
*2)* Detyrime të papaguara në vlerën *816 751* lekë për një kredi 
konsumatore marrë më 26.04.2012 në bankë të nivelit të dytë, me principal *1 
000 000* lekë, interes 14% dhe afat shlyerje 24 muaj.</t>
  </si>
  <si>
    <t>Paga si Kryetar Bashkie Këlcyrë në vlerën *924 000* lekë.</t>
  </si>
  <si>
    <t>Paga si Kryetar i Bashkisë Memaliaj në vlerën *924 000* lekë.</t>
  </si>
  <si>
    <t>*1)* Të ardhura si anëtar i Këshillit të Qarkut Gjirokastër në vlerën *138 
000* lekë.
*2)* Të ardhura si anëtar i Bordit të Aksionerëve pranë Ujësjellës 
Kanalizime sh.a., Tepelenë, në vlerën *108 000* lekë.</t>
  </si>
  <si>
    <t>*1)* Bashkëshortja zonja Liljana Meçi të ardhura nga ushtrimi i një 
aktiviteti privat në vlerën *1 768 299* lekë.
*2)* Vajza zonja Elvana Meçi paga pranë Plus-Communication sha në vlerën *1 
068 000* lekë.
*3)* Vajza zonja Jonida Bijo paga si ekonomiste pranë Hotel Sheraton në 
vlerën *1 200 000* lekë.</t>
  </si>
  <si>
    <t>Detyrime të papaguara në vlerën *523 993* lekë për një kredi bankare në 
bankë të nivelit të dytë me principal *860 000* lekë.</t>
  </si>
  <si>
    <t>Paga si Kryetar i Bashkisë Koplik në vlerën *700 392* lekë.</t>
  </si>
  <si>
    <t>Paga si Kryetar i Bashkisë Klos në vlerën *700 392* lekë.</t>
  </si>
  <si>
    <t>Paga si Kryetar i Bashkisë Bulqizë në vlerën *700 392* lekë.</t>
  </si>
  <si>
    <t>Shpërblim si anëtar i Këshillit të Qarkut Dibër në vlerën *144 000* lekë.</t>
  </si>
  <si>
    <t>*1)* Bashkëshortja zonja Rudina Keta paga si infermiere në Poliklinikën 
nr.10 Tiranë në vlerën *360 000* lekë.
*2)* Bashkëshortja zonja Rudina Keta shpërblim në vlerën *60 000* lekë.</t>
  </si>
  <si>
    <t>Detyrime të papaguara në vlerën *401 552* lekë për një kredi marrë më 
05.08.2010 në bankë të nivelit të dytë për blerje apartamenti me principal *1 
500 000* lekë dhe afat shlyerje 40 muaj.</t>
  </si>
  <si>
    <t>Paga si Kryetar i Bashkisë Cërrik në vlerën *703 424* lekë.</t>
  </si>
  <si>
    <t>*1)* Interesa bankare në vlerën *30 956* lekë nga depozitë në bankë të 
nivelit të dytë.
*2)* Interesa bankare në vlerën 12.32 euro nga depozitë në valutë.</t>
  </si>
  <si>
    <t>Bashkëshortja zonja Kledia Duzha paga si specialiste pranë Zyrës së punës 
në Elbasan në vlerën *466 251* lekë.</t>
  </si>
  <si>
    <t>Paga si Kryetar Bashkisë Sukth në vlerën *1 241 736* lekë.</t>
  </si>
  <si>
    <t>Shpërblim si anëtar i Këshillit të Qarkut në vlerën *140 000* lekë.</t>
  </si>
  <si>
    <t>*1)* Paga si Kryetar i Bashkisë Bilisht në vlerën *682 000* lekë.
*2)* Shpërblime në vlerën *9 000* lekë.</t>
  </si>
  <si>
    <t>Bonus për transportin në vlerën *270 000* lekë.</t>
  </si>
  <si>
    <t>Shpërblime si anëtar i Këshillit të Qarkut në vlerën *93 600* lekë.</t>
  </si>
  <si>
    <t>Interesa bankare në vlerën *123 000* lekë.</t>
  </si>
  <si>
    <t>*1)* Bashkëshortja zonja Ilda Miza paga nga mësimdhënia në vlerën *495 000* 
lekë.
*2)* Bashkëshortja zonja Ilda Miza shpërblim në vlerën *10 000* lekë.</t>
  </si>
  <si>
    <t>*1)* Të ardhura nga paga në spitalin obs. Gjinekologjik Mbretëresha 
Geraldinë, *216 000* lekë.
*2)* Të ardhura nga paga si pedagog (paga+ këshill + shpërblim) *1 056 831* 
lekë.
*3)* Të ardhura nga punësimi part time, *432 000* lekë.</t>
  </si>
  <si>
    <t>Të ardhura bruto nga aktiviteti i biznesit, klinika Petal shpk në vlerën *11 
269 786* lekë.</t>
  </si>
  <si>
    <t>*1)* Bashkëshortja, të ardhura nga paga në MPJ, *1 016 500* lekë.
*2)* Djali Genti, të ardhura nga paga si administrator i klinikës Petal 
shpk, *756 480* lekë.</t>
  </si>
  <si>
    <t>*1)* Llogari personale në bankë të nivelit të dytë në vlerën 130 dollarë.
*2)* Llogari personale në bankë të nivelit të dytë në vlerën *1 000* 
dollarë.
*3)* Llogari personale në bankë të nivelit të dytë në vlerën 55 euro.
*4)* Pakësim llogarie në bankë të nivelit të dytë në vlerën *325 954* lekë 
për shlyerjen e kredisë së marrë nga Petal shpk.
*5)* Llogari personale në bankë të nivelit të dytë në vlerën 468 lekë.</t>
  </si>
  <si>
    <t>Majlinda BUFI</t>
  </si>
  <si>
    <t>nr: 11312/2013 nr: 11312/2014</t>
  </si>
  <si>
    <t>Bashkëshorti, Arben Bufi</t>
  </si>
  <si>
    <t>Miranda RIRA</t>
  </si>
  <si>
    <t>nr: 11897/2014</t>
  </si>
  <si>
    <t>Bashkëshorti, Julian Çota</t>
  </si>
  <si>
    <t>Altina XHOXHAJ</t>
  </si>
  <si>
    <t>Gjyqtar - Gjykata Kushtetuese</t>
  </si>
  <si>
    <t>nr: 01397/2014</t>
  </si>
  <si>
    <t>Bashkëjetuesi, z. Arben Idrizi</t>
  </si>
  <si>
    <t>Bashkim DEDJA</t>
  </si>
  <si>
    <t>nr: 01638/2014</t>
  </si>
  <si>
    <t>Bashkëshortja, znj. Sonila Cami</t>
  </si>
  <si>
    <t>Besnik IMERAJ</t>
  </si>
  <si>
    <t>nr: 01639/2014</t>
  </si>
  <si>
    <t>Bashkëshortja, znj. Drita Imeraj, znj. vajza Marsela Imeraj.</t>
  </si>
  <si>
    <t>Fatmir HOXHA</t>
  </si>
  <si>
    <t>nr: 01615/2014</t>
  </si>
  <si>
    <t>Bashkëshortja, znj. Rudina Hoxha</t>
  </si>
  <si>
    <t>Fatos LULO</t>
  </si>
  <si>
    <t>nr: 04175/2014</t>
  </si>
  <si>
    <t>Bashkëshortja, znj. Rudina Lulo, djali z. Elio Lulo</t>
  </si>
  <si>
    <t>Sokol BERBERI</t>
  </si>
  <si>
    <t>nr: 08060/2014</t>
  </si>
  <si>
    <t>Vajza, znj. Silvia Berberi; bashkëjetuesja znj. Rudina Shiroka</t>
  </si>
  <si>
    <t>Vladimir KRISTO</t>
  </si>
  <si>
    <t>Prill 2007</t>
  </si>
  <si>
    <t>nr: 04987/2014</t>
  </si>
  <si>
    <t>Bashkëshortja; bashkëjetuesja e djalit, znj. Vasilika Kristo</t>
  </si>
  <si>
    <t>Gani DIZDARI</t>
  </si>
  <si>
    <t>nr: 07140/2014</t>
  </si>
  <si>
    <t>Bashkëjetuesja, znj. Shefkie Kortoci; vajza, znj. Anisa Dizdari</t>
  </si>
  <si>
    <t>Vitore TUSHA</t>
  </si>
  <si>
    <t>nr: 08620/2014</t>
  </si>
  <si>
    <t>Bashkëshkorti, z. Pashk Tusha; e bija, znj. Renisa Tusha; e bija znj. Elira 
Tusha</t>
  </si>
  <si>
    <t>Paga si Kryetar Bashkie në vlerën *521 976* lekë.</t>
  </si>
  <si>
    <t>Detyrime të papaguara në vlerën *826 952* lekë për një kredi bankare në 
bankë të nivelit të dytë, pjesë e regjimit martesor.</t>
  </si>
  <si>
    <t>Paga dhe shpërblime si deputet në vlerën *2 746 634* lekë.</t>
  </si>
  <si>
    <t>Interesa bankare në vlerën 79 dollar.</t>
  </si>
  <si>
    <t>*1)* Bashkëshorti zoti Bledar Valikaj paga dhe shpërblime si Oficer i 
Policisë Gjyqësore në Prokurorinë e Rrethit Gjyqësor Berat në vlerën *624 
702* lekë.
*2)* Bashkëshorti zoti Bledar Valikaj interesa bankare në vlerën 172 dollar.
*3)* Bashkëshorti zoti Bledar Valikaj interesa bankare në vlerën 37 dollar 
nga depozita në valutë.</t>
  </si>
  <si>
    <t>*1)* Shuma prej *6 000* euro e kursyer nga paga eshte perfshire ne 
depoziten prej *15 000* euro, si shumatore e dy viteve te kaluara.
*2)* Kursime ne vleren *3 000* euro, kursyer nga paga si deputete.</t>
  </si>
  <si>
    <t>Paga dhe shpërblime si deputet në vlerën *2 644 034* lekë.</t>
  </si>
  <si>
    <t>*1)* Bashkëshortja paga dhe shpërblime në vlerën *1 212 852* lekë.
*2)* Bashkëshortja paga dhe shpërblime në vlerën *4 817* euro.</t>
  </si>
  <si>
    <t>*1)* Kursime prej te ardhurave familjare, ne vleren *4 200* euro.
*2)* Kursime prej te ardhurave familjare, ne vleren *740 000* leke.
*3)* Te ardhura te mbartura nga nje vit me pare *450 000* leke.
*4)* Te ardhura te mbartura nga nje vit me pare *4 500* euro.
*5)* Te ardhura nga interesat e nje depozite ne emer te vajzes ne nje banke 
te nivelit te dyte, ne vleren *3 128* euro, por nuk specifikohet vlera e 
interesave.</t>
  </si>
  <si>
    <t>*1)* Shtuar llogaria rrjedhese ne nje banke te nivelit te dyte, ne vleren *264 
603* leke.
*2)* Shtuar gjendja cash me *6 000* euro.
*3)* Karte krediti ne shumen *300 000* leke, e vlefshme deri ne vitin 2014.</t>
  </si>
  <si>
    <t>Esmeralda SHKJAU</t>
  </si>
  <si>
    <t>nr: 12128/2012 nr: 12128/2013 nr: 12128/2014</t>
  </si>
  <si>
    <t>Babai zoti Muhamet Shkjau, Mamaja zonja Fatbardha Shkjau</t>
  </si>
  <si>
    <t>Evis KUSHI</t>
  </si>
  <si>
    <t>nr: 11240/2012 nr: 11240/2013 nr: 11240/2014</t>
  </si>
  <si>
    <t>Bashkëshorti zoti Florenc Kushi</t>
  </si>
  <si>
    <t>Paga dhe shpërblime si deputet në vlerën *2 848 184* lekë.</t>
  </si>
  <si>
    <t>Interesa bankare në vlerën *230 037* lekë nga depozita në bankë të nivelit 
të dytë.</t>
  </si>
  <si>
    <t>*1)* Bashkëshortja zonja Irena Toçi paga si administrator pranë Shtëpisë 
Botuese Toena në vlerën *756 480* lekë.
*2)* Vajza znj. Ermela Kraja te ardhura nga paga si punonjese pranë 
Shtëpisë Botuese Toena, *239 244* leke.
*3)* Vajza znj. Ermela Kraja te ardhura nga paga si punonjese tek 
Euroklima, *68 750* leke.</t>
  </si>
  <si>
    <t>Shitur makinë tip KIA në vlerën *2 000 000* lekë.</t>
  </si>
  <si>
    <t>*1)* Pakesim i gjendjes se llogarise ne nje banke te nivelit te dyte, ne 
vleren *304 467* leke.
*2)*Bashkeshortja, pakesim i gjendjes cash per blerje makine, ne vleren 600 
euro plus *34 280* leke.
*3)*Bashkeshortja,krijim depozite ne banke te nivelit te dyte, nga nje 
llogari ekzistuese, ne vleren *1 001 000* leke.
*3)*Bashkeshortja, pakesuar gjendja e llogarise ne nje banke te nivelit te 
dyte, ne vleren *768 500* leke.
*4)*Bashkeshortja, hapje llogarie ne nje banke te nivelit te dyte, ne 
vleren 700 USD.
*5)* Vajza, znj. Meri Toçi, dhurate nga prinderit nje autoveture ne vleren *3 
700* euro, paguar nga gjendja e tyre cash.
*6)* Vajza, znj. Ermela Kraja, llogari rrjedhese ne nje banke te nivelit te 
dyte, nga te ardhurat nga paga *67 819* leke.
*7)* Vajza, znj. Ermela Kraja, depozite ne banke te nivelit te dyte *1 340* 
euro.
*8)* Vajza, znj. Ermela Kraja,dhurate nga bashkeshorti nje autoveture ne 
vleren *4 000* euro.</t>
  </si>
  <si>
    <t>Paga dhe shpërblime si deputet në vlerën *2 477 658* lekë.</t>
  </si>
  <si>
    <t>*1)* Qira shtëpie në vlerën *19 075* euro.
*2)* Qira shtëpie në vlerën *750 000* lekë.</t>
  </si>
  <si>
    <t>Bashkëshortja zonja Anita Ylli paga nga mësimdhënia në SHBA në vlerën *19 
602* dollar.</t>
  </si>
  <si>
    <t>*1)*Detyrime të papaguara në vlerën *39 389* euro ndaj shoqërisë 
Tirana-International-Development shpk sipas kontratës së shitblerjes nr. 
1629, datë 20.07.2012.
*2)* Shtuar depozita ne banke te nivelit te dyte ne vleren *8 071* euro.
*3)* Pakesuar depozita ne banke te nivelit te dyte ne vleren *104 853* euro 
dhe hapje e nje depozite te re ne banke te nivelit te dyte ne vleren *84 
854* euro.
*4)* Pakesuar llogaria rrjedhese ne banke te nivelit te dyte ne vleren *57 
462* leke.
*5)* Shtuar llogari bankare ne banke te nivelit te dyte ne vleren *10 587* 
leke.
*6)* Pakesuar depozita bankare ne emer te bashkeshortes ne banke te nivelit 
te dyte ne vleren *3 942* euro.
*7)* Shtuar llogari rrjedhese ne banke te nivelit te dyte ne vleren 729 USD.
*8)* Pakesuar depozite flexi ne banke te nivelit te dyte ne vleren *426 223* 
USD dhe hapje depozite te re ne nje tjeter banke te nivelit te dyte ne 
vleren *70 779* USD.
*7)*Depozite e re ne banke te nivelit te dyte, e aktivizuar per efekt te 
transaksioneve bankare, ne vleren *887 595* leke.
*8)* Pakesuar llogaria rrjedhese ne banke te nivelit te dyte 61 euro.
*9)* Llogari e re ne leke ne vleren *98 711* leke.
*10)* Shitje e nje trualli me sip. 300 m2 me vlere *1 000 000* leke.
*11)* Blerje autoveture tip Mercedes ne vleren *50 000* leke.
*12)* Tre apartamente dhe pese poste parkimi me burim kompensim nga nje 
borxh i dhene ne vitin 2007 ne vleren *395 794* euro.
*13)* Gjendje cash nga terheqjet e llogarive dhe depozitave bankare ne 
vleren *17 500 000* leke.</t>
  </si>
  <si>
    <t>*1)* Paga dhe shpërblime si deputet në vlerën *2 651 234* lekë.
*2)* Paga nga mësimdhënia pranë universitetit Akademia e Biznesit në 
vlerën *166 540* lekë.</t>
  </si>
  <si>
    <t>*1)* Interesa bankare në vlerën *81 790* lekë.
*2)* Interesa bankare në vlerën *172 064* lekë.</t>
  </si>
  <si>
    <t>*1)* Bashkëshortja zonja Greta Mima paga pranë SKEP shpk në vlerën *108 000* 
euro.
*2)* Bashkëshortja paga pranë SKEP shpk në vlerën *894 471* lekë.
*3)* Bashkëshortja zonja Greta Mima të ardhura nga shërbime ofruar KUID 
shpk në vlerën *1 114 944* lekë.
*4)* Bashkëshortja zonja Greta Mima të ardhura nga honorare në vlerën *4 
000* lekë.
*5)* Bashkëshortja zonja Greta Mima interesa bankare në vlerën *467 881* 
lekë nga bonot e thesarit.
*6)* Bashkëshortja zonja Greta Mima interesa bankare në vlerën *1 240 061* 
lekë nga depozita bankare.
*7)* Nëna pension pleqërie në vlerën *168 000* lekë.</t>
  </si>
  <si>
    <t>*1)* Bashkëshortja zonja Greta Mima detyrime të papaguara në vlerën *7 000* 
euro për shtëpi.
*2)* Bashkëshortja zonja Greta Mima detyrime të papaguara në vlerën *11 338* 
euro për një kredi bankare.</t>
  </si>
  <si>
    <t>Paga dhe shpërblime si deputet në vlerën *2 771 834* lekë.</t>
  </si>
  <si>
    <t>*1)* Detyrime të papaguara në vlerën *126 638* lekë për një kredi standarte 
marrë më 21.04.2009 në bankë të nivelit të dytë me principal *500 000* lekë 
dhe afat maturimi 5 vjet.
*2)* Detyrime të papaguara në vlerën *5 909* euro për një kredi standarte 
marrë më 03.11.2009 në bankë të nivelit të dytë me principal *14 000* euro 
dhe afat maturimi 5 vjet.
*3)* Detyrime të papaguara në vlerën *277 705* lekë për një kredi marrë më 
01.03.2011 në bankë të nivelit të dytë me principal *600 000* lekë dhe afat 
maturimi 3 vjet.
*4)* Detyrime të papaguara në vlerën *611 993* lekë për një overdraft kartë 
krediti disbursuar më 14.11.2011 në shumën *1 000 000* lekë.
*5)* Detyrime të papaguara në vlerën *143 950* lekë për një overdraft kartë 
krediti disbursuar më 06.12.2011 në shumën *500 000* lekë.</t>
  </si>
  <si>
    <t>Paga dhe shpërblime si deputet në vlerën *805 737* lekë.</t>
  </si>
  <si>
    <t>Detyrime të papaguara në vlerën *28 000* euro për një kredi për shtëpi me 
principal *30 000* euro, afat shlyerje 7 vjet dhe këst mujor 459 euro.</t>
  </si>
  <si>
    <t>*1)* Paga dhe shpërblime si deputet në vlerën *3 131 051* lekë.
*2)* Të ardhura nga mësimdhënia pranë universitetit Fan Noli në vlerën *150 
000* lekë.</t>
  </si>
  <si>
    <t>*1)* Bashkëshortja zonja Liljana Papa paga nga mësimdhënia në vlerën *600 
000* lekë.
*2)* Vajza zonja Stela Papa paga si pedagoge në Fakultetin e Shkencave të 
Natyrës në vlerën *630 000* lekë.</t>
  </si>
  <si>
    <t>*1)* Detyrime të papaguara në vlerën *4 949 685* lekë për një kredi për 
blerje apartamenti marrë më 10.05.2012 me principal *5 000 000* lekë, afat 
shlyerje 30 vjet, interes 4% dhe këst mujor *24 100* lekë.
*2)* Detyrime të papaguara në vlerën *39 724* euro për një kredi për blerje 
apartamenti marrë më 12.10.2012 me principal, *40 186* euro, afat shlyerje 
15 vjet, interes 4.77% dhe këst mujor 313 euro.</t>
  </si>
  <si>
    <t>*1)* Paga dhe shpërblime si Drejtor i Drejtorisë Rajonale Tatimore Shkodër 
në vlerën *376 832* lekë.
*2)* Paga dhe shpërblime si Drejtor i Drejtorisë Rajonale Tatimore Lezhë në 
vlerën *656 176* lekë.</t>
  </si>
  <si>
    <t>Paga dhe shpërblime si deputet në vlerën *3 323 876* lekë.</t>
  </si>
  <si>
    <t>*1)* Qira apartamentesh në vlerën *768 000* lekë.
*2)* Qira lokali në vlerën *540 000* lekë.</t>
  </si>
  <si>
    <t>*1)* Bashkëshortja zonja Dave Kadeli paga si sekretare pranë Iridiani&amp;Kadeli 
shpk në vlerën *219 084* lekë.
*2)* Djali zoti Admir Kadeli paga pranë Iridiani&amp;Kadeli shpk në vlerën *334 
157* lekë.
*3)* Djali zoti Admir Kadeli paga pranë Payroll System në vlerën *360 000* 
lekë.
*4)* Djali zoti Admir Kadeli paga pranë Pelikan shpk në vlerën *250 000* 
lekë.
*5)* Djali zoti Admir Kadeli të ardhura nga ushtrimi i aktivitetit agjensi 
turistike Golden Travel në vlerën *100 000* lekë.</t>
  </si>
  <si>
    <t>Paga dhe shpërblime si deputet në vlerën *2 956 856* lekë.</t>
  </si>
  <si>
    <t>*1)* Djali zoti Ledian Ruçi qira dyqani në vlerën *22 000* euro.
*2)* Djali zoti Ledian Ruçi qira dyqani në vlerën *1 500* euro.</t>
  </si>
  <si>
    <t>Paga dhe shpërblime si Drejtor i Përgjithshëm në Ministrinë e Mbrojtjes në 
vlerën *1 189 542* lekë.</t>
  </si>
  <si>
    <t>Bashkëshortja zonja Ardiola Bushati paga si psikologe pranë QSUT në vlerën *527 
260* lekë.</t>
  </si>
  <si>
    <t>*1)* Detyrime të papaguara në vlerën *118 468* lekë për një kredi bankare 
marrë më 27.05.2007 me principal *300 000* lekë, afat maturimi 84 muaj, 
interes 18% dhe këst mujor *6 905* lekë.
*2)* Detyrime të papaguara në vlerën *6 229* euro për një kredi bankare 
marrë më 11.06.2010 me principal *11 680* euro, afat maturimi 5 vjet dhe 
interes 18.17%.</t>
  </si>
  <si>
    <t>Paga dhe shpërblime si deputet në vlerën *2 967 251* lekë.</t>
  </si>
  <si>
    <t>*1)* Interesa bankare në vlerën *308 318* lekë.
*2)* Interesa bankare në vlerën *51 402* lekë.</t>
  </si>
  <si>
    <t>Qira dyqani në vlerën *3 150* dollar.</t>
  </si>
  <si>
    <t>Bashkëshortja zonja Rezarta Cara fitim pas tatimit nga aktiviteti privat në 
vlerën *1 373 323* lekë.</t>
  </si>
  <si>
    <t>Ilir XHAKOLLI</t>
  </si>
  <si>
    <t>nr: 06320/2013 nr: 06320/2014</t>
  </si>
  <si>
    <t>Bujar KLLOGJRI</t>
  </si>
  <si>
    <t>nr: 10723/2013 nr: 10723/2014</t>
  </si>
  <si>
    <t>Vajza zonja Jonida Kllogjri</t>
  </si>
  <si>
    <t>Dashamir KAMBERI</t>
  </si>
  <si>
    <t>nr: 00062/2013 nr: 00062/2014</t>
  </si>
  <si>
    <t>Djali zoti Asid Kamberi</t>
  </si>
  <si>
    <t>Paga dhe shpërblime si deputet në vlerën *1 499 642* lekë.</t>
  </si>
  <si>
    <t>Dieta dhe bonuse për shpenzime transporti dhe telefonike në vlerën *1 158 
105* lekë.</t>
  </si>
  <si>
    <t>*1)* Interesa bankare në vlerën *52 000* lekë nga depozita në bankë të 
nivelit të dytë.
*2)* Interesa bankare në vlerën 850 euro nga depozita në bankë të nivelit 
të dytë.</t>
  </si>
  <si>
    <t>*1)* Bashkëshortja paga si administratore pranë Palma shpk në vlerën *936 
000* lekë.
*2)* Vajza zonja Amantia Peza paga në vlerën *1 201 656* lekë.</t>
  </si>
  <si>
    <t>*1)* Detyrime të papaguara në vlerën *217 000* euro për një kredi bankare.
*2)* Detyrime të papaguara në vlerën *400 000* lekë për një kredi bankare.
*3)* Detyrime të papaguara në vlerën *7 950 000* lekë për një kredi bankare.
*4)* Vajza zonja Amantia Peza detyrime të papaguara në vlerën *19 000* euro 
për një kredi bankare.</t>
  </si>
  <si>
    <t>Dashamir SHEHI</t>
  </si>
  <si>
    <t>Lëvizja për Zhvillim Kombëtar</t>
  </si>
  <si>
    <t>nr: 00064/2013 nr: 00064/2014</t>
  </si>
  <si>
    <t>Paga dhe komisione parlamentare në vlerën *2 768 459* lekë.</t>
  </si>
  <si>
    <t>Koço KOKËDHIMA</t>
  </si>
  <si>
    <t>nr: 11659/2013 nr: 11659/2014 *Kjo deklarate nuk permban informacion per 
asete te vendosura ne rubriken "kofidenciale" te Deklarimit</t>
  </si>
  <si>
    <t>1) Bashkëshortja, Znj. Brixhilda Kokëdhima, Znj. Besa Kokëdhima, fëmijë 
madhorë së bashku me prindërit,Znj. Bora Kokëdhima, fëmijë madhorë së 
bashku me prindërit, Znj. Era Kokëdhima, fëmijë madhorë së bashku me 
prindërit.</t>
  </si>
  <si>
    <t>Ilir META</t>
  </si>
  <si>
    <t>Legjislatura II, III, IV, V, VI, VII, VIII</t>
  </si>
  <si>
    <t>nr: 00110/2013 nr: 00110/2014</t>
  </si>
  <si>
    <t>Bashkëshortja, Znj. Monika Kryemadhi</t>
  </si>
  <si>
    <t>Fatmir XHAFAJ</t>
  </si>
  <si>
    <t>nr: 00111/2013 nr: 00111/2014</t>
  </si>
  <si>
    <t>1) Bashkëshortja, Znj. Mimoza Xhafaj, Znj. Aulona Xhafaj, fëmijë madhorë së 
bashku me prindërit.</t>
  </si>
  <si>
    <t>*1)* Të ardhura nga paga dhe shpërblime të tjera financiare si Deputet i 
Kuvendit të Shqipërisë *2 789 834* lekë.
*2)* Të ardhura për shërbime jashtë shtetit *140 000* lekë.
*3)* Të ardhura nga Universiteti Marin Barleti *160 000* lekë.</t>
  </si>
  <si>
    <t>Të ardhura nga Qendra e Trajnimit dhe Asistencës Teknike *660 000* lekë.</t>
  </si>
  <si>
    <t>Të ardhurat nga interesat bankare dhe interesat nga Bonot e Thesarit *300 
000* lekë.</t>
  </si>
  <si>
    <t>Të ardhura nga dhënia me qira e një apartamenti në Rr. "Don Bosko" *360 000* 
lekë.</t>
  </si>
  <si>
    <t>Bashkëshortja, të ardhura nga paga dhe punët jashtë orari *825 000* lekë.</t>
  </si>
  <si>
    <t>*1)* Depozitë bankare *200 000* lekë.
*2)* Depozitë bankare *30 000* lekë.</t>
  </si>
  <si>
    <t>Eduard SELAMI</t>
  </si>
  <si>
    <t>nr: 11232/2013 nr: 11232/2014</t>
  </si>
  <si>
    <t>Të ardhurat nga paga si Deputet i Kuvendit të Shqipërisë *2 591 834* lekë.</t>
  </si>
  <si>
    <t>Të ardhura *3 500* euro nga dhënia me qira e një apartamenti në Rr. "Gjin 
Bue Shpata".</t>
  </si>
  <si>
    <t>*1)* Bashkëshortja, të ardhura nga paga si pedagoge dhe kancelare e 
Fakultetit të Arkitekturës në "Albanian University" *1 698 719* lekë.
*2)* Bashkëshortja, të ardhura nga kurse private për programin Autocad, *360 
000* lekë.</t>
  </si>
  <si>
    <t>*1)* Marrje kredie bankare me vlerë *42 000* euro për blerje apartamenti, 
me normë interesi 6%, afat shlyerje 20 vjet.
*2)* Bashkëshortja, llogari bankare me vlerë *1 032 100* lekë.
*3)* Bashkëshortja, gjendje cash *300 000* lekë.
*4)* Bashkëshortja, gjendja cash *3 200* euro.</t>
  </si>
  <si>
    <t>Eduart BEJKO</t>
  </si>
  <si>
    <t>nr: 11239/2013 nr: 11239/2014</t>
  </si>
  <si>
    <t>Bashkëshortja, Znj. Migena Bejko</t>
  </si>
  <si>
    <t>Eleina QIRICI</t>
  </si>
  <si>
    <t>nr: 11244/2013 nr: 11244/2014</t>
  </si>
  <si>
    <t>Bashkëshorti, Z. Edmond Qirici.</t>
  </si>
  <si>
    <t>Të ardhura nga paga si Deputet i Kuvendit të Shqipërisë *1 820 172* lekë.</t>
  </si>
  <si>
    <t>Bashkëshorti, Z. Shkreli, të ardhura nga paga pranë Fondit Shqiptar të 
Monumenteve *4 200* euro.</t>
  </si>
  <si>
    <t>Albana SHTYLLA</t>
  </si>
  <si>
    <t>nr: 00920/2014</t>
  </si>
  <si>
    <t>Bashkëshorti, z. Ilirjan Lame</t>
  </si>
  <si>
    <t>Vangjel KOSTA</t>
  </si>
  <si>
    <t>nr: 03045/2014</t>
  </si>
  <si>
    <t>Bashkëshortja znj. Kleopartra Popa, Djali, z. Herald Kosta</t>
  </si>
  <si>
    <t>Paga dhe shpërblime si deputet në vlerën *2 721 434* lekë.</t>
  </si>
  <si>
    <t>*1)* Bashkëshorti zoti Enkel Demi paga pranë Radio Tirana në vlerën *792 
000* lekë.
*2)* Bashkëshorti zoti Enkel Demi pagesë për drejtimin e Festivalit të 
Radio Televizionit Shqiptar në vlerën *369 000* lekë.
*3)* Bashkëshorti zoti Enkel Demi paga pranë ABC TV në vlerën *560 000* 
lekë.
*4)* Bashkëshorti zoti Enkel Demi paga pranë Club FM në vlerën *450 000* 
lekë.
*5)* Bashkëshorti zoti Enkel Demi paga pranë Egnatia TV në vlerën *1 166 
829* lekë.</t>
  </si>
  <si>
    <t>*1)* Detyrime të papaguara në vlerën *155 597* euro për dy kredi për blerje 
apartamenti me principal *108 000* euro dhe *88 585* euro, afat maturimi 15 
vjet dhe interes 4%.
*2)* Detyrime të papaguara në vlerën *2 921 195* lekë për një kredi për 
blerje banese marrë në Mars të vitit 2000, me principal *5 000 000* lekë, 
afat maturimi 25 vjet dhe interes 3%.
*3)* Detyrime të papaguara në vlerën *4 682* euro për një kredi për blerje 
makine me principal *18 000* euro, afat maturimi 4 vjet dhe interes 7%.
*4)* Shtim i llogarise ne nje banke te nivelit te dyte, ne emer te 
bashkeshortit, ne vleren *1 465* Euro.
*5)* Shtim i llogarise ne nje banke te nivelit te dyte, ne emer te 
bashkeshortit, ne vleren *42 350* leke</t>
  </si>
  <si>
    <t>Mimoza HAFIZI</t>
  </si>
  <si>
    <t>nr: 00019/2013 nr: 00019/2014</t>
  </si>
  <si>
    <t>Bashkëshorti zoti Hasan Hafizi, Vajza zonja Adra Hafizi</t>
  </si>
  <si>
    <t>Musa ULQINI</t>
  </si>
  <si>
    <t>nr: 00149/2013 nr: 00149/2014</t>
  </si>
  <si>
    <t>Paga dhe shpërblime si deputet në vlerën *2 337 750* lekë.</t>
  </si>
  <si>
    <t>*1)* Bashkëshortja zonja Qefsere Dokle pension në vlerën *164 592* lekë.
*2)* Djali zoti Bleron Dokle paga në vlerën *769 173* lekë.
*3)* Vajza zonja Manjola Dokle paga pranë një spitali në Itali në vlerën *67 
000* euro.
*4)* Vajza zonja Manjola Dokle qira ap. banimi në vlerën *360 000* lekë.
*5)* Vajza zonja Anika Dokle paga si mjeke gjinekologe në vlerën *689 617* 
lekë.
*6)* Vajza zonja Anika Dokle paga si pedagoge e jashtme në Fakultetin e 
Infermierisë në vlerën *60 000* lekë.</t>
  </si>
  <si>
    <t>*1)* Detyrime të papaguara në vlerën *323 128* lekë për një kredi për 
shtëpi me principal *2 500 000* lekë, afat shlyerje 15 vjet dhe këst mujor *17 
265* lekë.
*2)* Detyrime të papaguara në vlerën *7 154* euro për një kredi për shtëpi 
me principal *20 000* euro dhe afat shlyerje 5 vjet.
*3)* Detyrime të papaguara në vlerën *8 000* euro ndaj një personi fizik 
për një hua me principal *10 000* euro dhe afat shlyerje 5 vjet.
*4)* Djali zoti Bleron Dokle detyrime të papaguara në vlerën *94 138* lekë 
për një overdraft marrë për qëllime studimi.
*5)* Pakesim i llogarise ne nje banke te nivelit te dyte, ne vleren *17 749* 
leke.
*6)* Pakesim i llogarise ne nje banke te nivelit te dyte, ne vleren 955 
euro.
*7)* Pakesim i llogarise ne nje banke te nivelit te dyte, ne vleren *7 180* 
euro.</t>
  </si>
  <si>
    <t>Paga dhe shpërblime si Zëvendës Ministër i Brendshëm në vlerën *415 113* 
lekë.</t>
  </si>
  <si>
    <t>*1)* Interesa bankare në vlerën *589 547* lekë nga depozita në bankë të 
nivelit të dytë.
*2)* Interesa bankare në vlerën *39 424* lekë nga depozita në bankë të 
nivelit të dytë.</t>
  </si>
  <si>
    <t>*1)* Bashkëshortja zonja Kozeta Ndoka paga dhe shpërblime si Specialiste 
pranë Ministrisë së Bujqësisë në vlerën *155 030* lekë.
*2)* Djali zoti Elvis Ndoka paga dhe shpërblime si Administrator pranë 
shoqërisë Lastminute-Albania shpk në vlerën *214 194* lekë.</t>
  </si>
  <si>
    <t>*1)* Shtim i llogarise ne nje banke te nivelit te dyte, ne vleren *355 129* 
leke.
*2)*Pakesim i llogarise ne nje banke te nivelit te dyte, ne vleren *80 576* 
leke.</t>
  </si>
  <si>
    <t>Kejdi MEHMETAJ</t>
  </si>
  <si>
    <t>nr: 12086/2013 nr: 12086/2014</t>
  </si>
  <si>
    <t>Babai zoti Fatmir Mehmetaj, Vëllai zoti Olsi Mehmetaj</t>
  </si>
  <si>
    <t>*1)* Paga dhe shpërblime si deputete në vlerën *2 951 051* lekë.
*2)* Të ardhura nga mësimdhënia pranë Universitetit Zoja e Këshillit të 
Mirë në vlerën 270 euro.</t>
  </si>
  <si>
    <t>Interesa bankare në vlerën 22 euro.</t>
  </si>
  <si>
    <t>*1)* Bashkëshorti zoti Eduard Spahiu paga si mjek endokrinolog pranë 
Spitalit Rajonal Durrës në vlerën *595 402* lekë.
*2)* Bashkëshorti zoti Eduard Spahiu fitim neto nga aktiviteti privat 
person fizik në vlerën *2 461 227* lekë.
*3)* Bashkëshorti zoti Eduard Spahiu të ardhura nga mësimdhënia pranë 
Universitetit Zoja e Këshillit të Mirë në vlerën *1 350* euro.
*4)* Bashkëshorti zoti Eduard Spahiu të ardhura nga studimi i kryer pranë 
Sanofi Aventis GRO në vlerën 406 euro.
*5)* Bashkëshorti zoti Eduard Spahiu të ardhura nga referimi në konferencën 
e Novartis Pharma Services në vlerën 300 euro.</t>
  </si>
  <si>
    <t>*1)* Detyrime të papaguara në vlerën *12 725* euro për një kredi bankare 
marrë në vitin 2008 me principal *20 000* euro.
*2)* Gjendje llogari bankare, ne nje banke te nivelit te dyte, ne vleren *1 
255 047* leke.
*3)* Shtuar llogari kursimi ne nje banke te nivelit te dyte, ne vleren 293 
euro.
*4)* Shtuar llogari kursimi ne emer te bashkeshortit, z. Eduard Spahiu ne 
nje banke te nivelit te dyte, ne vleren *1 239* euro.
*5)* Shtuar llogari kursimi e perbashket me bashkeshortin ne nje banke te 
nivelit te dyte, ne vleren 561 euro.
*6)* Pakesuar llogari kursimi ne nje banke te nivelit te dyte ne vleren *80 
555* leke.</t>
  </si>
  <si>
    <t>Kozma DASHI</t>
  </si>
  <si>
    <t>nr: 11233/2013 nr: 11233/2014</t>
  </si>
  <si>
    <t>Bashkëshortja zonja Eglantina Dashi</t>
  </si>
  <si>
    <t>Luan DUZHA</t>
  </si>
  <si>
    <t>nr: 11245/2013 nr: 11245/2014</t>
  </si>
  <si>
    <t>Bashkëshortja zonja Matilda Duzha</t>
  </si>
  <si>
    <t>Luan RAMA</t>
  </si>
  <si>
    <t>nr: 00131/2013 nr: 00131/2014</t>
  </si>
  <si>
    <t>Paga dhe shpërblime si deputet (bruto) në vlerën *4 456 644* lekë.</t>
  </si>
  <si>
    <t>Shpërblime si anëtar i senatit akademik të Universitetit Aleksandër 
Xhuvani në vlerën *80 000* lekë.</t>
  </si>
  <si>
    <t>Bashkëshortja paga dhe shpërblime si psikologe në vlerën *605 778* lekë.</t>
  </si>
  <si>
    <t>*1)* Karte krediti Visa ne banke te nivelit te dyte ne vleren *5 000* euro.
*2)* Karte krediti American Express ne banke te nivelit te dyte ne vleren *5 
000* euro.
*3)* Dhurate nga te trete nje truall ne lagjen "5 Maji", ne zonen 8525 me 
nr. 29/229, me sip. 2690 m2, zoterues i 1/3 nga 4/60 pjese.</t>
  </si>
  <si>
    <t>Paga dhe shpërblime si deputet në vlerën *1 482 921* lekë.</t>
  </si>
  <si>
    <t>*1)* Bonuse për shpenzime telefonike në vlerën *20 815* lekë.
*2)* Bonuse për shpenzime karburanti në vlerën *525 938* lekë.
*3)*Dieta dhe akomodime në vlerën *529 751* lekë.</t>
  </si>
  <si>
    <t>Shpërblime nga pjesëmarrje në komisione në vlerën *104 400* lekë.</t>
  </si>
  <si>
    <t>Ilirian PENDAVINJI</t>
  </si>
  <si>
    <t>nr: 11255/2013 nr: 11255/2014</t>
  </si>
  <si>
    <t>Bashkëshortja zonja Elia Pendavinji</t>
  </si>
  <si>
    <t>Paga dhe shpërblime si Nënkryetare e Bashkisë Tiranë në vlerën *1 217 681* 
lekë.</t>
  </si>
  <si>
    <t>Shpërblime si anëtare e Bordit të Financave Publike në vlerën *27 000* lekë.</t>
  </si>
  <si>
    <t>*1)* Interesa bankare në vlerën *44 220* lekë nga depozita.
*2)* Interesa bankare në vlerën 374 euro nga depozita në valutë.</t>
  </si>
  <si>
    <t>*1)* Bashkëshorti zoti Saimir Sallaku paga dhe shpërblime si pedagog pranë 
Fakultetit Ekonomik në vlerën *676 140* lekë.
*2)* Bashkëshorti zoti Saimir Sallaku paga dhe shpërblime si Anëtar i 
Bordit të bankës Credins në vlerën *9 119* euro.
*3)* Bashkëshorti zoti Saimir Sallaku pagesa nga Repim Research on 
Economic Policy në vlerën *16 693* euro.
*4)* Bashkëshorti zoti Saimir Sallaku pagesa nga Qendra Kombëtare për 
Studime Sociale për Projektin e Zhvillimit të të Rinjve në vlerën *4 320* 
dollar.
*5)* Bashkëshorti zoti Saimir Sallaku pagesa si anëtar i bordit AMF në 
vlerën *27 540* lekë.</t>
  </si>
  <si>
    <t>Prindërit zonja Majlinda dhe zoti Hasan Tabaku detyrime të papaguara në 
vlerën *71 525* euro për një kredi për shtëpi me principal *130 000* euro, 
afat maturimi 10 vjet dhe këst mujor *1 385* euro.</t>
  </si>
  <si>
    <t>Paga dhe shpërblime Kryetare e Kuvendit në vlerën *2 240 000* lekë.</t>
  </si>
  <si>
    <t>*1)* Bashkëshorti zoti Ndoc Topalli shitje apartamenti në Shkodër në vlerën *5 
500 000* lekë.
*2)* Bashkëshorti zoti Ndoc Topalli të ardhura nga aktiviteti privat si 
noter dhe të ardhura nga qiratë në vlerën *4 500 000* lekë.
*3)* Vajza zonja Margerita Topalli paga si ekonomiste pranë Bankës së 
Shtetit në vlerën *200 000* lekë.</t>
  </si>
  <si>
    <t>*1)* Paga dhe shpërblime si deputet në vlerën *2 518 034* lekë.
*2)* Paga nga mësimdhënia pranë Albanian University në vlerën *395 000* 
lekë.</t>
  </si>
  <si>
    <t>*1)* Bashkëshortja zonja Irena Islami paga pranë Albania-Fashion-Group shpk 
në vlerën *960 000* lekë.
*2)* Bashkëshortja zonja Irena Islami paga pranë KLSH në vlerën *311 150* 
lekë.
*3)* Djali zoti Florian Islami paga pranë Anta sh.a në vlerën *663 600* 
lekë.
*4)* Bashkëshortja zonja Irena Islami interesa bankare në vlerën *78 392* 
lekë.
*5)* Vajza zonja Manjola Islami paga në Francë në vlerën *1 845* euro.</t>
  </si>
  <si>
    <t>Paga dhe shpërblime si Prefekt i Qarkut Tiranë në vlerën *1 021 275* lekë.</t>
  </si>
  <si>
    <t>Paga si anëtar i Bordit të Rektoratit pranë Universitetit të Tiranës në 
vlerën *72 000* lekë.</t>
  </si>
  <si>
    <t>Paga dhe shpërblime si Deputet në vlerën *2 660 234* lekë.</t>
  </si>
  <si>
    <t>Omer MAMO</t>
  </si>
  <si>
    <t>nr: 11253/2013 nr: 11253/2014</t>
  </si>
  <si>
    <t>Paga dhe shpërblime si deputet në vlerën *2 793 434* lekë.</t>
  </si>
  <si>
    <t>Qira banese në vlerën *15 600* euro.</t>
  </si>
  <si>
    <t>*1)* Detyrime të papaguara në vlerën *3 418 956* lekë për një kredi marrë 
më 16.01.2013 me principal *5 000 000* lekë.
*2)* Detyrime të papaguara në vlerën *16 630* euro për blerjen e një 
shtëpie.</t>
  </si>
  <si>
    <t>Parid CARA</t>
  </si>
  <si>
    <t>nr: 11303/2012 nr: 11303/2013 nr: 11303/2014</t>
  </si>
  <si>
    <t>Paga dhe shpërblime si deputet në vlerën *2 626 934* lekë.</t>
  </si>
  <si>
    <t>*1)* Qira ambienti në vlerën *9 000* euro.
*2)* Qira ambienti në vlerën *9 450* euro.</t>
  </si>
  <si>
    <t>Bashkëshortja të ardhura nga ushtrimi i aktivitetit bar-kafe në vlerën *1 
440 000* lekë.</t>
  </si>
  <si>
    <t>Shitur veturë tip Volkswagen Golf në vlerën *5 000* euro.</t>
  </si>
  <si>
    <t>Përparim SPAHIU</t>
  </si>
  <si>
    <t>nr: 11237/2013 nr: 11237/2014</t>
  </si>
  <si>
    <t>Petrit VASILI</t>
  </si>
  <si>
    <t>nr: 01187/2013 nr: 01187/2014</t>
  </si>
  <si>
    <t>Piro KAPURANI</t>
  </si>
  <si>
    <t>nr: 11243/2013 nr: 11243/2014</t>
  </si>
  <si>
    <t>Paga dhe shpërblime si deputet në vlerën *2 512 634* lekë.</t>
  </si>
  <si>
    <t>Bashkëshortja paga dhe shpërblime si specialiste pranë ISSHP në vlerën *504 
000* lekë.</t>
  </si>
  <si>
    <t>Shtim i gjendjes cash ne vleren *500 000* leke.</t>
  </si>
  <si>
    <t>Pjerin NDREU</t>
  </si>
  <si>
    <t>nr: 04105/2013 nr: 04105/2014</t>
  </si>
  <si>
    <t>Rakip SULI</t>
  </si>
  <si>
    <t>nr: 11252/2013 nr: 11252/2014</t>
  </si>
  <si>
    <t>Robert BITRI</t>
  </si>
  <si>
    <t>nr: 12323/2013 nr: 12323/2014</t>
  </si>
  <si>
    <t>Paga dhe shpërblime si deputet në vlerën *1 342 971* lekë.</t>
  </si>
  <si>
    <t>*1)* Bashkëshortja zonja Sanie Abazi paga dhe shpërblime si ekonomiste 
pranë shoqërisë USLUGA shpk në vlerën *709 200* lekë.
*2)* Vajza zonja Aurore Abazi paga dhe shpërblime si administratore pranë 
shoqërisë USLUGA shpk në vlerën *720 000* lekë.</t>
  </si>
  <si>
    <t>*1)* Paga dhe shpërblime si deputet në vlerën *2 806 934* lekë.
*2)* Shpërblime nga mësimdhënia pranë Universitetit Akademia e Biznesit 
në vlerën *40 950* lekë.
*3)* Shpërblime nga mësimdhënia pranë Institutit Kanadez të Tëknologjisë 
në vlerën *556 000* lekë.</t>
  </si>
  <si>
    <t>Interesa në vlerën *183 339* lekë nga investimi në bono thesari.</t>
  </si>
  <si>
    <t>Qira në vlerën *438 000* lekë.</t>
  </si>
  <si>
    <t>Bashkëshortja zonja Dashurie Shehu paga dhe shpërblime pranë Ministrisë së 
Punëve të Jashtme në vlerën *1 029 378* lekë.</t>
  </si>
  <si>
    <t>*1)* Detyrime të papaguara në vlerën *65 854* euro për një kredi për blerje 
toke marrë në vitin 2007 me principal *50 000* euro, afat maturimi 20 vjet 
dhe këst mujor 366.62 euro.
*2)* Pakesim i gjendjes se perkohshme ne para dhe parave te dhena hua tek 
te afermit ne vitin e kaluar ne vleren *1 500 000* leke.</t>
  </si>
  <si>
    <t>Paga dhe shpërblime si deputet në vlerën *1 521 564* lekë.</t>
  </si>
  <si>
    <t>Te ardhura nga investimi ne bono thesari nga Banka e Shqiperise ne vleren *7 
000 000* leke.</t>
  </si>
  <si>
    <t>*1)* Bashkëshortja interesa bankare në vlerën *1 119* euro nga depozita në 
valutë.
*2)* Bashkëshortja paga dhe shpërblime si nënkryetare e AMF në vlerën *1 
137 414* lekë.</t>
  </si>
  <si>
    <t>*1)* Detyrime të papaguara në vlerën *1 903 450* lekë për një kredi marrë 
në vitin 1998 pranë Bankës së Shqipërisë me principal *3 000 000* lekë.
*2)* Detyrime të papaguara në vlerën *20 724* euro për një kredi bankare.
*3)* Depozite ne banke te nivelit te dyte ne vleren *400 000* leke.
*4)* Pakesuar gjendja cash me vleren *1 400 000* leke.</t>
  </si>
  <si>
    <t>Silva CAKA</t>
  </si>
  <si>
    <t>nr: 11953/2013</t>
  </si>
  <si>
    <t>Tahir MUHEDINI</t>
  </si>
  <si>
    <t>Partia për Drejtësi, Integrim dhe Unitet</t>
  </si>
  <si>
    <t>nr: 12569/2013 nr: 12569/2014</t>
  </si>
  <si>
    <t>Paga dhe shpërblime si deputet në vlerën *1 569 842* lekë.</t>
  </si>
  <si>
    <t>Bashkëshortja zonja Iris Pekmezi paga si avokate në vlerën *3 214 800* lekë.</t>
  </si>
  <si>
    <t>*1)* Detyrime të papaguara në vlerën *3 616 183* lekë për një kredi për 
blerje ap. banimi me sip. 86 m2 marrë më 22.02.2006 me afat maturimi 20 
vjet dhe interes 3%.
*2)* Bashkëshortja zonja Iris Pekmezi detyrime të papaguara në vlerën *21 
246* euro për një kredi për blerje ap. banimi marrë në Mars 2006 me afat 
maturimi 25 vjet dhe interes 8%.
*3)* Pakesuar llogari bankare ne nje banke te nivelit te dyte ne vleren *127 
528* leke.
*4)* Pakesuar llogari bankare ne nje banke te nivelit te dyte ne vleren *1 
980* euro.
*5)* Pakesuar llogari bankare ne nje banke te nivelit te dyte ne vleren *1 
239* USD.
*6)* Shtuar llogari bankare ne nje banke te nivelit te dyte ne vleren *234 
710* leke.
*7)* Shtuar llogari bankare ne nje banke te nivelit te dyte ne vleren *1 
563* euro.
*8)* Blere automjet me vlere *3 000* euro.
*9)* Shtuar llogari ne emer te bashkeshortes ne nje banke te nivelit te 
dyte ne vleren *6 785* leke.
*10)* Shtuar llogari ne emer te bashkeshortes ne nje banke te nivelit te 
dyte ne vleren 49 GBP.
*11)* Shtuar llogari ne emer te bashkeshortes ne nje banke te nivelit te 
dyte ne vleren *153 701* leke.
*12)* Shtuar llogari ne emer te bashkeshortes ne nje banke te nivelit te 
dyte ne vleren *1 000* euro.
*13)* Shtuar llogari ne emer te bashkeshortes ne nje banke te nivelit te 
dyte ne vleren *7 056* euro.
*14)* Shtuar gjendje cash ne emer te bashkeshortes ne vleren *1 300* euro.
*15)* Shtuar gjendje cash ne emer te bashkeshortes ne vleren *3 000* USD.
*16)* Pakesuar gjendje cash ne emer te bashkeshortes ne vleren *50 000* 
leke.
*17)* Pakesuar gjendje cash ne emer te bashkeshortes ne vleren 500 GBP.</t>
  </si>
  <si>
    <t>Ulsi MANJA</t>
  </si>
  <si>
    <t>nr: 01992/2013 nr: 01992/2014</t>
  </si>
  <si>
    <t>Paga dhe shpërblime si deputet në vlerën *1 769 726* lekë.</t>
  </si>
  <si>
    <t>Detyrime të papaguara në vlerën *2 918 891* lekë për një kredi për blerje 
ap. banimi marrë Maj 1999 me principal *5 000 000* lekë, afat maturimi 25 
vjet dhe interes 3%.</t>
  </si>
  <si>
    <t>*1)* Paga dhe shpërblime si deputet në vlerën *2 694 443* lekë.
*2)* Honorar pranë Fakultetit të Drejtësisë në vlerën *32 400* lekë.
*3)* Shpërblime nga mësimdhënia pranë Shkollës së Magjistraturës në vlerën *43 
200* lekë.
*4)* Shpërblime për pjesëmarrje si paneliste në veprimtarinë Lëvizja e 
gruas në vlerën *18 000* lekë.
*5)* Honorar për drejtim doktoraturash pranë UET në vlerën 900 euro.</t>
  </si>
  <si>
    <t>Dieta për shërbime jashtë vendit në vlerën *4 422* euro.</t>
  </si>
  <si>
    <t>*1)* Interesa bankare në vlerën *15 970* lekë nga depozita bankare.
*2)* Interesa bankare në vlerën *17 069* lekë nga depozita bankare.
*3)* Interesa bankare në vlerën *2 089* lekë nga depozita bankare.</t>
  </si>
  <si>
    <t>*1)* Botime shkencore universitare në vlerën *390 000* lekë.
*2)* Ribotime të teksteve mësimore shkollore në vlerën *65 890* lekë.</t>
  </si>
  <si>
    <t>*1)* Bashkëshorti zoti Engjëll Hysi paga si pedagog pranë universitetit 
Marin Barleti në vlerën *340 650* lekë.
*2)* Bashkëshorti zoti Engjëll Hysi paga si pedagog pranë universitetit 
Justiniani I në vlerën *120 000* lekë.
*3)* Bashkëshorti zoti Engjëll Hysi të ardhura nga ekzekutimi i pjesshëm i 
vendimit të gjykatës civile në favor të tij në vlerën *410 000* lekë.
*4)* Vajza zonja Klesta Hysi interesa bankare në vlerën *56 646* lekë.
*5)* Vajza zonja Klesta Hysi interesa bankare në vlerën *30 965* lekë.
*6)* Vajza zonja Klesta Hysi paga dhë shpërblime nga mësimdhënia në 
Fakultetin e Drejtësisë në vlerën *960 311* lekë.
*7)* Vajza zonja Klesta Hysi pagesa si koordinatore projekti pranë OJF 
Fëmijët Sot në vlerën *324 000* lekë.
*8)* Vajza zonja Klesta Hysi të ardhura nga angazhimi në një emision 
televiziv në vlerën *224 647* lekë.</t>
  </si>
  <si>
    <t>*1)* Shpërblime të pamarra nga Fakulteti i Drejtësisë për mësimdhënie në 
vlerën *731 916* lekë.
*2)* Bashkëshorti zoti Engjëll Hysi detyrime të pamarra nga ekzekutimi i 
pjesshëm i vendimit të gjykatës civile në favor të tij në vlerën *465 923* 
lekë.
*3)* Pakesuar llogaria rrjedhese ne nje banke te nivelit te dyte ne vleren *1 
027 910* leke, pasi nje pjese e te ardhurave nga kjo llogari kane kaluar ne 
depozite.
*4)* Pakesuar llogaria rrjedhese ne nje banke te nivelit te dyte ne vleren *116 
410* leke.
*5)* Pakesuar llogari rrjedhese ne nje banke te nivelit te dyte ne vleren *74 
926* leke, ku zonja Hysi este zoteruese me 50% nga ku nje pjese kane kaluar 
ne depozite .
*6)* Pakesuar llogari rrjedhese ne euro ne vleren 358 euro ku zonja Hysi 
eshte zoteruese me 50%.
*7)* Shtuar interesi bankar per depoziten ne leke ne vleren *48 112* leke, 
ku zonja Hysi este zoteruese me 50%.
*8)* Krijuar llogari rrjedhese ne euro ne nje banke te nivelit te dyte ne 
vleren 900 euro nga pagesa e kestit honorar nga te ardhurat per drejtim 
doktorature.
*9)* Shtuar llogari rrjedhese ne emer te bashkeshortit, me zoterim 50 % ne 
vleren *57 750* leke nga te ardhurat nga mesimdhenia me kohe te pjesshme ne 
Fakultetin e Drejtesise, Marin Barleti.
*10)* Shtuar llogari rrjedhese ne emer te bashkeshortit, me zoterim 50 % ne 
vleren 135 leke nga te ardhurat nga mesimdhenia me kohe te pjesshme ne 
Fakultetin e Drejtesise, Justiniani i 1.
*11 )* Pakesuar llogari rrjedhese ne emer te bashkeshortit ne vleren *92 
632* leke, pagese detyrimi TVSH mbi te ardhurat e dhjetorit 2011 dhe 
komisione per mbajtje llogarie bankare.
*12)* Bashkeshorti zoterues i gjendjes cash prej *410 000* leke.
*13)* Shtuar llogari bankare ne emer te vajzes ne nje banke te nivelit te 
dyte ne vleren *534 944* leke nga te ardhurat nga paga dhe shperblime ne 
Fakultetin e Drejtesise.
*14)* Pakesuar llogaria rrjedhese ne emer te vajzes ne nje banke te nivelit 
te dyte ne vleren *1 157 140* leke, nga ku nje pjese kane kaluar ne 
depozite me afat.
*15)* Shtuar depozite ne nje bake te nivelit te dyte ne emer te vajzes ne 
vleren *56 646* leke, nga te ardhurat nga interesat vjetor.</t>
  </si>
  <si>
    <t>Anila AGALLIU</t>
  </si>
  <si>
    <t>nr: 12954/2014</t>
  </si>
  <si>
    <t>Bashkëshorti Altin Agalliu, vajza znj. Klea Agalliu</t>
  </si>
  <si>
    <t>Erjeta ALHYSA</t>
  </si>
  <si>
    <t>nr: 12947/2014</t>
  </si>
  <si>
    <t>Bashkëshorti z. Muhamed Alhysa, vajza znj. Greta Alhysa</t>
  </si>
  <si>
    <t>Ervin BUSHATI</t>
  </si>
  <si>
    <t>nr: 12951/2014</t>
  </si>
  <si>
    <t>Bashkëshortja Jonita Bushati</t>
  </si>
  <si>
    <t>Mira SHEHU</t>
  </si>
  <si>
    <t>nr: 13036/2014</t>
  </si>
  <si>
    <t>Luljeta ARAPI</t>
  </si>
  <si>
    <t>nr: 12971/2014</t>
  </si>
  <si>
    <t>Bashkëshorti z. Pëllumb Arapi, vajza, nj. Gladiola Arapi, vajza, nj. Eriona 
Gaxho, djali, z. Rin Arapi</t>
  </si>
  <si>
    <t>*1)* Paga dhe shpërblime bruto si Anëtar i Parlamentit janar- shtator 2013 
në vlerën *1 049 508* lekë.
*2)* Paga si Ministër i Ekonomisë për periudhën shtator- dhjetor 2013 në 
vlerën *508 004* lekë.</t>
  </si>
  <si>
    <t>*1)* pjesëmarrje në komisione *34 200* lekë.
*2)* pagesa të marra për shpenzime telefoni dhe karburanti *449 500* lekë.
*3)* pagesa të marra për dieta ditore dhe akomodim *206 936* lekë.</t>
  </si>
  <si>
    <t>*1)* paga dhe shpërblime bruto të zonjës Albina Mancka deklarohen në vlerën *5 
061 031* lekë.
*2)* zonja Albina Mancka përfiton të ardhura nga dhënia me qira e zyrave në 
vlerën *10 800* euro.
*3)* zonja Albina Mancka përfiton të ardhura nga dhënia me qira e 
ambienteve në vlerën *12 000* euro.</t>
  </si>
  <si>
    <t>*1)* kredi në bankë të nivelit të dytë me vlerë detyrimi të pashlyer 439 
euro, disbursuar më 05.01.2012, afat shlyerje 2 vjet, principal *10 000* 
euro.
*2)* kredi ne bankë të nivelit të dytë me vlerë detyrimi të pashlyer *31 
381* euro, marrë më 24.08.2006 me principal *100 000* euro.
*3)* kredi në bankë të nivelit të dytë me vlerë detyrimi të pashlyer *10 
243* euro, marrë më 16.11.2009 me principal *24 111* euro.</t>
  </si>
  <si>
    <t>Paga neto si Ministër 15 shtator- 31 dhjetor 2013 në vlerën *437 002* lekë.</t>
  </si>
  <si>
    <t>Paga dhe përfitime si deputet dhe si ministër në vlerën *2 128 278* lekë</t>
  </si>
  <si>
    <t>*1)* Bashkëshortja zonja Gjiknuri paga si drejtuese në vlerën *1 400 000* 
lekë.
*2)* Bashkëshortja zonja Gjiknuri të ardhura nga punë artistike dhe 
krijuese në vlerën *800 000* lekë.</t>
  </si>
  <si>
    <t>*1)* Arkëtim në vlerën *600 000* lekë si pasojë e detyrimeve të pashlyera 
që lindin nga kontrata e shitjes së aksioneve në një shoqëri në vitin 2010.
*2)* Të ardhura nga shitja e automjetit personal tip Audi 4, me blerje në 
vitin 2010, në vlerën *5 500* euro.
*3)* Sipas deklarimit fillestar te 2010 rezulton një hua për shkak të 
sëcilës zoti Gjiknuri deklaron "pagesa të një huaje që i ka dhënë 
bashkëshortja, derdhur në llogarinë në bankë të nivelit të dytë" vlera e 
derdhjes 8 000</t>
  </si>
  <si>
    <t>*1)* Kredi për shtëpi banimi në bankë të nivelit të dytë me vlerë detyrimi 
të pashlyer *2 118 600* lekë, principal *5 000 000* lekë, interes 3% në vit.
*3)* Bashkëshortja zonja Rovena Gjiknuri kredi për blerje automjeti me 
vlerë detyrimi të pashlyer *4 000* euro, principal *18 200* euro.</t>
  </si>
  <si>
    <t>*1)* Paga dhe shpërblime në vlerën *2 145 571* lekë.</t>
  </si>
  <si>
    <t>*1)* Të ardhura nga interesa depozite në valutë, 105 dollar.
*2)* Të ardhura nga interesa depozite në valutë, 563 euro.</t>
  </si>
  <si>
    <t>*1)* Bashkëshortja zonja Aida Bushati të ardhura nga mësimdhënia në vlerën *82 
740* lekë.
*2)* Bashkëshortja zonja Aida Bushati të ardhura nga puna kërkimeve në 
vlerën *250 000* lekë.
*3)* Bashkëshortja zonja Aida Bushati të ardhura konsulenca në vlerën *22 
000* euro.
*4)* Bashkëshortja zonja Aida Bushati të ardhura nga puna në bankë në 
vlerën *508 445* lekë.</t>
  </si>
  <si>
    <t>*1)* Shitur apartament pjesë e regjimit martesor (50% secili) me sip. 
103.85 m2 në vlerën *75 000* euro.</t>
  </si>
  <si>
    <t>Paga dhe shpërblime si Ministër i Transportit dhe Infrastrukturës në vlerën *1 
198 170* lekë.</t>
  </si>
  <si>
    <t>*1)* Bashkëshortja zonja Enkeleida Haxhinasto paga nga punësimi në 
kompaninë Lerenti shpk në vlerën *600 000* lekë.
*2)* Bashkëshortja zonja Enkeleida Haxhinasto përfiton si dhuratë pasurinë 
e paluajtshme të regjistruar në hipotekë si njësi me sip. 122 m2, 100% në 
favor të saj, nga Lerenti shpk pronë e babait të saj zotit Kozma Nasto.</t>
  </si>
  <si>
    <t>*1)* Llogari rrjedhëse në bankë të nivelit të dytë, në vlerën *5 650* euro.
*2)* Depozitë kursimesh në bankë të nivelit të dytë në vlerën *10 000* euro.
*3)* Llogari rrjedhëse në bankë të nivelit të dytë në vlerën *1 198 170* 
lekë.</t>
  </si>
  <si>
    <t>*1)* Të ardhura nga mësimdhënia për Fakultetin e Shëndetit Publik në vlerën *352 
665* lekë.
*2)* Të ardhura nga puna për Ministrinë e Punëve të Jashtme në vlerën *453 
671* lekë.
*3)* Të ardhura nga puna si Ministër i Bujqësisë, Zhvillimit Rural dhe 
Administrimit të Ujërave në vlerën *672 367* lekë.
*4)* Të ardhura nga puna mësimdhënie tek Shkenca Natyre *34 994* lek.</t>
  </si>
  <si>
    <t>*1)* Bashkëshortja zonja Narin Panariti të ardhura nga puna për Grontmij 
shpk në vlerën *45 294* euro.
*2)* Bashkëshortja të ardhura nga interesat bankare *40 458* lekë.
*3)* Bashkëshortja të ardhura në vlerën *1 900* euro nga interesat e 
depozitës së kursimit në valutë.
*4)* Bashkëshortja zonja Panariti të ardhura nga puna për Fakultetin e 
Shkencave të Natyrës në vlerën 102 137.72 lekë.
*5)* Bashkëshortja zonja Panariti të ardhura nga mësimdhënia në vlerën 102 
137.72 lekë.</t>
  </si>
  <si>
    <t>Pagesa nga DRSSH në vlerën *44 449* lekë.</t>
  </si>
  <si>
    <t>*1)* Paga dhe shpërblime si deputete *1 851 850* lekë.
*2)* Paga dhe shpërblime si Ministre *347 751* lekë.
*3)* Paga si pedagoge e jashtme tek Fakulteti i Punëve Sociale *140 400* 
lekë.
*4)* Paga si pedagoge e jashtme tek ISSAT *30 000* lekë.
*5)* Të ardhura nga angazhimi në projektin PDS2 në vlerën 720 euro.</t>
  </si>
  <si>
    <t>*1)* Bashkëshorti zoti Gjermeni paga dhe shpërblime si Drejtor i 
Operacioneve Monetare në BSH *4 175 618* lekë.
*2)* Bashkëshorti zoti Gjermeni interesa neto *1 110 218* lekë që vijnë nga 
investimi në Letra me Vlerë të Qeverisë.</t>
  </si>
  <si>
    <t>*1)* Bashkëshorti zoti Marian Gjermeni shitje Obligacione në vlerën *1 300 
000* lekë.
*2)* Bashkëshorti zoti Marian Gjermeni detyrim të pashlyer në vlerën *3 763 
730* për kredi për shtëpi në Bankën e Shqipërisë.</t>
  </si>
  <si>
    <t>*1)* Paga bruto si Ministër *595 000* lekë.
*2)* Shpërblime nga Kuvendi *52 896* lekë.</t>
  </si>
  <si>
    <t>*1)* Paga si Këshilltar i Grupit Parlamentar të PS janar- shtator 2013 
vlera *940 000* lekë.
*2)* Paga në Ministrinë e Shëndetësisë shtator- dhjetor 2013 vlera *620 000* 
lekë.</t>
  </si>
  <si>
    <t>Qira apartamenti në Tiranë në vlerën *900 000* lekë.</t>
  </si>
  <si>
    <t>Të ardhura nga fitimi i kompanisë Intech shpk për vitin financiar 2012 në 
vlerën *12 000 000* lekë.</t>
  </si>
  <si>
    <t>*1)* Bashkëshortja zonja Adriana Beqaj të ardhura nga shitja e kuotave në 
Proinvest shpk në vlerën *21 000* euro.
*2)* Bashkëshortja zonja Adriana Beqaj paga në ProcreditBank *4 529 000* 
lekë.</t>
  </si>
  <si>
    <t>Të tretët kanë shlyer vlerën *18 360 000* lekë si detyrim që lind nga 
kontrata noteriale e shitjes së 51% të kuotave në kompaninë Intech shpk, 
sipas së cilës *7 000 000* lekë paguhen deri në 31.01.2014, *6 000 000* 
lekë deri në 31.10.2014 dhe *5 360 000* lekë deri në 31.05.2015.</t>
  </si>
  <si>
    <t>*1)* Paga si Zv. Ministre e janar- prill 2013, *407 465* lekë.
*2)* Paga si Ministre e Integrimit Europian shtator- dhjetor 2013, *513 637* 
lekë.</t>
  </si>
  <si>
    <t>Anëtare e Bordit të Fondit Shqiptar të Zhvillimit në vlerën *31 624* lekë.</t>
  </si>
  <si>
    <t>*1)* Paga dhe shpërblime si deputet *1 725 239* lekë.
*2)* Paga si ministër *492 172* lekë.</t>
  </si>
  <si>
    <t>*1)* Bashkëshortja zonja Brunilda Koka paga si administratore e Wind-co 
shpk *955 420* lekë.
*2)* Bashkëshortja zonja Brunilda Koka të ardhura nga qira në vlerën *630 
000* lekë.</t>
  </si>
  <si>
    <t>Në vitin 2013 bashkëshortët deklarojnë shtim dhe pakësim pasurie të 
paluajtshme përmes disa kontratave/akteve të tipit: shkëmbimi; legalizimi; 
shitje; transferim aksionesh; sipërmarrje etj.
*1)* Lefter Koka ka përfituar me kontratë shkëmbimi me Wind-co shpk Nr 
578208 dt 12-06-2013 një sipërfaqe 3324m2 tek objekti pistë Ventus vlera e 
pronës sipas raport vlerësimit *1 672 400* euro, në këmbim të këtij objekti 
Wind-co shpk ka përfituar nga zoti Lefter Koka a. Truall me sip 994.5m2 me 
ndërtesë 248.2m2 Durrës Hamalle dhe b. Gjysmën e truallit prej 403m2.
*2)* dy bashkëshortët nga një kontratë me ALUIZNI-n një sip truall 403.9m2 
me vlerë të deklaruar *507 703* lekë.
*3)* Zoti Lefter Koka me kontratë noteriale ka transferuar të drejta të 
zotërimit aktiv të aksioneve në Kantinën e Pijeve Gjergj Kastriot 
Skënderbeu SHA tek Sh. Haxhiaj pa specifikim.
*4)* përfitohen sipërfaqe apartamentesh 1347.8m2 si pasojë shkëmbimi 
pasurie dhe deklarohen pjesërisht të kontraktuara për shitje.
*5)* bashkëshortja zonja Brundilda Koka ka përfituar me kontratë shitje të 
pronës ish-publike me palë shitëse Ministria e Financave, Drejtoria e 
Administrimit dhe Shitjes së Pronave Publike truall 231.49 m2 ish 
Ndërmarrja Elektromekanike Durrës, vlera në lek për këtë sipërfaqe *4 166 
820* lekë.</t>
  </si>
  <si>
    <t>*1)* Paga dhe shpërblime si Kryetare Njësie *368 000* lekë.
*2)* Paga dhe shpërblime si Ministre *558 560* lekë.</t>
  </si>
  <si>
    <t>Honorar si bashkautore tekstesh në masën *63 000* lekë.</t>
  </si>
  <si>
    <t>*1)* Bashkëshorti zoti Ligor Nikolla paga në Universitetin Politeknik *1 
128 000* lekë.
*2)* Bashkëshorti zoti Ligor Nikolla pagesë si pedagog i jashtëm në 
Albanian University *320 000* lekë.
*3)* Bashkëshorti zoti Ligor Nikolla pagesë si pedagog i jashtëm në 
Fakultetin e Shkencave të Natyrës *118 000* lekë.
*4)* Bashkëshorti zoti Ligor Nikolla pagesë si profesor i ftuar në Maqedoni *3 
520* euro.
*5)* Bashkëshorti zoti Ligor Nikolla pagesë për leksione në Doktoraturë *243 
000* lekë.
*6)* Bashkëshorti zoti Ligor Nikolla pagesë orë suplementare *51 000* lekë.
*7)* Bashkëshorti zoti Ligor Nikolla honorar si anëtar i Këshillit të 
Fakultetit *67 000* lekë.</t>
  </si>
  <si>
    <t>Kthim i huasë pa interes në masën *1 000 000* lekë.</t>
  </si>
  <si>
    <t>*1)* Bashkëshorti zoti Ligor Nikolla detyrim të pashlyer në vlerën *930 483* 
lekë për një kredi në bankë të nivelit të dytë më afat shlyerje 10 vjet e 
interes 10% në vit.
*2)* Bashkëshorti zoti Ligor Nikolla detyrim të pashlyer në vlerën *6 000* 
euro për një hua pa interes marrë zotit Rasim Hidri.</t>
  </si>
  <si>
    <t>Paga si Ministër *530 520* lekë.</t>
  </si>
  <si>
    <t>*1)* Qira e ambienteve suplementare të shtëpisë në Francë *9 600* euro.
*2)* Qira e ambienteve suplementare të shtëpisë në Francë *7 100* euro.
*3)* Qira studio në Francë *3 600* euro.</t>
  </si>
  <si>
    <t>*1)* Bashkëshorti të ardhura nga paga në Credit Agricole, Paris *86 960* 
euro.
*2)* Bashkëshorti të ardhura nga paga shtator-dhjetor 2013 në Credit 
Agricole, Paris *22 029* euro.</t>
  </si>
  <si>
    <t>*1)* Paga si deputete *1 744 495* lekë.
*2)* Mësimdhënie në Qendrën me Orientim Gjinor dhe Kualifikim Profesional 
360 euro.
*3)* Paga si Ministër *513 497* lekë.</t>
  </si>
  <si>
    <t>Detyrim i pashlyer në vlerën *6 612* euro për një kredi për blerje 
autoveture me principal *11 400* euro.</t>
  </si>
  <si>
    <t>*1)* Paga si ministër në vlerën *505 616* lekë.
*2)* Honorar për përkthim letrar në vlerën *331 931* lekë.</t>
  </si>
  <si>
    <t>*1)* Interesa depozite në vlerën 49 euro.</t>
  </si>
  <si>
    <t>Paga si Ministër i Drejtësisë dhe Nënkryetar i Kuvendit *2 312 013* lekë.</t>
  </si>
  <si>
    <t>Bashkëshortja zonja Theodhora Naço paga bruto si përgjegjëse e sektorit të 
shërbimeve të brendshme në Drejtorinë Rajonale të Shërbimi Kombëtar i 
Punësimit *761 128* lekë.</t>
  </si>
  <si>
    <t>*1)* Paga si Kryetar i Bashkisë Korçë janar- shtator 2013 vlera *744 078* 
lekë.
*2)* Paga si Zëvendës Kryeministër shtator- dhjetor 2013 vlera *471 053* 
lekë.</t>
  </si>
  <si>
    <t>Bonus transporti *360 000* lekë.</t>
  </si>
  <si>
    <t>Pagesa si Këshilltar i Këshillit të Qarkut Korçë *178 020* lekë.</t>
  </si>
  <si>
    <t>*1)* Bashkëshortja zonja Peleshi paga dhe bonuse *1 338 995* lekë.
*2)* Të ardhura nga interesat e depozitave të veta, bashkëshortes e 
fëmijëve *580 314* lekë.</t>
  </si>
  <si>
    <t>*1)* Detyrim i pashlyer në vlerën *46 170* euro për një kredi për 
përfundimin e punimeve të shtëpisë me principal *60 000* euro, afat 
shlyerje 15 vjet.
*2)* Detyrim i pashlyer në vlerën 888 euro për një kartë krediti me limit *2 
000* euro.</t>
  </si>
  <si>
    <t>*1)* Paga si Deputet *1 583 750* lekë.
*2)* Paga si Ministër *547 383* lekë.</t>
  </si>
  <si>
    <t>*1)* Bashkëshortja zonja Fatlinda Tahiri paga si pedagoge *787 980* lekë.
*2)* Bashkëshortja zonja Fatlinda Tahiri orë suplementare dhe pagesa për 
orët në sistemin part-time *426 816* lekë.</t>
  </si>
  <si>
    <t>Detyrime të të tretëve lindur nga kontrata për shitjen e automjetit tip 
Audi A8 në vlerën *1 000 000* lekë.</t>
  </si>
  <si>
    <t>*1)* Paga në Fakultetin Ekonomik *19 460* lekë.
*2)* Paga si deputet *26 650* lekë.
*3)* Paga si Ministër Financash *350 805* lekë.
*4)* Honorare nga mësimdhënie të pjesshme *22 320* lekë.</t>
  </si>
  <si>
    <t>Bashkëshortja zonja Merita Cani honorare si lektore *226 800* lekë.</t>
  </si>
  <si>
    <t>*1)* Detyrim i pashlyer në vlerën *51 966* euro për një kredi për shtëpi në 
bankë të nivelit të dytë më principal *89 470* euro.
*2)* Detyrim i pashlyer në vlerën *2 373 380* lekë për kredi për shtëpi në 
Bankën e Shqipërisë me principal *4 000 000* lekë.
*3)* Të ardhura nga interesat *144 449* lekë.</t>
  </si>
  <si>
    <t>*1)* Të ardhura nga paga si Kryetar Bashkie *719 856* lekë.
*2)* Të ardhura nga dietat nga OSBE 140 euro.</t>
  </si>
  <si>
    <t>*1)* Të ardhura si anëtar i Këshillit të Qarkut *146 400* lekë.</t>
  </si>
  <si>
    <t>*1)* Bashkëshortja: të ardhurat nga paga *576 000* lekë.</t>
  </si>
  <si>
    <t>*1)* Të ardhura nga paga dhe bonuse si Kryetar Bashkie *1 466 640* lekë.</t>
  </si>
  <si>
    <t>*1)* Bashkëshortja: të ardhurat nga paga *1 270 000* lekë.
*2)* Të ardhura nga dhënia me qira e një ambienti për lokal në pronësi të 
Z. Ahmet Halilaj në vlerën *5 323 800* lekë.
*3)* Të ardhura nga aktiviteti privat i Z. Gent Halilaj *1 353 258* lekë 
dhe nga paga *671 600* lekë.
*4)* Të ardhura nga kthimi i borxhit të të tretëve ndaj Z. Gent Halilaj *2 
190 360* lekë.
*5)* Të ardhura nga shitja e autoveturës Z. Gent Halilaj në vlerën *7 000* 
euro.</t>
  </si>
  <si>
    <t>*1)* Të ardhura nga paga si Kryetar Bashkie *1 329 109* lekë.</t>
  </si>
  <si>
    <t>*1)* Përfituar me trashëgimi nga nëna dy sipërfaqe me ullinj, përkatësisht 
870 m2 dhe 1630 m2, të regjistruara në vitin 2014 në ZRPP Elbasan.</t>
  </si>
  <si>
    <t>*1)* Bashkëshortja, Znj. Xhuljana Sejdini: të ardhurat nga paga *472 800* 
lekë, të ardhurat si administratore e UJORI shpk *20 906 311* lekë dhe të 
ardhura nga interesat në Bono Thesari *55 143* lekë.
*2)* Z. Alion Sejdini, të ardhurat totale nga paga *502 889* lekë dhe të 
ardhurat nga aktiviteti privat *130 710* lekë.
*3)* Bashkëshortja e Z. Alion Sejdini, të ardhura nga paga *219 161* lekë.
*4)* Znj. Ina Sejdini, të ardhura nga paga *575 729* lekë.
*5)* Znj. Imelda Sejdini, të ardhurat totale nga pagat *1 752 266* lekë dhe 
të ardhurat nga investimi në Bono Thesari *32 262* lekë.
*6)* Znj. Imelda Sejdini, përfituar një shtëpi banimi me sip. 122.5 m2 
nëpërmjet një kontrate dhurimi nga Z. Sejdini, e trashëguar më herët nga 
babai i tij.
*7)* Regjistrim në ZRPP i një apartamenti me sip. 102.5 m2 në Vlorë, në 
zotërim 100% të bashkëshortes së Z. Sejdini, pa vlerë të specifikuar 
regjistrimi.</t>
  </si>
  <si>
    <t>*1)* Regjistruar në ZRPP një ndërtesë me sip. 831.6 m2 dhe truall përkatës 
me sip. 755 m2. Nuk specifikohet vlera e regjistrimi të pasurisë.
*2)* Marrje kredie bankare në vlerën *5 800 000* lekë për rikontstruksion 
banese, aktivizuar në 22.11.2013.
*3)* Marrje kredie bankare në vlerën *8 200 000* lekë për rikonstruksion 
banese, aktivizuar në 22.11.2013.
*4)* Dhuruar vajzës një apartament banimi me sip 122.5 m2, e trashëguar nga 
babai.</t>
  </si>
  <si>
    <t>*1)* Të ardhura nga paga si Kryetar Bashkie *700 392* lekë.</t>
  </si>
  <si>
    <t>*1)* Të ardhura nga qiradhënia në bashkëpronësi e një pike karburanti në 
Librazhd, për vlerën *1 944 000* lekë. Nuk specifikohet pjesa në zotërim e 
Z. Çota.</t>
  </si>
  <si>
    <t>*1)* Të ardhurat nga aktiviteti privat i bashkëshortes *405 000* lekë.</t>
  </si>
  <si>
    <t>*1)* Të ardhura nga paga si Kryetar Bashkie *709 578* lekë.</t>
  </si>
  <si>
    <t>*1)* Të ardhura si anëtar i Këshillit të Qarkut *46 800* lekë.</t>
  </si>
  <si>
    <t>*1)* Bashkëshortja: të ardhura nga paga *472 214* lekë.</t>
  </si>
  <si>
    <t>*1)* Të ardhura nga paga si Kryetar Bashkie për periudhën prill-dhjetor *1 
298 148* lekë.</t>
  </si>
  <si>
    <t>*1)* Të ardhura nga paga dhe bonuset si Kryetar Bashkie *1 603 040* lekë.</t>
  </si>
  <si>
    <t>Z. Tushaj vijon të jetë aksioner pranë kompanisë Beato-Anibale shpk me 51% 
të kuotave. Për vitin 2013 kompania nuk ka shpërndarë dividentë.</t>
  </si>
  <si>
    <t>*1)* Bashkëshortja: të ardhura nga paga në aktivitetin e saj privat *228 
000* lekë
*2)* Bashkëshortja: të ardhura nga paga pranë kompanisë Beato-Anibale shpk *264 
000* lekë.</t>
  </si>
  <si>
    <t>*1)* Të ardhura nga paga si Kryetar Bashkie *1 089 940* lekë.
*2)* Të ardhura nga mësimdhënia pranë Universitetit Bujqësor të Tiranës *69 
120* lekë.</t>
  </si>
  <si>
    <t>*1)* Të ardhura nga bonusi për transportin si Kryetar Bashkie *330 000* 
lekë.</t>
  </si>
  <si>
    <t>*1)* Të ardhurat nga interesat bankare *36 135* lekë.</t>
  </si>
  <si>
    <t>*1)* Bashkëshortja: të ardhura nga paga *1 015 610* lekë.</t>
  </si>
  <si>
    <t>*1)* Të ardhura nga ALUIZNI kompensim letra me vlerë *134 178* lekë.</t>
  </si>
  <si>
    <t>*1)* Paga si Gjyqtar i Gjykatës Kushtetuese *707 378* lekë.
*2)* Paga si Gjyqtar i Gjykatës së Lartë *1 147 556* lekë.
*3)* Të ardhura nga mësimdhënia pranë Fakultetit të Drejtësisë në 
Universitetin Europian të Tiranës *1 782* euro.
*4)* Të ardhura si ekspert në trajnimet në Shkollën e Magjistraturës *40 
000* lekë.
*5)* Të ardhura nga mësimdhënia pranë Fakultetit të Drejtësisë Justiniani i 
Parë *44 311* lekë.</t>
  </si>
  <si>
    <t>Interesa në vlerën *275 672* lekë nga Bonot e Thesarit pranë Bankës së 
Shqipërisë, pjesë e regjimit martesor.</t>
  </si>
  <si>
    <t>Bashkëshortja zonja Elvira Alibali xhiro vjetore nga ushtrimi i aktivitetit 
privat të noteres *5 132 369* lekë.</t>
  </si>
  <si>
    <t>Detyrime paguar nga të tretë për pagesa kalimtare *235 343* lekë.</t>
  </si>
  <si>
    <t>*1)* Paga si Gjyqtar i Gjykatës së Lartë *1 685 436* lekë.
*2)* Paga si pedagog i jashtëm pranë Shkollës së Magjistraturës dhe 
Universitetit Kristal *127 669* lekë.</t>
  </si>
  <si>
    <t>Interesa në vlerën *210 000* lekë nga bonot e thesarit.</t>
  </si>
  <si>
    <t>Qira apartamenti në vlerën *1 008 000* lekë.</t>
  </si>
  <si>
    <t>*1)* Bashkëshortja zonja Alda Muskaj të ardhura nga paga në vlerën *1 093 
164* lekë.
*2)* Interesa *185 006* lekë nga depozitat e fëmijëve.</t>
  </si>
  <si>
    <t>Detyrime të papaguara në vlerën *12 146 796* lekë për një kredi në bankë të 
nivelit të dytë më principal *1 132 947* lekë.</t>
  </si>
  <si>
    <t>Paga neto si Gjyqtar i Gjykatës së Lartë *1 685 436* lekë.</t>
  </si>
  <si>
    <t>*1)* Paga dhe shpërblime si Gjyqtar i Gjykatës së Lartë *1 685 436* lekë.
*2)* Shpërblim për mësimdhënie si pedagog i jashtëm pranë Shkollës së Lartë 
Jopublike Sevasti e Parashqevi Qirjazi *108 900* lekë.
*3)* Shpërblim për mësimdhënie si pedagog i jashtëm pranë Shkollës së Lartë 
Jopublike Luarasi *250 560* lekë.</t>
  </si>
  <si>
    <t>*1)* Interesa bankare në vlerën *18 286* lekë nga llogari rrjedhëse në 
bankë të nivelit të dytë.
*2)* Interesa bankare në vlerën 71 dollar të depozitës në valutë.</t>
  </si>
  <si>
    <t>*1)* Bashkëshortja zonja Edlira Dollaku paga dhe shpërblime si Drejtore e 
Degës Tiranë pranë INSIG sha në vlerën *90 006* lekë.
*2)* Bashkëshortja zonja Edlira Dollaku pagesë dëmshpërblimi për largimin e 
padrejtë nga puna sipas vendimit të Gjykatës së Apelit Tiranë *3 412 000* 
lekë.</t>
  </si>
  <si>
    <t>Detyrime të papaguara në vlerën *1 350 000* lekë për huamarrje prindërve më 
29.03.2013, pa këste, pa afat dhe pa interes për shlyerjen e kësteve të 
apartamentit pjesë të regjimit martesor.</t>
  </si>
  <si>
    <t>*1)* Paga dhe shpërblime si Anëtar i Gjykatës së Lartë *1 685 436* lekë.
*2)* Pagesa nga mësimdhënia pranë Fakultetit të Drejtësisë në Universitetin 
e Tiranës *2 496 186* lekë.
*3)* Pagesa nga mësimdhënia dhe trajnimet pranë Shkollës së Magjistraturës *171 
000* lekë.
*4)* Pagesa nga mësimdhënia pranë Fakultetit të Ekonomisë në Universitetin 
e Tiranës *129 600* lekë.
*5)* Pagesa nga mësimdhënia pranë Universitetit Beder *245 000* lekë.
*6)* Pagesa nga mësimdhënia pranë Universitetit Europian *1 300* euro.</t>
  </si>
  <si>
    <t>Bashkëshortja zonja Florina Nuni paga dhe shpërblime si dhe pension 
suplementar pranë Avokatit të Popullit *826 880* lekë.</t>
  </si>
  <si>
    <t>Paga si Gjyqtare e Gjykatës së Lartë *1 685 436* lekë.</t>
  </si>
  <si>
    <t>Anëtare e Bordit Drejtues të Zyrës së Administrimit të Buxhetit Gjyqësor *28 
310* lekë.</t>
  </si>
  <si>
    <t>Interesa bankare *1 051 209* lekë në bankë të nivelit të dytë.</t>
  </si>
  <si>
    <t>*1)* Bashkëshorti zoti Ardian Fullani paga si Guvernator i Bankës së 
Shqipërisë *6 307 308* lekë.
*2)* Bashkëshorti zoti Ardian Fullani honorare nga Këshilli Mbikëqyrës në 
Bankën e Shqipërisë *2 737 800* lekë.
*3)* Vajza zonja Fiona Fullani paga pranë Ginger shpk *980 460* lekë.</t>
  </si>
  <si>
    <t>Detyrime të pa paguara në vlerën *9 133 599* lekë për kredi për blerje 
apartamenti në Bankën e Shqipërisë.</t>
  </si>
  <si>
    <t>*1)* Paga si Gjyqtar i Gjykatës së Apelit *398 500* lekë.
*2)* Paga si Gjyqtar i Gjykatës së Lartë *1 123 516* lekë.</t>
  </si>
  <si>
    <t>Honorare si Anëtar i Këshillit të Lartë të Drejtësisë *117 000* lekë.</t>
  </si>
  <si>
    <t>Interesa bankare *17 840* lekë nga depozita plus në bankë të nivelit të 
dytë.</t>
  </si>
  <si>
    <t>*1)* Qira nga subjekti Rexha-Gold shpk *10 800* euro.
*2)* Qira zyre *840 000* lekë.</t>
  </si>
  <si>
    <t>*1)* Bashkëshortja zonja Irma Broci paga si notere *4 208 890* lekë.
*2)* Bashkëshortja zonja Irma Broci arkëtime nga shitja e autoveturës tip 
Benz *500 000* lekë.
*3)* Bashkëshortja zonja Irma Broci interesa bankare *160 373* lekë nga 
llogari në bankë të nivelit të dytë.
*4)* Bashkëshortja zonja Irma Broci interesa bankare *5 964* lekë nga 
llogari në bankë të nivelit të dytë.
*5)* Bashkëshortja zonja Irma Broci interesa bankare *7 019* lekë nga 
llogari në bankë të nivelit të dytë.</t>
  </si>
  <si>
    <t>Paga dhe shpërblime si Anëtar i Gjykatës së Lartë *1 685 436* lekë.</t>
  </si>
  <si>
    <t>Anëtar i Bordit Drejtues të Zyrës së Administrimit të Buxhetit Gjyqësor *18 
873* lekë.</t>
  </si>
  <si>
    <t>Bashkëshortja zonja Valbona Zeneli paga e shpërblime pranë Raiffeisen-Bank 
sha *7 683 415* lekë.</t>
  </si>
  <si>
    <t>*1)* Detyrime të papaguara në vlerën *123 916* euro për një kredi në valutë 
në bankë të nivelit të dytë.
*2)* Detyrime të papaguara në vlerën *14 865* euro për një kredi në valutë 
në bankë të nivelit të dytë.</t>
  </si>
  <si>
    <t>Paga si Anëtar i Gjykatës së Lartë *1 685 436* lekë.</t>
  </si>
  <si>
    <t>*1)* Paga neto si Gjyqtare e Gjykatës së Lartë *1 685 436* lekë.
*2)* Paga si eksperte pranë Shkollës së Magjistraturës 272 euro.</t>
  </si>
  <si>
    <t>*1)* Interesa bankare *4 398* lekë nga depozitë në bankë të nivelit të dytë.
*2)* Interesa bankare *5 586* euro nga depozitë në valutë.</t>
  </si>
  <si>
    <t>*1)* Të ardhura nga qira *60 780* euro, për të cilën është paguar tatim në 
burim.
*2)* Të ardhura nga qira *600 000* lekë, për të cilën është paguar tatim në 
burim.</t>
  </si>
  <si>
    <t>Vajza Krista Mollaj bursë nga Universiteti Shtetëror i Tiranës për 
rezultate të larta *74 463* lekë.</t>
  </si>
  <si>
    <t>*1)* Detyrime paguar nga të tretë për shitjen e një apartamenti dhe 
ambienteve ndihmëse në Tiranë me sip. 99.3 m2 në vlerën *89 250* euro.
*2)* Detyrime paguar nga të tretë për shitjen e një apartamenti me sip. 92 
m2 në Tiranë në vlerën *153 000* euro.</t>
  </si>
  <si>
    <t>*1)* Detyrime të papaguara në vlerën *15 750* euro sipas kontratës së 
sipërmarrjes më shoqërinë AI&amp;GI shpk.
*2)* Detyrime të papaguara në vlerën *6 750* euro sipas kontratës së 
sipërmarrjes me shoqërinë Agi-Kons shpk.
*3)* Detyrime të papaguara në vlerën *272 100* euro sipas kontratës së 
sipërmarrjes me shoqërinë Mane-TCI shpk.</t>
  </si>
  <si>
    <t>*1)* Bashkëshortja zonja Majlinda Zenelaj paga pranë Institutit të 
Monumenteve të Kulturës *740 364* lekë.
*2)* Gjyshja zonja Shake Zenelaj pension pleqërie *122 676* lekë.</t>
  </si>
  <si>
    <t>*1)* Blerë njësi me sip. 28.25 m2 në vlerën *2 200 000* lekë, sipas 
kontratës së datës 07.09.2013 që e bën pronar me 100% të tij.
*2)* Blerë sipërfaqe trualli me sip. *1 000* m2 në vlerën *200 000* lekë, 
sipas kontratës së datës 28.08.2013 që e bën pronar me 100% të tij.</t>
  </si>
  <si>
    <t>*1)* Interesa bankare *1 571* euro për depozitë në valutë.
*2)* Interesa bankare *56 332* lekë për depozitë në bankë të nivelit të 
dytë.</t>
  </si>
  <si>
    <t>*1)* Bashkëshorti zoti Odhise Andrea paga si drejtor teknik pranë 
Kobra-Security shpk dhe si administrator pranë GranitImportAL shpk *900 
000* lekë.
*2)* Bashkëshorti zoti Odhise Andrea paga si Këshilltar në Kuvendin e 
Shqipërisë *250 000* lekë.</t>
  </si>
  <si>
    <t>Detyrime të papaguara në vlerën *15 876* euro për një kredi bankare për 
blerje apartamenti me principal *20 000* euro e afat shlyerje 20 vjet.</t>
  </si>
  <si>
    <t>Interesa bankare *399 888* lekë nga depozita në bankë të nivelit të dytë.</t>
  </si>
  <si>
    <t>*1)* Bashkëshorti zoti Neshat Fana të ardhura nga puna si avokat *720 000* 
lekë.
*2)* Bashkëshorti zoti Neshat Fana paga pranë Shkollës së Magjistraturës *958 
697* lekë.
*3)* Bashkëshorti zoti Neshat Fana honorare nga Këshilli i Lartë i 
Drejtësisë *126 000* lekë.
*4)* Bashkëshorti zoti Neshat Fana të ardhura nga 2F-Grup shpk shpk *80 000* 
euro.
*5)* Vajza zonja Kristilda Fana paga në Presidencë *342 609* lekë.</t>
  </si>
  <si>
    <t>*1)* Detyrime të papaguara në vlerën *312 343* euro për kredi në bankë të 
nivelit të dytë, pjesë e regjimit martesor.
*2)* Detyrime të papaguara në vlerën *20 000* euro ndaj shoqërisë Zbogoja-ja 
shpk, pjesë e regjimit martesor.</t>
  </si>
  <si>
    <t>Paga bruto si Gjyqtar i Gjykatës së Lartë *1 685 436* lekë.</t>
  </si>
  <si>
    <t>*1)* Qira apartamenti në vlerën *2 200* euro, pjesë e regjimit martesor.
*2)* Qira të ambientit pikë shitje karburanti në vlerën *741 000* lekë.</t>
  </si>
  <si>
    <t>*1)* Bashkëshortja zonja Rilinda Selimi paga bruto si Gjyqtare e Gjykatës 
së Rrethit Gjyqësor Tiranë *715 485* lekë.
*2)* Bashkëshortja zonja Rilinda Selimi paga bruto si Gjyqtare e Gjykatës 
Administrative të Apelit Tiranë *181 872* lekë.</t>
  </si>
  <si>
    <t>Detyrime shlyer nga të tretë në vlerën *79 060* euro për shitjen e një 
apartamenti dhe garazhi, pjesë e regjimit martesor.</t>
  </si>
  <si>
    <t>Detyrime të papaguara në vlerën *5 940 000* lekë për një kredi për blerjen 
e ambientit pikë shitje karburanti marrë më 03.10.2013 me principal *6 600 
000* lekë.</t>
  </si>
  <si>
    <t>Paga dhe shpërblime neto si Gjyqtar i Gjykatës së Apelit dhe Gjyqtar i 
Gjykatës së Lartë *1 563 524* lekë.</t>
  </si>
  <si>
    <t>*1)* Bashkëshortja zonja Kristina Ndreca paga dhe shpërblime neto pranë 
Institutit të Gjeoshkencave *821 651* lekë.
*2)* Djali zoti Erion Ndreca paga dhe shpërblime neto pranë Ministrisë së 
Drejtësisë *840 000* lekë.
*3)* Djali zoti Erind Ndreca paga dhe shpërblime neto pranë Zyrës së 
Rregjistrimit të Pasurive të Paluajtshme *600 000* lekë.</t>
  </si>
  <si>
    <t>Detyrime të papaguara në vlerën *1 300 000* lekë ndaj shoqërisë 
Art-Konstruksion shpk për një apartament bazuar në një kontratë sipërmarrje.</t>
  </si>
  <si>
    <t>*1)* Paga neto si Anëtar i Gjykatës Kushtetuese dhe si Kryetar i Gjykatës 
së Lartë *2 042 000* lekë.
*2)* Të ardhura në vlerën *1 703 000* lekë nga mësimdhënia në Fakultetin e 
Drejtësisë, Institutin Europian dhe Shkollën e Magjistraturës dhe Zyrën e 
Komisionerit kundër Diskriminimit.
*3)* Të ardhura në vlerën *17 000* euro nga mësimdhënia në Universitetin 
Europian të Tiranës.
*4)* Të ardhura në vlerën *126 000* lekë nga mësimdhënia në Universitetin 
Luarasi.
*5)* Të ardhura në vlerën *1 985* euro nga bashkëpunimi me fondacione të 
huaja.
*6)* Të ardhura në vlerën *202 500* lekë nga bashkëpunimi me fondacione të 
huaja.</t>
  </si>
  <si>
    <t>Të ardhura në vlerën *119 000* lekë nga anëtarësia në Këshillin e Lartë të 
Drejtësisë.</t>
  </si>
  <si>
    <t>*1)* Interesa bankare në vlerën 203 euro nga depozita në valutë.
*2)* Interesa bankare në vlerën *1 690* euro nga depozita në valutë.
*3)* Interesa bankare në vlerën *50 000* lekë nga depozita në bankë të 
nivelit të dytë.</t>
  </si>
  <si>
    <t>Qira në vlerën *432 000* lekë, pjesë e regjimit martesor.</t>
  </si>
  <si>
    <t>Të ardhura nga libri Jurisprudencë dhe Praktikë Ndërkombëtare në vlerën *120 
000* lekë.</t>
  </si>
  <si>
    <t>*1)* Bashkëshortja zonja Neriman Zaganjori interesa bankare në vlerën *280 
000* lekë.
*2)* Bashkëshortja zonja Neriman Zaganjori interesa bankare në valutë në 
vlerën 333 euro.
*3)* Djali zoti Mirlind Zaganjori interesa bankare në vlerën *40 000* lekë.
*4)* Bashkëshortja zonja Neriman Zaganjori të ardhura si notere *943 000* 
lekë.
*5)* Djali zoti Renis Zaganjori paga si specialist në Zyrën e Komisionerit 
kundër Diskriminimit *247 328* lekë.</t>
  </si>
  <si>
    <t>Paga si Prokuror i Përgjithshëm *2 014 362* lekë.</t>
  </si>
  <si>
    <t>Bashkëshortja zonja Ardjana Llalla (Mema) paga si mjeke në Drejtorinë 
Spitalore të Institutit të Sigurimeve të Kujdesit Shëndetësor *553 521* 
lekë.</t>
  </si>
  <si>
    <t>Paga si President në vlerën *2 531 864* lekë.</t>
  </si>
  <si>
    <t>*1)* Dieta nga udhëtimet në vlerën *1 440* dollar.
*2)* Dieta nga udhëtimet në vlerën *1 040* euro.</t>
  </si>
  <si>
    <t>Të ardhura nga Këshilli i Lartë i Drejtësisë në vlerën *126 000* lekë.</t>
  </si>
  <si>
    <t>*1)* Qira dyqani në Durrës në vlerën *12 000* euro, për të cilin është 
paguar tatimi.
*2)* Qira apartamenti në Durrës në vlerën *600 000* lekë, për të cilin 
është paguar tatimi.
*3)* Qira dyqani në Durrës në vlerën *720 000* lekë, për të cilin është 
paguar tatimi.</t>
  </si>
  <si>
    <t>*1)* Bashkëshortja zonja Odeta Nishani paga si drejtore pranë Ministrisë së 
Kulturës dhe si Specialiste në Bankën e Shqipërisë në vlerën *963 000* lekë.
*2)* Bashkëshortja zonja Odeta Nishani paga si anëtare e Këshillit 
Mbikëqyrës së PSH në vlerën *181 800* lekë.
*3)* Bashkëshortja zonja Odeta Nishani dieta nga udhëtimet në vlerën 720 
dollar.
*4)* Bashkëshortja zonja Odeta Nishani dieta nga udhëtimet në vlerën 750 
euro.</t>
  </si>
  <si>
    <t>*1)* Detyrime të papaguara në vlerën *3 929 560* lekë për një kredi për 
apartament në bankë të nivelit të dytë.
*2)* Detyrime të papaguara në vlerën *62 963* euro për një kredi për shtëpi 
në bankë të nivelit të dytë.</t>
  </si>
  <si>
    <t>*1)* Paga dhe shpërblime si Drejtor i Shërbimit Informativ të Shtetit *1 
892 283* lekë.
*2)* Të ardhura nga programi Brain Gain *395 500* lekë.</t>
  </si>
  <si>
    <t>*1)* Djali zoti Viler Ajazi Lika paga *50 000* dollar kanadez.
*2)* Djali zoti Viler Ajazi Lika të ardhura nga shitja e pjesës së tij të 
biznesit *12 000* dollar kanadez.
*3)* Vajza zonja Ada Ajazi Lika paga *20 000* dollar kanadez.</t>
  </si>
  <si>
    <t>*1)* Detyrime të papaguara në vlerën *4 795 646* lekë për një kredi për 
blerje ap. banimi në Tiranë marrë në 07.09.2011 me principal *5 000 000* 
lekë, interes 4%, këst mujor *25 000* lekë dhe afat shlyerje 30 vjet.
*2)* Djali zoti Viler Ajazi Lika detyrime të papaguara në vlerën *100 000* 
dollar kanadez për një kredi bankare.
*3)* Vajza zonja Ada Ajazi Lika detyrime të papaguara në vlerën *110 000* 
dollar për një kredi bankare.</t>
  </si>
  <si>
    <t>Paga si Gjyqtar i Gjykatës së Rrethit Gjyqësor Durrës *1 237 735* lekë.</t>
  </si>
  <si>
    <t>Pagesa si anëtar I Këshillit të Lartë të Drejtësisë në vlerën *135 000* 
lekë.</t>
  </si>
  <si>
    <t>Të ardhura nga toka bujqësore në Mallakastër në vlerën *200 000* lekë.</t>
  </si>
  <si>
    <t>Bashkëshortja zonja Rudina Hamitaj paga si mësuese pranë gjimnazit Gjergj 
Kastrioti Durrës në vlerën *550 526* lekë.</t>
  </si>
  <si>
    <t>*1)* Paga si Drejtues i Zyrës Ligjore për Kreditë me Probleme pranë Intesa 
San Paolo Bank në vlerën *3 108 950* lekë.
*2)* Shpërblim si pedagog i jashtëm pranë Shkollës së Magjistraturës në 
vlerën *130 500* lekë.
*3)* Shpërblim si President i Komisionit të Disiplinës pranë Federatës 
Shqiptare të Futbollit në vlerën *747 000* lekë.
*4)* Shpërblim si ekspert i Qendrës Shqiptare për Studime dhe Trajnime 
Juridike ACLTS në vlerën *36 000* lekë.
*5)* Shpërblim si ekspert trajnimi i Shoqatës Shqiptare të Bankave në 
vlerën *18 000* lekë.
*6)* Shpërblim si ekspert trajnimi i Dhomës Kombëtare të Përmbaruesve 
Gjyqësorë Privatë në vlerën *36 000* lekë.</t>
  </si>
  <si>
    <t>*1)* Shpërblim si anëtar i Bordit të Fondacionit SOROS në vlerën *90 000* 
lekë.
*2)* Shpërblim si anëtar i Këshillit Mbikëqyrës të bankës NBG-Albania sha 
në vlerën *1 800* euro.
*3)* Shpërblim për mbledhje si anëtar i Këshillit të Lartë të Drejtësisë në 
vlerën *18 000* lekë.
*4)* Shpërblim si anëtar i Komitetit Shkencor të Shkollës Kombëtare të 
Avokatisë në vlerën *120 500* lekë.</t>
  </si>
  <si>
    <t>Bashkëshortja zonja Alma Çomo paga si Drejtore e Marrëdhënieve me Publikun 
dhe me Jashtë pranë Gjykatës Kushtetuese në vlerën *1 100 751* lekë.</t>
  </si>
  <si>
    <t>*1)* Detyrime të papaguara në vlerën *2 871 226* lekë për një kredi për 
blerje apartamenti marrë më 01.01.2000 me principal *5 000 000* lekë, 
interes 3% dhe afat maturimi 25 vjet, pjesë e regjimit martesor.
*2)* Detyrime të papaguara në vlerën *884 049* lekë për një kredi personale 
marrë më 20.07.2012 me principal *1 000 000* lekë, afat maturimi 84 muaj e 
interesit ë variueshëm, pjesë e regjimit martesor.
*3)* Detyrime të papaguara në vlerën 370 euro për kartë krediti në bankë të 
nivelit të dytë.</t>
  </si>
  <si>
    <t>*1)* Paga si Gjyqtar i Gjykatës së Rrethit Gjyqësor Tiranë *841 057* lekë.
*2)* Të ardhura nga mësimdhënia pranë universitetit Justiniani I në 
vlerën *372 180* lekë.
*3)* Të ardhura nga mësimdhënia pranë universitetit Kristal në vlerën *350 
000* lekë.
*4)* Të ardhura nga mësimdhënia pranë Fakultetit Ekonomik në vlerën *456 
588* lekë.
*5)* Të ardhura nga mësimdhënia pranë universitetit Motrat Qirjazi në 
vlerën *186 975* lekë.</t>
  </si>
  <si>
    <t>Shpërblim nga pjesëmarrja në Mbledhjet e Këshillit të Lartë të Drejtësisë 
në vlerën *135 000* lekë.</t>
  </si>
  <si>
    <t>Të ardhura nga interesa bankare në vlerën *88 584* lekë.</t>
  </si>
  <si>
    <t>Bashkëshortja zonja Luiza Mustafaj paga neto si Drejtoreshë e gjimnazit 
Partizani në vlerën *675 583* lekë.</t>
  </si>
  <si>
    <t>Paga si Gjyqtar I Gjykatës së Apelit Vlorë *1 270 591* lekë.</t>
  </si>
  <si>
    <t>Shpërblime nga pjesëmarrja në mbledhjet e Këshillit të Lartë të Drejtësisë 
në vlerën *126 000* lekë.</t>
  </si>
  <si>
    <t>*1)* Nëna zonja Myrvete Saliko pension pleqërie në vlerën *104 460* lekë.
*2)* Nëna zonja Myrvete Saliko të ardhura nga toka bujqësore, pemëtaria dhe 
bletaria në Kolonjë në vlerën *1 100 000* lekë.
*3)* Djali zoti Ibrahim Saliko paga si Specialist pranë Ministrisë së 
Drejtësisë në vlerën *638 604* lekë.
*4)* Bashkëshortja zonja Lavdie Skënderi paga si e punësuar në sektorin 
privat në vlerën *264 000* lekë.</t>
  </si>
  <si>
    <t>Paga si Gjyqtar i Gjykatës së Apelit Tiranë *1 571 388* lekë.</t>
  </si>
  <si>
    <t>*1)* Bashkëshortja zonja Elona Çaushi paga si administratore e shoqërisë 
ADFD shpk në vlerën *7 632 643* lekë.
*2)* Bashkëshortja zonja Elona Çaushi të ardhura nga dividentë prej 
shoqërisë ADFD shpk në vlerën *13 200 000* lekë.</t>
  </si>
  <si>
    <t>*1)* Detyrime të papaguara në vlerën *63 099* euro për një kredi marrë më 
27.03.2008 me principal *90 000* euro afat maturimi 15 vjet, pjesë e 
regjimit martesor.
*2)* Detyrime të papaguara në vlerën *350 000* lekë për një overdraft në 
bankë të nivelit të dytë.
*3)* Detyrime të papaguara në vlerën *10 000* euro për një kartë krediti në 
bankë të nivelit të dytë.
*4)* Detyrime të papaguara në vlerën *11 577* euro për një kredi për blerje 
makine, pjesë e regjimit martesor.</t>
  </si>
  <si>
    <t>Paga bruto si Gjyqtar i Gjykatës së Rrethit Gjyqësor Tiranë *1 283 792* 
lekë.</t>
  </si>
  <si>
    <t>Shpërblime nga pjesëmarrja në mbledhjet e Këshillit të Lartë të Drejtësisë *135 
000* lekë.</t>
  </si>
  <si>
    <t>Bashkëshortja zonja Ermira Kapllani të ardhura si notere pranë Dhomës së 
Noterisë Tiranë në vlerën *1 507 293* lekë.</t>
  </si>
  <si>
    <t>Detyrime të papaguara në vlerën *11 272* euro për një kredi për blerje 
banese.</t>
  </si>
  <si>
    <t>Paga dhe shpërblime neto si Gjyqtar i Gjykatës së Shkallës së Parë për 
Krime të Rënda në vlerën *1 234 412* lekë.</t>
  </si>
  <si>
    <t>*1)* Pagesa neto si anëtar i Këshillit të Lartë të Drejtësisë në vlerën *135 
000* lekë.
*2)* Pagesa bruto si anëtar i Komisionit Disiplinor të Dhomës Kombëtare të 
Avokatisë në vlerën *315 000* lekë.</t>
  </si>
  <si>
    <t>Bashkëshortja zonja Enkelejda Hallunaj paga neto si mjeke stomatologe pranë 
Autoritetit Shëndetësor Rajonal në vlerën *502 997* lekë.</t>
  </si>
  <si>
    <t>Detyrime të papaguara në vlerën *3 785 364* lekë për një kredi marrë më 
17.12.2005 në bankë të nivelit të dytë me principal *5 000 000* lekë, 
interes 3% dhe afat maturimi 300 muaj.</t>
  </si>
  <si>
    <t>Paga dhe shpërblime neto si Gjyqtar i Gjykatës së Rrethit Gjyqësor Lushnjë *1 
016 739* lekë.</t>
  </si>
  <si>
    <t>Shpërblime nga pjesëmarrja në mbledhjet e Këshillit të Lartë të Drejtësisë 
në vlerën *135 000* lekë.</t>
  </si>
  <si>
    <t>*1)* Bashkëshortja paga dhe shpërblime neto si Inspektore në Ministrinë e 
Drejtësisë në vlerën *430 669* lekë.
*2)* Bashkëshortja të ardhura neto nga ushtrimi i aktivitetit të noteres në 
vlerën *781 279* lekë.</t>
  </si>
  <si>
    <t>Paga si Gjyqtar i Gjykatës së Apelit *1 619 586* lekë.</t>
  </si>
  <si>
    <t>Honorare nga mbledhjet e zhvilluara nga Këshilli i Lartë i Drejtësisë *117 
000* lekë.</t>
  </si>
  <si>
    <t>*1)* Babai zoti Asim Haxhialushi pension në vlerën *188 412* lekë.
*2)* Nëna zonja Rahmije Haxhialushi pension në vlerën *164 412* lekë.
*3)* Bashkëshortja zonja Rozana Haxhialushi paga si Inspektore pranë 
Drejtorisë së Inspektimit Financiar Publik në Ministrinë e Financave në 
vlerën *579 200* lekë.</t>
  </si>
  <si>
    <t>*1)* Të ardhura nga paga për përiudhën 1 Janar-20 Dhjetor *887 813* lekë.
*2)* Të ardhura nga paga si Deputet i Kuvendit të Shqipërisë *55 448* lekë.</t>
  </si>
  <si>
    <t>Bashkëshorti, të ardhura nga pensioni *168 104* lekë.</t>
  </si>
  <si>
    <t>*1)* Të ardhura si administrator i firmës Xhenis-Sh shpk për periudhën 
Janar-Mars, *122 237* lekë.
*2)* Të ardhura si administrator i firmës Xheni-A.D. shpk për periudhën 
Janar-Korrik, *315 000* lekë.
*3)* Të ardhura si adminsitrator i firmës Media-Nord sha për periudhën 
Janar-Prill, *78 305* lekë.
*4)* Të ardhura nga paga si Deputet i Kuvendit të Shqipërisë *459 899* lekë.</t>
  </si>
  <si>
    <t>*1)* Bashkëshortja, Znj. Belma Çela, të ardhura totale si administratore e 
Xhenis-Sh shpk. *464 078* lekë.
*2)* Znj. Belma Çela, ka krijuar *3 500 000* lekë të ardhura nga shitja e 
shoqërisë Media-Nord sha në dt 17.04.2013, 100% në pronësi të Znj. Çela.
*3)* Znj. Belma Çela, të ardhura nga dividenti i shoqërisë Xhenis-Sh shpk *450 
000* lekë.</t>
  </si>
  <si>
    <t>*1)* Të ardhura nga paga pranë "AIBA Kompani" sh.a. për periudhën 
Janar-Gusht 2013, *320 000* lekë.
*2)* Të ardhurat nga paga dhe përfitime të tjera financiare si Deputet i 
Kuvendit të Shqipërisë, *890 728* lekë.</t>
  </si>
  <si>
    <t>*1)* Të ardhura nga dividendi nga kompania "Eco Market Food" sh.p.k. *3 465 
714* lekë.</t>
  </si>
  <si>
    <t>*1)* Bashkëshortja, Znj. Fatbjana Duka, të ardhura nga paga pranë "AIBA 
Kompani" sh.a. *325 000* lekë.
*2)* Znj. Enva Duka, të ardhura nga paga pranë "Eco Market Food" sh.p.k. 
për periudhën Maj-Dhjetor, *269 500* lekë.</t>
  </si>
  <si>
    <t>Të ardhura nga paga dhe përfitime të tjera financiare si Ministër dhe 
Deputet i Kuvendit të Shqipërisë *2 221 438* lekë.</t>
  </si>
  <si>
    <t>Të ardhura totale nga qiratë *27 800* euro. Nuk specifikohet pjesa që i 
takon Z. Bumçi.</t>
  </si>
  <si>
    <t>Bashkëshortja, të ardhura nga paga si Drejtor i Përgjithshëm në Ministrinë 
e Jashtme për periudhën Janar - 10 Tetor, *982 504* lekë.</t>
  </si>
  <si>
    <t>Gjendja e llogarisë rrjedhëse në fund të vitit është *200 000* lekë.</t>
  </si>
  <si>
    <t>Të ardhura nga paga dhe përfitime të tjera financiare si Ministër dhe 
Deputet i Kuvendit të Shqipërisë *1 600 000* lekë.</t>
  </si>
  <si>
    <t>Të ardhura nga qiradhënia deri në muajin Nëntor dhe detyrim i prapambetur 
nga qiramarrësi *26 000* euro, për një zyre pranë Kullave Binjake.</t>
  </si>
  <si>
    <t>Bashkëshortja, të ardhura nga paga *776 362* lekë.</t>
  </si>
  <si>
    <t>*1)* Të ardhura nga paga si Deputet i Kuvendit të Shqipërisë *668 454* lekë.
*2)* Të ardhura nga paga si Ministër i Brendshëm *1 145 364* lekë.
*3)* Të ardhura nga paga kalimtare pranë D.R.S.SH. Tiranë, *62 965* lekë.</t>
  </si>
  <si>
    <t>Bashkëshortja, të ardhura nga paga si pedagoge pranë Fakultetit të 
Shkencave Sociale *901 379* lekë.</t>
  </si>
  <si>
    <t>Të ardhura nga shitja e automjetit *3 000* euro.</t>
  </si>
  <si>
    <t>*1)* Të ardhura nga paga si Deputet i Kuvendit të Shqipërisë *699 853* lekë.
*2)* Të ardhura nga paga si Ministër i Mjedisit, Pyjeve dhe Administrimit 
të Ujërave *1 673 418* lekë.
*3)* Të ardhura nga dieta dhe shërbime *1 490* euro dhe *1 867* dollarë.</t>
  </si>
  <si>
    <t>Bashkëshortja, të ardhura nga paga si Drejtor i Statistikës dhe IT pranë 
Ministrisë së Ekonomisë, Tregtisë dhe Energjitikës dhe si Këshilltare e 
jashtme pranë Albtelekom sha *2 337 910* lekë.</t>
  </si>
  <si>
    <t>*1)* Përfitim apartamenti me KONTRATË SHKËMBIMI me firmën 
Tirana-International-Development shpk. Është përfituar një apartament me 
sip. 191.95 m2 në Rr. "Sami Frashëri", Tiranë në këmbim të apartamentit me 
sip. 149 m2, në Rr. "Elbasani", Tiranë.
*2)* Marrje kredie bankare *10 000* euro për blerje automjeti.
*3)* Gjendja e llogarisë rrjedhëse të pagës së Z. Mediu në fund të vitit *74 
080* lekë.
*4)* Gjendja e llogarisë rrjedhëse të pagës së Znj. Mediu në fund të vitit 
479 lekë.</t>
  </si>
  <si>
    <t>*1)* Të ardhura nga paga si Deputet i Kuvendit të Shqipërisë *660 591* lekë.
*2)* Të ardhura nga paga si Ministër i Bujqësisë, Ushqimit dhe Mbrojtjes së 
Konsumatorit *1 186 258* lekë.</t>
  </si>
  <si>
    <t>*1)* Të ardhura si anëtar i Bordit të Fondit të Zhvillimit të Zonave Malore *22 
500* lekë.
*2)* Të ardhura si anëtar i Bordit të AIDA-s *81 000* lekë.</t>
  </si>
  <si>
    <t>*1)* Të ardhura nga interesat *262 165* lekë, përfituar nga investimi i *5 
000 000* lekëve në Bono Thesari pranë Bankës së Shqipërisë.
*2)* Të ardhura nga interesat *248 347* lekë, përfituar nga investimi i *5 
400 000* lekëve në Bono Thesari, pasqyruar në llogarinë rrjedhëse të pagës 
personale.
*3)* Të ardhura nga interesat *118 958* lekë, përfituar nga investimi në 
Bono Thesari pranë një banke të niveli të dytë.
*4)* Të ardhura nga interesat *64 682* lekë, përfituar nga investimi në 
Bono Thesari pranë një banke të niveli të dytë të *1 050 000* lekëve.
*5)* Të ardhura totale nga interesat e depozitave në dollarë, *1 151* 
dollare.
*6)* Të ardhura totale nga interesat e depozitave në euro, *2 668* euro.
*7)* Të ardhura nga interesat nga depozita për shkollimin e vajzës 342 
dollarë.
*8)* Të ardhura totale nga interesat e depozitave në lekë *411 215* lekë.</t>
  </si>
  <si>
    <t>Të ardhura nga dhënia me qira e një apartamenti në Rr. "Kavajës", Tiranë *12 
000* euro.</t>
  </si>
  <si>
    <t>*1)* Bashkëshortja, Znj. Ruli, ka të ardhura nga paga si Drejtor pranë 
kompanisë së sigurimeve "Interalbanian" sh.a.*1 810 341* lekë.
*2)* Znj. Ruli ka realizuar të ardhura nga shërbimet e konsulencës *1 200 
000* lekë.</t>
  </si>
  <si>
    <t>Të ardhura nga shitja e apartamentit me sip. 79.2 m2, në Qerret, Kavajë, në 
vlerën *105 000* euro. Pjesa në zotërim e Z. Ruli është 100%.</t>
  </si>
  <si>
    <t>*1)* Gjendja në fund të vitit e investimit në Bono Thesari pranë Bankës së 
Shqipërisë *5 000 000* lekë.
*2)* Gjendja në fund të vitit e investimit në Bono Thesari pranë një banke 
të nivelit të dytë, *1 050 000* lekë.
*3)* Gjendja në fund të vitit e investimit në Bono Thesari pranë një banke 
të nivelit të dytë, *3 790 000* lekë.
*4)* Gjendja totale e depozitave ekzistuese në euro në fund të vitit *80 
833* euro.
*5)* Hapje depozite me vlerë *85 000* euro në emër të bashkëshortes, 
krijuar me të ardhurat nga shitja e apartamentit në Qerret, Kavajë.
*6)* Gjendja e depozitës për shkollimin e vajzës në fund të vitit *37 164* 
dollarë.
*7)* Gjendja totale e depozitave në dollarë në fund të vitit *71 085* 
dollarë.
*8)* Gjendja totale e depozitave në lekë, në fund të vitit *6 899 000* lekë.
*9)* Hapje depozite me vlerë *350 000* lekë, me kapital dhe interesa të 
patërhequra.
*10)* Hapje depozite me vlerë *695 000* lekë me kapital dhe interesa 
progresive të patërhequra.
*11)* Gjendja e investimit në Fonde Investimi Afatgjatë *14 104* euro 
(vlerësuar sipas bursës).
*12)* Gjendja e depozitës së investuar në Fonde të Investimit Afatgjatë, *25 
008* euro (vlerësuar sipas bursës).</t>
  </si>
  <si>
    <t>*1)* Të ardhura nga paga dhe përfitime të tjera financiare si Deputet i 
Kuvendit të Shqipërisë *645 426* lekë.
*2)* Të ardhura nga paga si Ministër i Inovacionit dhe Teknologjisë së 
Informacionit dhe Komunikimit *1 691 218* lekë.</t>
  </si>
  <si>
    <t>*1)* Të ardhura nga paga dhe përfitime të tjera financiare si Deputet i 
Kuvendit të Shqipërisë *763 253* lekë.
*2)* Të ardhura nga paga si Ministër i Integrimit *1 125 225* lekë.</t>
  </si>
  <si>
    <t>Të ardhura nga interesat bankare 177.06 euro.</t>
  </si>
  <si>
    <t>*1)* Të ardhura nga dhënia me qira ambienteve Bankës Intesa San Paolo *27 
000* euro.
*2)* Të ardhura nga dhënia me qira Magazina te Qyteti i Nxënësve për vlerën *3 
150* euro.</t>
  </si>
  <si>
    <t>*1)* Bashkëshorti, Z. Ajazi, të ardhura nga honorare, shpërblime dhe dieta 
pranë kompanisë "Mediavision" *16 000* euro.
*2)* Të ardhura nga interesat bankare të bashkëshortit *3 819* dollarë.
*3)* Të ardhura nga interesat bankare të bashkëshortit 411 euro.
*4)* Të ardhura nga interesat bankare të bashkëshortit *19 212* lekë.</t>
  </si>
  <si>
    <t>*1)* Marrje overdrafti pranë Bankës Intesa San Paolo në vlerën *10 000 000* 
lekë. Në dt 31 dhjetor, kjo llogari kishte tepricë minus *352 590* lekë.
*2)* Qera financiare - leasing për blerje makine, ne vlerën *51 000* euro.
*3)* Gjendja totale e llogarive në lekë e Znj. Bregu, në fund të vitit *631 
178* lekë.
*4)* Gjendja e llogarisë në lekë e Z. Ajazi në fund të vitit *485 628* lekë.
*5)* Gjendja e llogarisë në euro e Z. Ajazi në fund të vitit *8 753* euro.
*6)* Depozitë në emër të Z. Ajazi me vlerë në fund të vitit *20 645* euro.
*7)* Gjendja e depozitave totale në dollarë e Z. Ajazi në fund të vitit *239 
619* USD.
*8)* Depozita në lekë e Z. Ajazi në fund të vitit *119 212* lekë.</t>
  </si>
  <si>
    <t>*1)* Të ardhura nga paga dhe përfitime të tjera financiare si Deputet i 
Kuvendit të Shqipërisë *677 561* lekë.
*2)* Të ardhura nga paga e shpërblime si Ministër i Financave *1 401 542* 
lekë.
*3)* Të ardhura nga pagesa kalimtare dhe shpërblime nga Insituti Sigurimeve 
Shoqërore *87 542* lekë.</t>
  </si>
  <si>
    <t>Të ardhura nga interesat në Bono Thesari *71 000* lekë.</t>
  </si>
  <si>
    <t>Të ardhura nga dhënia me qira e shtëpisë *18 000* euro.</t>
  </si>
  <si>
    <t>*1)* Bashkëshortja, Znj. Jola Bode deklaron të ardhura nga paga dhe 
shpërblime si pedagoge pranë Fakultetit të Drejtësisë, UT, *1 456 154* lekë.
*2)* Znj. Jola Bode, të ardhura nga mësimdhënia në projekte të veçanta të 
OSBE-së *2 075* euro.
*3)* Znj. Jola Bode, të ardhura nga interesat në Bono Thesari *453 726* 
lekë.
*4)* Znj. Jola Bode, të ardhura për barrëlindje nga Instituti Sigurimeve 
Shoqërore *505 591* lekë.
*5)* Z. Eraldo Bode, të ardhura nga pensioni familjarë për periudhën 
Janar-Gusht *50 536* lekë.
*6)* Z. Eraldo Bode, të ardhura nga interesat në Bono Thesari *151 470* 
lekë.
*7)* Z. Eraldo Bode, të ardhura nga paga pranë Balfin shpk Company për 
periudhën Shtator-Dhjetor *203 358* lekë.
*8)* Znj. Adela Bode, të ardhura nga paga dhe shpërblime pranë Bankës së 
Shqipërisë *673 849* lekë.
*9)* Znj. Adela Bode, të ardhura nga barrëlindja nga ISSH *345 441* lekë.
*10)* Znj. Adela Bode, të ardhura nga interesa në Bono Thesari *24 800* 
lekë.
*11)* Z. Ali Vishaj, person i lidhur në deklaratë me Znj. Adela Bode, të 
ardhura nga paga *22 593* euro.
*12)* Z. Ali Vishaj, të ardhura nga konsulenca *945 372* lekë.</t>
  </si>
  <si>
    <t>*1)* Rivlerësim i apartamentit të banimit në zonën kadastrale 838, me *27 
357 000* lekë më shumë.
*2)* Gjendja e llogarisë rrjedhëse të Z. Bode në fund të vitit *369 254* 
lekë.
*3)* Gjendja e llogarisë rrjedhëse të Z. Bode në fund të vitit *720 574* 
lekë.
*4)* Gjendja e investimit në Bono Thesari të Z. Bode *5 220 000* lekë.
*5)* Gjendja e investimit në Bono Thesari të Z. Eraldo Bode *1 950 000* 
lekë.
*6)* Gjendja e llogarisë rrjedhëse e Znj. Adela Bode në fund të vitit *39 
880* lekë.
*7)* Bashkëshortja, Znj. Jola Bode, deklarohet pronare e një apartamenti 
banimi në zonën kadastrale 8270, Tiranë, me vlerë *6 687 100* lekë, blerë 
me të ardhurat nga shitja e një banese të privatizuar në vitin 1992, me 
vlerë *3 000 000* lekë, ndërsa pjesa tjetër e vlerës është pasojë e 
rivlerësimit që i është bërë apartamentit në vitin 2013. Pjesa në zotërim e 
Znj. Jola Bode është 100%.
*8)* Znj. Jola Bode zotëron një garazh në zonën kadastrale 8270, me vlerë *7 
790* euro, dhënë pa pagesë nga shitësi, si pjesë e blerjes së apartamentit 
të mësipërm.
*9)* Znj. Jola Bode zotëron një apartament banimi në zonën kadastrale 8270, 
Tiranë, me vlerë *175 000* euro, blerë me të ardhurat nga shitja e një 
apartamenti banimi në zonën kadastrale 8150 me vlerë *156 000* euro, si dhe 
nga kursimet personale.
*10)* Znj. Jola Bode ka investime në Bono Thesari me vlerë *7 850 000* 
lekë, financuar me kursimet ndër vite.
*11)* Znj. Jola Bode, llogari rrjedhëse totale në banka të ndryshme *1 963 
302* lekë. Nuk specifikohet burimi i krijimit të tyre.</t>
  </si>
  <si>
    <t>*1)* Të ardhura nga paga, shpërblime dhe dieta si Kryeministër *1 570 742* 
lekë.
*2)* Të ardhura nga paga dhe shpërblime si Deputet i Kuvendit të Shqipërisë *601 
310* lekë.
*3)* Të ardhura nga dietat si Deputet i Kuvendit të Shqipërisë *190 519* 
lekë.</t>
  </si>
  <si>
    <t>*1)* Bashkëshortja, Znj. Liri Berisha, të ardhura nga pensioni *319 571* 
lekë.
*2)* Znj. Liri Berisha, të ardhura nga interesat bankare *21 432* lekë.
*3)* Znj. Argita Malltezi, të ardhura nga paga dhe shpërblime si pedagoge 
pranë Fakultetit të Drejtësisë *1 745 448* lekë.
*4)* Znj. Argita Malltezi, të ardhura nga mësimdhënia në Universitete 
private *6 507 420* lekë.
*5)* Znj. Argita Malltezi, të ardhura nga të drejtat e autorit *682 064* 
lekë.
*6)* Znj. Argita Malltezi, të ardhura nga qiratë *59 967* euro.
*7)* Znj. Argita Malltezi, të ardhura nga interesat *66 274* lekë.
*8)* Znj. Argita Malltezi, të ardhura si anëtare e Senatit të Universitetit *86 
400* lekë.
*9)* Z. Shkëlzen Berisha, të ardhura totale nga konsulenca ligjore *4 520 
814* lekë.
*10)* Z. Shkëlzen Berisha, të ardhura nga dhënia e apartamentit te ETC me 
qira *31 964* euro.</t>
  </si>
  <si>
    <t>Z. Shkëlzen Berisha, marrje kredie me vlerë *277 200* euro për blerje 
apartamenti.</t>
  </si>
  <si>
    <t>*1)* Të ardhurat totale nga paga si Zv. Kryeministër, Ministër i Arsimit 
dhe honorare për kryesimin e Komisionit të Titujve, Agjensisë së Shkencave 
dhe Këshillit të Arsmit të Lartë *1 505 667* lekë.
*2)* Të ardhura nga paga dhe shpërblime si Deputet i Kuvendit të Shqipërisë *618 
119* lekë.</t>
  </si>
  <si>
    <t>Të ardhura nga interesat nga investimi në Fondin Prestigj *247 995* lekë.</t>
  </si>
  <si>
    <t>*1)* Bashkëshortja, Znj. N. Tafaj, të ardhura nga paga si mësuese pranë 
DAR, Tiranë, *416 319* lekë.
*2)* Znj. B.Tafaj, të ardhura nga paga si punonjëse biblioteke pranë 
Universitetit Politeknik, *598 380* lekë.
*3)* Znj. A. Tafaj, të ardhura nga paga si mjeke në Gjermani *33 764* euro.
*4)* Znj. A. Tafaj, të ardhura nga leja e lindjes *7 664* euro.
*5)* Znj. E. Kasneci, të ardhura nga leja e lindjes *4 178* euro.
*6)* Znj. E. Kasneci, të ardhura nga puna si kërkuese shkencore në Gjermani *27 
556* euro.
*7)* Znj. E. Kasneci, të ardhura nga apartamenti i dhënë me qira në 
Sindelfingen *6 615* euro.</t>
  </si>
  <si>
    <t>*1)* Gjendja totale e llogarive bankare të Znj. A. Tafaj *18 451* euro.
*2)* Gjendja totale e llogarive të Znj. E. Kasneci *17 582* euro.</t>
  </si>
  <si>
    <t>*1)* Të ardhura totale nga paga si Drejtor i Kabinetit të Kryeministrit dhe 
Deputet i Kuvendit të Shqipërisë *2 163 000* lekë.
*2)* Të ardhura nga dieta 420 euro.</t>
  </si>
  <si>
    <t>Të ardhura nga Bordi i ZRPP-së, DSHQ-së dhe konferenca *285 000* lekë.</t>
  </si>
  <si>
    <t>*1)* Të ardhurat nga interesat bankare *199 000* lekë.
*2)* Të ardhurat nga interesat bankare 755 euro.</t>
  </si>
  <si>
    <t>*1)* Bashkëshortja, Znj. Bylykbashi, të ardhura nga ushtrimi i profesionit 
të lirë si mjeke stomatologe *577 000* lekë.
*2)* Znj. Bylykbashi, të ardhura nga qiraja *360 000* lekë.</t>
  </si>
  <si>
    <t>Të ardhura nga shlyerja e detyrimit të të tretëve ndaj Z. Bylykbashi. Nuk 
specifikohet shuma e shlyer.</t>
  </si>
  <si>
    <t>*1)* Lindje detyrimi ndaj të tretëve në vlerën *500 000* lekë për blerjen e 
500 m2 truall në Durrës.
*2)* Depozitë bankare *41 600* euro.
*3)* Depozitë bankare *1 000 000* lekë.
*4)* Llogari rrjedhëse *10 000* euro.
*5)* Llogari rrjedhëse *1 0860 000* lekë.
*6)* Gjendja cash *100 000* lekë.
*7)* Krijuar depozitë me afat për vlerën *5 000 000* lekë me transferimin e 
fondeve nga llogaritë ekzistuese dhe të ardhurat nga borxhi i shlyer nga të 
tretët.
*8)* Depozitë me afat *1 000 000* lekë.
*9)* Llogari rrjedhëse *904 000* lekë.
*10)* Depozitë bankare *20 000* euro.
*11)* Llogari rrjedhëse *34 000* lekë.</t>
  </si>
  <si>
    <t>Të ardhurat nga paga dhe shpërblime si Deputet i Kuvendit të Shqipërisë *2 
309 098* lekë.</t>
  </si>
  <si>
    <t>Marrje kredie me vlerë *1 000 000* lekë për sponsorizimin e fushatës 
elektorale. Z. Zeneli nuk rezulton në listën e donatorëve të fushatës për 
vitin 2013 sipas përcaktimit në Kodin Zgjedhor, miratuar me ligjin nr. 
10019, dt 29.12.2008, ndryshuar me ligjin nr. 74/2012, dt 19.07.2012, neni 
90, pika 2.</t>
  </si>
  <si>
    <t>Të ardhurat nga paga si Deputete e Kuvendit të Shqipërisë *2 787 631* lekë.</t>
  </si>
  <si>
    <t>*1)* Të ardhura nga paga si Drejtor i DRSKSH-Lezhë *581 156* lekë.
*2)* Të ardhura nga paga si Deputet i Kuvendit të Shqipërisë *497 793* lekë.</t>
  </si>
  <si>
    <t>Bashkëshorti, Z. Deda, të ardhura nga paga si Drejtor i Qendrës 
Shëndetësore Orosh *1 013 173* lekë.</t>
  </si>
  <si>
    <t>*1)* Të ardhura nga paga si Deputet i Kuvendit të Shqipërisë *496 668* lekë.</t>
  </si>
  <si>
    <t>*1)* Bashkëshortja, Znj. Peza, të ardhura nga paga si Drejtor pranë 
Ministrsë së Punëve të Jashtme *815 544* lekë.
*2)* Znj. Peza, të ardhurat totale nga interesa *228 060* lekë.</t>
  </si>
  <si>
    <t>*1)* Të ardhura nga paga si Rektor i Universitetit Mesdhetar *1 789 000* 
lekë.
*2)* Të ardhurat nga paga si Deputet i Kuvendit të Shqipërisë *749 790* 
lekë.
*3)* Të ardhura nga mësimdhënia pranë Universitetit Mesdhetar *858 466* 
lekë.</t>
  </si>
  <si>
    <t>Të ardhura si anëtar i Këshillit të Shkencave *540 000* lekë.</t>
  </si>
  <si>
    <t>Të ardhura nga qiraja *2 000* dollarë.</t>
  </si>
  <si>
    <t>*1)* Bashkëshortja, Znj. Angjeli, të ardhura si Ekspert Kontabël *2 412 000* 
lekë.
*2)* Znj. Angjeli, të ardhura nga paga si pedagoge pranë Universitetit 
Mesdhetar *1 659 370* lekë.
*3)* Znj. Angjeli, të ardhura nga interesa bankare *11 256* dollarë.
*4)* Znj. Angjeli, të ardhura nga shlyerja e huasë dhënë të tretëve *538 
892* lekë.
*5)* Znj. Angjeli, të ardhura *62 240* dollarë nga shpërndarja e fitimit të 
fondit incetivë AAEF me vlerë.
*6)* Znj. Jona Marashi, të ardhura nga paga *61 800* dollarë.
*7)* Z. Eros Angjeli, të ardhura nga paga pranë Universitetit Mesdhetar *1 
004 475* lekë.
*8)* Z. Eros Angjeli, të ardhura nga aktiviteti privat si person fizik *193 
826* lekë.</t>
  </si>
  <si>
    <t>Znj. Angjeli ka krijuar depozitë me vlerë *64 339* dollarë me të ardhurat e 
krijuara nga shpërndarja e fitimit të fondit AAEF.</t>
  </si>
  <si>
    <t>*1)* Të ardhura nga paga si Drejtor i Burimeve Njerëzore në firmën "Alumil" 
sh.p.k. *1 520 000* lekë.
*2)* Të ardhura nga paga dhe përfitime të tjera financiare si Deputet i 
Kuvendit të Shqipërisë *911 457* lekë.</t>
  </si>
  <si>
    <t>Të ardhura si anëtar i Këshillit të Bashkisë Tiranë *137 700* lekë</t>
  </si>
  <si>
    <t>Bashkëshortja, të ardhurat nga paga si financiere pranë firmës Saluga shpk *330 
960* lekë.</t>
  </si>
  <si>
    <t>Të ardhura nga paga dhe përfitime të tjera financiare si Deputet i Kuvendit 
të Shqipërisë *2 030 072* lekë.</t>
  </si>
  <si>
    <t>Të ardhura nga paga si Deputet i Kuvendit të Shqipërisë *684 777* lekë.</t>
  </si>
  <si>
    <t>*1)* Bashkëshortja, të ardhura nga paga si financiare pranë kompanisë 
"Halili" sh.p.k. *840 000* lekë.
*2)* E bija, të ardhura nga paga si specialiste pranë "INSIG" sh.a. *664 
824* lekë.</t>
  </si>
  <si>
    <t>Të ardhura nga paga dhe përfitime të tjera financiare si Deputet i Kuvendit 
të Shqipërisë *2 211 055* lekë.</t>
  </si>
  <si>
    <t>Bashkëshortja, të ardhura nga paga si specialiste pranë DRSKSH, Tiranë, *600 
000* lekë.</t>
  </si>
  <si>
    <t>Të ardhura nga paga dhe përfitime të tjera financiare si Ministër i 
Mbrojtjes dhe Deputet i Kuvendit të Shqipërisë *1 867 818* lekë.</t>
  </si>
  <si>
    <t>*1)* Bashkëshortja, Znj. Imami, të ardhura nga paga si pedagoge pranë 
Akademisë së Arteve të Bukura *1 225 322* lekë.
*2)* Znj. Imami, të ardhura nga aktiviteti profesional si piktore dhe 
interior design *8 970* euro.
*3)* Znj. Imami, të ardhura nga interesa bankare 738 euro.</t>
  </si>
  <si>
    <t>Shitje e automjetit për vlerën *2 000* euro.</t>
  </si>
  <si>
    <t>*1)* Të ardhurat nga paga dhe përfitime të tjera financiare si Deputet i 
Kuvendit të Shqipërisë *2 776 208* lekë.
*2)* Të ardhura nga mësimdhënia në Universitetin "Aleksandër Xhuvani" *148 
500* lekë.</t>
  </si>
  <si>
    <t>*1)* Të ardhura nga qiradhënia me shoqërinë "Top Start" për muajt 
Janar-Shtator *405 000* lekë.
*2)* Të ardhura nga qiradhënia e zyrave *324 000* lekë.
*3)* Të ardhura nga qiradhënia me kompaninë "AMC" për vendosje të antenës 
në tarracën e banesës së Z. Turku, *450 000* lekë.
*4)* Të ardhura nga dhënia me qira subjektit "Shoqata Alternative" *105 000* 
lekë. Pjesa e Z. Turku është 50%.</t>
  </si>
  <si>
    <t>*1)* Bashkëshortja, Znj. Turku, të ardhura nga paga si punonjëse 
administrate në Universitetin "Aleksandër Xhuvani" *615 444* lekë.
*2)* Znj. Turku, të ardhura nga mësimdhënia në Universitetin "Aleksandër 
Xhuvani" *81 000* lekë.</t>
  </si>
  <si>
    <t>Të ardhura nga paga si Deputet i Kuvendit të Shqipërisë *2 696 082* lekë.</t>
  </si>
  <si>
    <t>Të ardhura nga paga dhe përfitime të tjera financiare si Deputet i Kuvendit 
të Shqipërisë *2 628 084* lekë.</t>
  </si>
  <si>
    <t>Bashkëshortja, të ardhura nga paga si punonjëse pranë Bashkisë Fier *405 
852* lekë.</t>
  </si>
  <si>
    <t>Të ardhura nga paga si Deputet i Kuvendit të Shqipërisë *2 124 000* lekë.</t>
  </si>
  <si>
    <t>Të ardhura nga paga dhe përfitime të tjera financiare si Deputet i Kuvendit 
të Shqipërisë *2 355 600* lekë.</t>
  </si>
  <si>
    <t>Të ardhura nga qiradhënia me kompaninë "Vodafon" *57 240* euro.</t>
  </si>
  <si>
    <t>Marrje kredie bankare *40 000* euro. Nuk specifikohet objekti i 
kredimarrjes, kohëzgjatja dhe norma e interesit.</t>
  </si>
  <si>
    <t>Të ardhura nga paga dhe përfitime të tjera financiare si Deputet i Kuvendit 
të Shqipërisë *2 615 405* lekë.</t>
  </si>
  <si>
    <t>*1)* Bashkëshortja, Znj. Patozi, të ardhura nga paga si Drejtor Inspektimi 
pranë Inspektoriatit Shtetëror të Punës*1 317 380* lekë.
*2)* Znj. Patozi,të ardhura të marra nga leja e lindjes *452 096* lekë.</t>
  </si>
  <si>
    <t>Bashkëshortja, Znj. Patozi ka përfituar një sip. tokë are 3750 m2, 
përfituar me dhurim nga nëna, pjesë e trashëgimisë nga gjyshi.</t>
  </si>
  <si>
    <t>*1)* Të ardhurat nga paga në UFO sh.p.k., UFO Security dhe UTV Education *2 
154 500* lekë.
*2)* Të ardhura nga paga si Deputet i Kuvendit të Shqipërisë *692 157* lekë.</t>
  </si>
  <si>
    <t>Të ardhurat nga interesat *44 115 403* lekë.</t>
  </si>
  <si>
    <t>Të ardhurat nga qiradhënia *19 852 320* lekë.</t>
  </si>
  <si>
    <t>Bashkëshortja, të ardhurat nga paga në UFO sh.p.k. dhe UFO Security *1 298 
900* lekë.</t>
  </si>
  <si>
    <t>Përfituar kompensim në të holla në bazë të Vendimit nr. 406, datë 3.04.2013 
të AKKP-së, *24 000 000* lekë.</t>
  </si>
  <si>
    <t>Të ardhura nga paga dhe përfitime të tjera financiare si Deputet i Kuvendit 
të Shqipërisë *2 446 848* lekë.</t>
  </si>
  <si>
    <t>Të ardhura nga interesa bankare *1 074* euro.</t>
  </si>
  <si>
    <t>*1)* Z. Rejdi Fino, të ardhura nga paga dhe shpërblime si punonjës pranë 
"ANTA" sh.a. *819 861* lekë.
*2)* Bashkëshortja, Znj. Fino, të ardhura nga aktiviteti privat (xhiroja 
vjetore) *2 200 000* lekë.</t>
  </si>
  <si>
    <t>Shkëmbimi i dy apartamenteve në Rr. "Ismail Qemali" me dy apartamente dhe 
garazh në Rr. "Sami Frashëri". Zotërim 100% i Z. Fino.</t>
  </si>
  <si>
    <t>Të ardhura nga paga dhe përfitime të tjera financiare si Deputet i Kuvendit 
të Shqipërisë *2 417 000* lekë.</t>
  </si>
  <si>
    <t>*1)* Të ardhura *255 900* lekë nga investimi në Bono Thesari.
*2)* Të ardhura totale *157 600* lekë nga interesat bankare.</t>
  </si>
  <si>
    <t>*1)* Bashkëshortja, Znj. Hoxha, të ardhura nga paga si asistente ligjore 
pranë kompanisë Euro-Alba-EA shpk *234 000* lekë.
*2)* Znj. Hoxha, të ardhura nga paga si administratore pranë kompanisë 
IRARBA-ENERGJI shpk për periudhën Tetor-Dhjetor *64 800* lekë.</t>
  </si>
  <si>
    <t>Të ardhura totale nga paga si mjek urolog pranë Spitalit Universitar të 
Traumës dhe si Deputet i Kuvendit të Shqipërisë *1 400 520* lekë.</t>
  </si>
  <si>
    <t>*1)* Bashkëshortja, të ardhura nga paga si kryelaborante pranë Spitalit 
Universitar të Traumës *612 640* lekë.
*2)* Z. Denis Mihaj, të ardhura nga paga si stomatolog pranë Spitalit 
Universitar të Traumës dhe si i punësuar pranë spitalit "Universal" *1 489 
184* lekë.</t>
  </si>
  <si>
    <t>*1)* Hipotekuar shtëpia e banimit me sip. 160 m2.
*2)* Lindur detyrimi *40 000* euro për shtesë 52 m2 të sipërfaqes së 
apartamentit.</t>
  </si>
  <si>
    <t>Të ardhurat nga paga si Deputet i Kuvendit të Shqipërisë *2 421 296* lekë.</t>
  </si>
  <si>
    <t>*1)* Të ardhura totale nga interesat bankare *1 035 000* lekë.
*2)* Të ardhura totale nga interesat bankare 367 euro.
*3)* Të ardhura totale nga interesat bankare 219 dollarë.</t>
  </si>
  <si>
    <t>Bashkëshortja, të ardhura nga aktiviteti privat si notere *2 132 010* lekë.</t>
  </si>
  <si>
    <t>*1)* Të ardhurat nga paga si Deputet i Kuvendit të Shqipërisë *2 359 000* 
lekë.
*2)* Të ardhura nga mësimdhënia pranë Fakultetit të Shkencave të Natyrës, 
UT, *183 600* lekë.
*3)* Të ardhura nga mësimdhënia pranë Universitetit Zonja e Këshillit të 
Mirë *2 350* euro.</t>
  </si>
  <si>
    <t>Bashkëshortja, të ardhura totale nga paga si pedagoge pranë Universitetit 
Politeknik të Tiranës dhe si konsulente pranë kompanisë ALBAVIA shpk *1 302 
000* lekë.</t>
  </si>
  <si>
    <t>Shitje automjeti me vlerë *80 000* lekë.</t>
  </si>
  <si>
    <t>Të ardhurat nga paga si Deputet i Kuvendit të Shqipërisë *730 454* lekë.</t>
  </si>
  <si>
    <t>Bashkëshortja, Znj. Frroku, të ardhura nga paga pranë shoqërisë F.C.Leonard 
shpk *2 000 000* lekë.</t>
  </si>
  <si>
    <t>*1)* Të ardhura nga shitja e 30% të aksioneve të shoqërisë XHOI-CO-21 shpk, 
sh.a., në dt 27.2.2014, me vlerë *1 400 000* euro.</t>
  </si>
  <si>
    <t>Të ardhurat nga paga dhe përfitime të tjera financiare si Deputet i 
Kuvendit të Shqipërisë *1 737 211* lekë.</t>
  </si>
  <si>
    <t>Të ardhura nga dividenti i kompanisë ÄLDOSCH shpk *856 568* lekë.</t>
  </si>
  <si>
    <t>Bashkëshortja, të ardhura nga paga si administratore pranë kompanisë ÄLDOSCH 
shpk në periudhën Janar-Tetor dhe si administratore e shoqërisë Profarma në 
periudhën Nëntor-Dhjetor *2 275 231* lekë.</t>
  </si>
  <si>
    <t>*1)* Përfituar me legalizim sip. 550 m2, vlerë *16 450 500* lekë, në 
Hotelin e disponuar nga Z. Doshi pranë Rr. "Durrësit", Tiranë.
*2)* Përfituar me legalizim ambiente banimi me vlerë *64 499 179* lekë, në 
Rr. "Qemal Stafa", Tiranë.
*3)* Marrë kredi bankare me vlerë *34 985* euro për blerje apartamenti në 
Rr. "Shallvaret", Tiranë, aktivizuar në dt. 12.03.2013.
*4)* Gjendja e llogarive bankare në euro të Z. Doshi në fund të periudhës 
192 euro.
*5)* Gjendja e llogarive bankare në lekë të Znj. Doshi në fund të periudhës *1 
717 813* lekë.</t>
  </si>
  <si>
    <t>*1)* Të ardhura nga paga si Drejtor i Spitalit Rajonal Vlorë, në periudhën 
Janar-Prill, *267 920* lekë.
*2)* Të ardhura nga paga si administrator i Selami shpk në periudhën 
Janar-Gusht *159 520* lekë.
*3)* Të ardhura nga paga si Deputet i Kuvendit të Shqipërisë *777 900* lekë.</t>
  </si>
  <si>
    <t>*1)* Të ardhura nga shitja e kuotave në Selami shpk *100 000* lekë.
*2)* Të ardhura nga shitja e kuotave në Kristi-Konstruksion shpk *100 000* 
lekë.</t>
  </si>
  <si>
    <t>Bashkëshortja, Znj. Alketa Selami, të ardhura si e vetpunësuar *980 000* 
lekë.</t>
  </si>
  <si>
    <t>Të ardhura nga paga dhe përfitime të tjera financiare si Deputet i Kuvendit 
të Shqipërisë *2 513 146* lekë.</t>
  </si>
  <si>
    <t>*1)* Të ardhura nga paga si Sekretare e Përgjithshme në Partinë Lëvizja 
Socialiste për Integrim, Dega Tiranë, *663 897* lekë.
*2)* Të ardhura nga paga dhe përfitime të tjera financiare si Deputet i 
Kuvendit të Shqipërisë *714 099* lekë.</t>
  </si>
  <si>
    <t>Bashkëshorti, Z. Ilir Meta, të ardhura nga paga si Deputet në Kuvendin e 
Shqipërisë *1 839 073* lekë.</t>
  </si>
  <si>
    <t>*1)* Gjendja cash në fund të vitit *11 000* euro.
*2)* Detyrim overdrafti në kartën e kreditit *95 093* lekë.</t>
  </si>
  <si>
    <t>*1)* Të ardhurat nga paga si Këshilltar Ligjor në periudhën Janar-Shtator *130 
000* lekë.
*2)* Të ardhurat nga paga si Deputet i Kuvendit të Shqipërisë *140 000* 
lekë.</t>
  </si>
  <si>
    <t>*1)* Bashkëshortja, të ardhurat nga paga *720 000* lekë.
*2)* Z. Kreshnik Braho, të ardhurat nga paga pranë Prokurorisë së Rrethit 
Durrës, *648 000* lekë.
*3)* Z. Arbër Braho, të ardhurat nga paga si Nënkryetar i Bashkisë Durrës *960 
000* lekë.</t>
  </si>
  <si>
    <t>*1)* Të ardhura nga paga si pedagoge e Fakultetit të Ekonomisë, UT, *833 
817* lekë.
*2)* Të ardhura si pedagoge e jashtme në universitetin privat "Albanian 
University" *36 000* lekë.</t>
  </si>
  <si>
    <t>Bashkëshorti, të ardhura nga paga si administrator pranë kompnisë 
Albania-Distribution shpk *737 447* lekë.</t>
  </si>
  <si>
    <t>*1)* Marrë kredi bankare me vlerë *950 000* lekë. Nuk specifikohet arsyeja 
e marrjes së kredisë dhe termat e saj.
*2)* Gjendja e detyrimit ende të pashlyer në fund të vitit nga detyrimi 
overdraft *129 537* lekë.</t>
  </si>
  <si>
    <t>*1)* Të ardhura nga paga nga mësimdhënia në Universitetin e Strugës *2 700* 
euro.
*2)* Të ardhura nga paga nga mësimdhënia në Universitetin Mesdhetar *300 
000* lekë.
*3)* Të ardhura nga paga si Deputet i Kuvendit të Shqipërisë *841 018* lekë.
*4)* Të ardhura nga paga dhe përfitime të tjera financiare pranë Fakultetit 
të Ekonomisë, UT, *146 289* lekë.</t>
  </si>
  <si>
    <t>Znj. Elmazi deklaron ritkthim borxhi nga të tretë *58 000* lekë.</t>
  </si>
  <si>
    <t>Tërheqje e depozitës *40 000* euro. Nuk specifikohet arsyeja e shumës së 
tërhequr.</t>
  </si>
  <si>
    <t>Të ardhura nga paga dhe shpërblime të tjera financiare si Deputet i 
Kuvendit të Shqipërisë *2 771 931* lekë.</t>
  </si>
  <si>
    <t>Të ardhura nga paga dhe shpërblime të tjera financiare si Deputet i 
Kuvendit të Shqipërisë *2 326 704* lekë.</t>
  </si>
  <si>
    <t>Bashkëshortja, të ardhura nga paga pranë televizionit KLAN sha *780 000* 
lekë.</t>
  </si>
  <si>
    <t>*1)* Paga si Deputet i Kuvendit të Shqipërisë në vlerën *768 279* lekë.
*2)* Paga si Shef i Urgjencës Kirurgjikale pranë Spitalit Nënë Tereza në 
vlerën *533 952* lekë.</t>
  </si>
  <si>
    <t>*1)* Djali zoti Fisnik Ziçishti paga në vlerën *336 000* lekë.
*2)* Vajza zonja Fatiola Ziçishti paga në vlerën *320 000* lekë.</t>
  </si>
  <si>
    <t>Detyrime të papaguara në vlerën *22 000* euro për një apartament në Tiranë 
me sip. 60 m2.</t>
  </si>
  <si>
    <t>Paga dhe shpërblime si Deputet i Kuvendit të Shqipërisë në vlerën *2 309 
098* lekë.</t>
  </si>
  <si>
    <t>Të ardhura nga qira farmacie dhe zyrash në vlerën *400 000* lekë.</t>
  </si>
  <si>
    <t>Bashkëshortja zonja Avonila Qefalia paga dhe shpërblime si specialist pranë 
Komunës Dajt në vlerën *432 200* lekë.</t>
  </si>
  <si>
    <t>*1)* Paga bruto si Prefekte e Qarkut Shkodër në vlerën *726 938* lekë.
*2)* Paga si Deputete, Kuvendi i Shqipërisë në vlerën *807 144* lekë.</t>
  </si>
  <si>
    <t>*1)* Qira objekti me sip. 35.34 m2 në vlerën *140 000* lekë.
*2)* Qira objekti me sip. 136.5 m2 në vlerën *100 000* lekë.
*3)* Qira objekti me sip. 186.5 m2 në vlerën *225 000* lekë.
*4)* Qira objekti me sip. 141.5 m2 në vlerën *60 000* lekë.
*5)* Qira objekti me sip. 79 m2 në vlerën *1 000* euro.</t>
  </si>
  <si>
    <t>Bashkëshorti zoti Fran Mjeda paga si Remontier pranë Operatorit të Sistemit 
të Transmetimit në vlerën *470 387* lekë.</t>
  </si>
  <si>
    <t>Detyrime të papaguara në vlerën *4 985 029* lekë për një kredi për shtëpi 
marrë më 29.12.2011 me principal *6 375 879* lekë.</t>
  </si>
  <si>
    <t>Paga neto si Deputet i Kuvendit të Shqipërisë në vlerën *2 717 727* lekë.</t>
  </si>
  <si>
    <t>Bashkëshortja zonja Kristina Hanxhari paga neto si arsimtare në Greqi në 
vlerën 923 euro.</t>
  </si>
  <si>
    <t>Shitje veture tip Volkswagen Touareg në vlerën *800 000* lekë.</t>
  </si>
  <si>
    <t>*1)* Hipotekim i apartamentit 176 m2 ne vleren *88 000* euro.
*2)* Kursime nga te ardhurat personale *370 000* leke.</t>
  </si>
  <si>
    <t>Paga dhe shpërblime si Deputete e Kuvendit të Shqipërisë në vlerën *2 438 
996* lekë.</t>
  </si>
  <si>
    <t>Interesa bankare në vlerën *6 192* lekë nga llogari bankare në bankë të 
nivelit të dytë.</t>
  </si>
  <si>
    <t>Qira ambjenti në vlerën *9 600* euro.</t>
  </si>
  <si>
    <t>*1)* Bashkëshortja e djalit zotit Arian Leskaj interesa bankare në vlerën 
204 dollar nga depozita në bankë të nivelit të dytë.
*2)* Bashkëshortja e djalit zotit Arian Leskaj paga në vlerën *312 000* 
lekë.
*3)* Djali zoti Arian Leskaj qira ambjenti me sip. 571.5 m2 në Tiranë në 
vlerën *1 080 000* lekë.
*4)* Djali zoti Arian Leskaj qira zyrash me sip. 520 m2 në Tiranë në vlerën *54 
000* euro.
*5)* Djali zoti Arian Leskaj qira ambjenti tregtar me sip. 970 m2 si dhe dy 
garazhde në Tiranë në vlerën *36 000* euro.
*6)* Djali zoti Arian Leskaj qira ambjenti me sip. 400 m2 në Tiranë në 
vlerën *4 500* euro.
*7)* Djali zoti Arian Leskaj qira ambjenti tregtar në Tiranë në vlerën *25 
170 200* lekë.
*8)* Djali zoti Arian Leskaj qira ambjenti tregtar me sip. *1 744* m2 në 
Tiranë në vlerën *75 341* euro.
*9)* Djali zoti Arian Leskaj qira ambjenti me sip. *1 200* m2 në Tiranë në 
vlerën *16 500* euro.
*10)* Djali zoti Besnik Leskaj paga neto pranë ARC shpk në vlerën *231 300* 
lekë.
*11)* Djali zoti Besnik Leskaj paga neto pranë shoqërisë 
Arian-Leskaj.Besnik-Leskaj.Delo-Ahmeti shpk në vlerën *864 000* lekë.
*12)* Djali zoti Besnik Leskaj paga neto pranë A&amp;B-Business-Consulting shpk 
në vlerën *3 793 729* lekë.
*13)* Djali zoti Besnik Leskaj paga neto pranë D&amp;L-Administrim shpk në 
vlerën *876 520* lekë.
*14)* Djali zoti Besnik Leskaj paga neto pranë Bashkisë Elbasan në vlerën *732 
494* lekë.
*15)* Djali zoti Besnik Leskaj paga neto pranë Mobi.Bank shpk në vlerën *864 
000* lekë.
*16)* Bashkëshorti zoti Astrit Leskaj pension në vlerën *249 863* lekë.</t>
  </si>
  <si>
    <t>*1)* Kthim borxhi nga djali zoti Besnik Leskaj në vlerën *1 000 000* lekë.
*2)* Shitje veture në vlerën *5 300* euro.</t>
  </si>
  <si>
    <t>*1)* Djali zoti Arian Leskaj detyrime të papaguara në vlerën *245 011* euro 
për një kredi bankare marrë më 04.02.2010 në bankë të nivelit të dytë me 
principal *1 061 711* euro me maturim më 04.12.2014.
*2)* Djali zoti Arian Leskaj detyrime të papaguara në vlerën *7 838 852* 
për një hua marrë shoqërisë Matrix-Konstruksion shpk.
*3)* Djali zoti Arian Leskaj dhënë borxh shoqërisë ARC shpk *117 955* euro.
*4)* Djali zoti Arian Leskaj dhënë borxh shoqërisë ARC shpk *2 000 000* 
lekë.</t>
  </si>
  <si>
    <t>*1)* Paga si Kryetar i Bashkisë Bulqizë në vlerën *310 241* lekë.
*2)* Paga si Deputet në vlerën *845 937* lekë.</t>
  </si>
  <si>
    <t>Bonuse dhe dieta si Kryetar i Bashkisë Bulqizë në vlerën *298 000* lekë.</t>
  </si>
  <si>
    <t>Shpërblim si anëtar i Këshillit të Qarkut Dibër në vlerën *59 400* lekë.</t>
  </si>
  <si>
    <t>*1)* Bashkëshortja zonja Rudina Keta paga si infermiere në Poliklinikën 
nr.10 Tiranë në vlerën *411 072* lekë.
*2)* Bashkëshortja zonja Rudina Keta shpërblim në vlerën *72 955* lekë.</t>
  </si>
  <si>
    <t>*1)* Të ardhura nga paga në spitalin obs. Gjinekologjik Mbretëresha 
Geraldinë për periudhën janar-maj , *90 000* lekë.
*2)* Të ardhura nga paga e prapambetur e vitit 2012 si pedagog në vlerën *620 
100* lekë.
*3)* Të ardhura nga paga si Ministër Shëndetësie për periudhën prill- 
shtator në vlerën *738 788* lekë.
*4)* Të ardhura nga Fakulteti i Mjekësisë në vlerën *1 118 890* lekë.
*5)*Të ardhura nga paga si deputet për periudhën tetor-dhjetor në vlerën *446 
269* lekë.
*6)* Të ardhura nga punësimi part time *432 000* lekë.</t>
  </si>
  <si>
    <t>*1)* Bashkëshortja, të ardhura nga paga në MPJ, *1 108 458* lekë.
*2)* Djali Genti, të ardhura nga paga si administrator i klinikës Petal 
shpk, *756 480* lekë.</t>
  </si>
  <si>
    <t>*1)* Blerje autoveture tip S-CLASS në Gjermani në vlerën *63 176* euro.
*2)* LLogari rrjedhëse në bankë të nivelit të dytë në vlerën *138 325* lekë.
*3)* Llogari kursimi me burim llogarinë e pagës në vlerën *46 358* lekë.
*4)* Llogari në bankë të nivelit të dytë në vlerën *90 004* lekë.
*4)* Llogari në bankë të nivelit të dytë në vlerën 294 euro.
*5)* Marrë kredi në datën 19.12.2013 në vlerën *280 000* euro, përdorur 
vlera prej *210 000* euro për shlyerjen tërësore të kredive dhe vlera prej *63 
200* euro ka kaluar në logarinë personale të Z. Kosova. Shuma prej *12 000* 
euro është tërhequr në cash dhe pjesa tjetër është përdorur për pagesën e 
huas për blerje autoveture .</t>
  </si>
  <si>
    <t>*1)* Të ardhura nga paga dhe shpërblime si deputete në vlerën *459 899* 
lekë.
*2)*Të ardhura nga pjesëmarrja në komisione, shpenzime telefoni, dieta 
ditore e akomodim, shpenzime qeraje e telefoni si deputete në vlerën *419 
903* lekë.</t>
  </si>
  <si>
    <t>Bashkëshorti, të ardhura nga paga si administrator në shoqërinë Anbi shpk, *412 
442* lekë.</t>
  </si>
  <si>
    <t>*1)*Pakësim llogari personale në bankë të nivelit të dytë në vlerën 378 
lekë për pagesë komisionesh.
*2)* Shtesë llogari personale në bankë të nivelit të dytë në vlerën *238 
381* lekë nga paga dhe shpërblimet.
*3)* Pakësim llogari personale në bankë të nivelit të dytë në vlerën *1 242* 
lekë për pagesë komisionesh.
*4)* Blerje objekti magazineë në Roskovec me sip 64.26 m2, blerë më datë 
28.09.2013 në vlerën *2 056 320* lekë me të ardhurat nga emigracioni.
*5)*Bashkëshorti detyrim ndaj firmës Ardit-06 shpk në vlerën *45 820* euro 
për porosinë për ndërtim lokali.</t>
  </si>
  <si>
    <t>Paga dhe shpërblime si deputet në vlerën *2 467 195* lekë.</t>
  </si>
  <si>
    <t>Interesa bankare në vlerën 30 dollar.</t>
  </si>
  <si>
    <t>*1)* Bashkëshorti zoti Bledar Valikaj paga dhe shpërblime si Oficer i 
Policisë Gjyqësore në Prokurorinë e Rrethit Gjyqësor Berat dhe atë të 
Krimeve të Rënda në vlerën *647 701* lekë.
*2)* Bashkëshorti zoti Bledar Valikaj interesa bankare në vlerën 37.41 
dollar.
*3)* Bashkëshorti zoti Bledar Valikaj interesa bankare në vlerën 360 euro 
nga depozita në valutë.</t>
  </si>
  <si>
    <t>*1)* Gjendje cash ne vleren *7 000* euro, te kursyera nga paga.
*2)* Te ardhura te perfituara nga interesa bankare ne vleren 30 dollare.</t>
  </si>
  <si>
    <t>Paga dhe shpërblime si deputet në vlerën *2 415 646* lekë.</t>
  </si>
  <si>
    <t>Bashkëshortja paga dhe shpërblime në vlerën *1 750 749* lekë.</t>
  </si>
  <si>
    <t>*1)* Te ardhura nga interesat e nje depozite ne emer te vajzes ne nje banke 
te nivelit te dyte, ne vleren *3 128* euro, por nuk specifikohet vlera e 
interesave.
*2)* Kursime prej te ardhurave familjare, *1 100 000* leke.
*3)* Te ardhura te mbartura nga nje vit me pare, ne vleren *17 200* euro</t>
  </si>
  <si>
    <t>Paga dhe shpërblime neto si deputet në vlerën *2 731 408* lekë.</t>
  </si>
  <si>
    <t>Bashkëshortja paga neto pranë Autoritetit të Mbikëqyrjes Financiare në 
vlerën *139 301* lekë.</t>
  </si>
  <si>
    <t>*1)* Shtuar llogaria rrjedhese ne nje banke te nivelit te dyte, ne vleren *38 
089* leke.
*2)* Shtuar gjendja cash me *5 000* dollare.
*3)* Llogari rrjedhese e re ne emer te bashkeshortes *139 312* leke.
*4)* Karte krediti ne shumen *300 000* leke, e marre ne vitin 2010 dhe e 
vlefshme deri ne vitin 2014.</t>
  </si>
  <si>
    <t>*1)* Të ardhura *5 000* euro nga puna private, si përkthime, etj.
*2)* Të ardhura nga paga dhe përfitime të tjera financiare si Deputet i 
Kuvendit të Shqipërisë *15 043* lekë.</t>
  </si>
  <si>
    <t>*1)* Babai i Znj. Shkjau, të ardhura nga puna pranë Zjarrëfikses së Qytetit 
Durrës *39 800* lekë.
*2)* Mamaja e Znj. Shkjau, të ardhura nga vetpunësimi në Market (biznes i 
vogël) *1 866 936* lekë xhiro vjetore.</t>
  </si>
  <si>
    <t>*1)* Të ardhura nga paga në periudhën 1 Janar- 10 Shtator, *1 590 740* lekë.
*2)* Të ardhura nga paga si Deputet i Kuvendit të Shqipërisë *827 423* lekë.</t>
  </si>
  <si>
    <t>*1)* Bashkëshorti, Z. Shkreli, të ardhura nga paga pranë Drejtorisë 
Arsimore Elbasan *343 766* lekë për periudhën Janar-Gusht.
*2)* Bashkëshorti, Z. Shkreli, të ardhura nga paga si përgjegjës sektori 
pranë Drejtorisë Arsimore Elbasan *182 192* lekë për periudhën 
Shtator-Dhjetor.</t>
  </si>
  <si>
    <t>*1)* Gjendja e llogarisë bankare në fund të vitit *45 375* lekë.
*2)* Bashkëshorti, Z. Shkreli, gjendja e llogarisë bankare në fund të vitit *340 
929* lekë.</t>
  </si>
  <si>
    <t>Paga dhe shpërblime si deputet në vlerën *2 572 496* lekë.</t>
  </si>
  <si>
    <t>Interesa bankare në vlerën *283 378* lekë nga depozita në bankë të nivelit 
të dytë.</t>
  </si>
  <si>
    <t>*1)* Vajza zonja Ermela Kraja përfitime afatshkurtra leje lindje në vlerën *90 
880* lekë.
*2)* Vajza zonja Majlinda Bami paga si punonjëse në Bibliotekën Kombëtare 
në vlerën *600 000* lekë.
*3)* Bashkëshortja zonja Irena Toçi paga si administrator pranë Shtëpisë 
Botuese Toena në vlerën *756 480* lekë.
*4)* Bashkëshortja zonja Irena Toçi interesa bankare në vlerën *64 622* 
lekë nga depozita në bankë të nivelit të dytë.
*5)* Vajza znj. Meri Toci, dhurate cdo muaj nga rroga e babit *60 000* leke.</t>
  </si>
  <si>
    <t>*1)* Shtuar llogaria ne banke te nivelit te dyte ne vleren *1 199 328* leke.
*2)* Vajza znj. Ermela Kraja llogari rrjedhese ne banke te nivelit te dyte 
ne vleren *5 012* leke.
*3)* Bashkeshortja, te ardhura nga interesat *57 554* leke.
*4)* Bashkeshortja, te ardhura nga interesat *7 068* leke.
*5)* Bashkeshortja, shtuar llogaria ne nje banke te nivelit te dyte ne 
vleren *42 595* leke.
*6)* Bashkeshortja, shtuar llogaria ne nje banke te nivelit te dyte ne 
vleren *1 503* leke.</t>
  </si>
  <si>
    <t>Paga dhe shpërblime si deputet në vlerën *2 366 739* lekë.</t>
  </si>
  <si>
    <t>Interesa bankare në vlerën 13.7 dollar.</t>
  </si>
  <si>
    <t>*1)* Qira shtëpie në vlerën *25 140* euro.
*2)* Qira shtëpie në vlerën *1 239 000* lekë.</t>
  </si>
  <si>
    <t>Bashkëshortja zonja Anita Ylli paga nga mësimdhënia në SHBA në vlerën *18 
748* dollar.</t>
  </si>
  <si>
    <t>*1)*Detyrime të papaguara në vlerën *39 389* euro ndaj shoqërisë 
Tirana-International-Development shpk sipas kontratës së shitblerjes nr. 
1629, datë 20.07.2012.
*2)* Pakesuar depozite fleksi ne nje banke te nivelit te dyte ne vleren *3 
801* euro.
*3)* Pakesuar depozita ne nje banke te nivelit te dyte, ne vleren *84 766* 
euro.
*4)* Shtuar llogaria ne nje banke te nivelit te dyte ne vleren *47 618* 
leke.
*5)* Shtuar llogaria ne nje banke te nivelit te dyte ne vleren *41 770* 
leke.
*6)* Shtuar depozita bankare ne nje banke te nivelit te dyte ne vleren *30 
361* leke.
*7)* Pakesim i nje llogarie rrjedhese ne vleren 267 USD.
*8)* Pakesim i nje depozite fleksi ne nje banke te nivelit te dyte ne 
vleren *3 671* USD.
*9)* Mbyllje e depozites me vlere *70 779* USD.
*10)* Mbyllje e depozites me vlere *887 595* leke.
*11)* Hapur llogari e re ne banke te nivelit te dyte ne vleren 262 euro.
*12)* Hapur llogari e re ne banke te nivelit te dyte ne vleren *105 745* 
leke.</t>
  </si>
  <si>
    <t>*1)* Paga dhe shpërblime si deputet në vlerën *2 219 008* lekë.
*2)* Paga nga mësimdhënia pranë universitetit Akademia e Biznesit në 
vlerën *166 540* lekë.</t>
  </si>
  <si>
    <t>*1)* Interesa bankare në vlerën *169 548* lekë.
*2)* Interesa bankare në vlerën *180 728* lekë.</t>
  </si>
  <si>
    <t>*1)* Bashkëshortja zonja Greta Mima paga pranë SKEP shpk në vlerën *139 000* 
euro.
*2)* Bashkëshortja paga dhe shpërblime të tjera në vlerën *928 311* lekë.
*3)* Bashkëshortja zonja Greta Mima interesa bankare në vlerën *6 073* euro 
nga depozita në valutë.
*4)* Bashkëshortja zonja Greta Mima interesa bankare në vlerën *1 153 312* 
lekë nga depozita bankare.
*5)* Nëna pension pleqërie në vlerën *168 000* lekë.
*6)* Vajza të ardhura nga shërbime part-time ofruar SKEP shpk në vlerën *172 
000* lekë.</t>
  </si>
  <si>
    <t>*1)* Të ardhura nga shitja e veturës tip Peugeot në vlerën *5 500* euro.
*2)* Të ardhura nga shitja e veturës tip Hyundai në vlerën *10 000* euro.</t>
  </si>
  <si>
    <t>*1)* Bashkëshortja zonja Greta Mima detyrime të papaguara në vlerën *4 000* 
euro për shtëpi.
*2)* Bashkëshortja zonja Greta Mima detyrime të papaguara në vlerën *1 259* 
euro për një kredi bankare.</t>
  </si>
  <si>
    <t>Paga dhe shpërblime si deputet në vlerën *2 357 355* lekë.</t>
  </si>
  <si>
    <t>Shitur veturë tip Mercedes Benz në vlerën *7 800* euro.</t>
  </si>
  <si>
    <t>Detyrime të papaguara në vlerën *59 303* lekë për një kredi marrë më 
01.03.2011 në bankë të nivelit të dytë me principal *600 000* lekë dhe afat 
maturimi 3 vjet.</t>
  </si>
  <si>
    <t>*1)* Bashkëshortja zonja Anila Bejko paga dhë shpërblime si hulumtuese 
shkencore në projektin Co-Plan pranë Institutit për Zhvillimin e Habitatit 
në vlerën *800 000* lekë.
*2)* Bashkëshortja zonja Anila Bejko paga nga mësimdhënia pranë 
Universitetit Polis në vlerën *135 000* lekë.</t>
  </si>
  <si>
    <t>Bashkëshortja zonja Anila Bejko detyrime të papaguara në vlerën *7 326* 
euro për një kredi për blerje veture marrë më 14.12.2012 me principal *9 
000* euro, afat shlyerje 48 muaj dhe këst mujor 216 euro.</t>
  </si>
  <si>
    <t>*1)* Paga dhe shpërblime si deputet në vlerën *2 728 838* lekë.
*2)* Të ardhura nga mësimdhënia pranë universitetit Fan Noli në vlerën *148 
500* lekë.</t>
  </si>
  <si>
    <t>*1)* Bashkëshortja zonja Liljana Papa paga si Zëvendës Drejtore pranë 
shkollës Sevasti Qirjazi në vlerën *606 764* lekë.
*2)* Vajza zonja Stela Papa paga si pedagoge në Fakultetin e Shkencave të 
Natyrës në vlerën *703 435* lekë.</t>
  </si>
  <si>
    <t>*1)* Detyrime të papaguara në vlerën *4 859 330* lekë për një kredi për 
blerje apartamenti marrë më 10.05.2012 me principal *5 000 000* lekë, afat 
shlyerje 30 vjet, interes 4% dhe këst mujor *24 100* lekë.
*2)* Detyrime të papaguara në vlerën *37 813* euro për një kredi për blerje 
apartamenti marrë më 12.10.2012 me principal, *40 186* euro, afat shlyerje 
15 vjet, interes 4.77% dhe këst mujor 313 euro.</t>
  </si>
  <si>
    <t>*1)* Paga dhe shpërblime si Drejtor i Drejtorisë Rajonale Tatimore Lezhë në 
vlerën *712 479* lekë.
*2)* Paga dhe shpërblime si deputet në vlerën *772 903* lekë.</t>
  </si>
  <si>
    <t>Qira dyqani në vlerën *480 000* lekë.</t>
  </si>
  <si>
    <t>Paga dhe shpërblime si deputet në vlerën *2 883 572* lekë.</t>
  </si>
  <si>
    <t>*1)* Qira apartamentesh në vlerën *558 000* lekë.
*2)* Qira lokali në vlerën *540 000* lekë.</t>
  </si>
  <si>
    <t>*1)* Bashkëshortja zonja Dave Kadeli paga si sekretare pranë Iridiani&amp;Kadeli 
shpk në vlerën *239 226* lekë.
*2)* Djali zoti Admir Kadeli paga pranë Iridiani&amp;Kadeli shpk në vlerën *330 
960* lekë.
*3)* Djali zoti Admir Kadeli paga pranë Payroll System në vlerën *330 000* 
lekë.
*4)* Djali zoti Admir Kadeli paga pranë Pelikan shpk në vlerën *74 000* 
lekë.</t>
  </si>
  <si>
    <t>*1)* Detyrime të papaguara në vlerën *68 712* euro për një kredi pjesë e 
regjimit martesor.
*2)* Detyrime të papaguara në vlerën *8 000* euro ndaj shoqërisë 
Colosseo-Construction shpk.</t>
  </si>
  <si>
    <t>Paga dhe shpërblime neto si deputet në vlerën *834 802* lekë.</t>
  </si>
  <si>
    <t>Bashkëshortja paga pranë Qendrës Shëndetësore Otllak në vlerën *233 010* 
lekë.</t>
  </si>
  <si>
    <t>Paga dhe shpërblime si deputet në vlerën *2 705 565* lekë.</t>
  </si>
  <si>
    <t>*1)* Djali zoti Ledian Ruçi paga në vlerën *360 000* lekë.
*2)* Djali zoti Ledian Ruçi qira dyqani në vlerën *18 000* euro.
*3)* Vajza zonja Ridvana Ruçi të ardhura nga ushtrimi i aktivitetit si 
notere në vlerën *1 383 116* lekë.
*4)* Bashkëshorti i vajzës paga si mjek në vlerën *960 000* lekë.</t>
  </si>
  <si>
    <t>Djali zoti Ledian Ruçi detyrime të papaguara në vlerën *75 000* euro.</t>
  </si>
  <si>
    <t>Paga dhe shpërblime si deputet në vlerën *869 954* lekë.</t>
  </si>
  <si>
    <t>Paga dhe shpërblime si deputet në vlerën *824 894* lekë.</t>
  </si>
  <si>
    <t>*1)* Djali zoti Asid Kamberi dividentë të shpërndarë për vitin 2013 nga 
shoqëria Bailiff-Services-Albania shpk në vlerën *26 765 856* lekë.
*2)* Djali zoti Asid Kamberi paga dhe shpërblime si dhe të ardhura nga 
qiratë në vlerën *12 115 830* lekë.</t>
  </si>
  <si>
    <t>Paga dhe shpërblime si deputet në vlerën *2 334 682* lekë.</t>
  </si>
  <si>
    <t>*1)* Bashkëshortja paga pranë Luna I në vlerën *876 000* lekë.
*2)* Bashkëshortja të ardhura neto nga ushtrimi i aktivitetit si Person 
Fizik në vlerën *1 510 189* lekë.
*3)* Vajza zonja Amantia Peza paga në vlerën *1 199 809* lekë.
*4)* Djali zoti Gëzim Peza paga pranë Anima Pictures në vlerën *66 020* 
lekë.</t>
  </si>
  <si>
    <t>*1)* Detyrime të papaguara në vlerën *206 336* euro për një kredi bankare.
*2)* Detyrime të papaguara në vlerën *60 538* euro për një kredi bankare.
*3)* Detyrime të papaguara në vlerën *9 615 387* lekë për një kredi bankare.
*4)* Detyrime të papaguara në vlerën *3 157* për kartë krediti.
*5)* Detyrime të papaguara në vlerën *3 700* euro për kartë krediti.
*6)* Detyrime të papaguara në vlerën *46 000* lekë për kartë krediti.
*7)* Bashkëshortja detyrime të papaguara në vlerën *213 000* lekë për kartë 
debiti.
*8)* Detyrime të papaguara në vlerën *502 000* lekë për energji elektrike.</t>
  </si>
  <si>
    <t>Paga dhe shpërblime si deputet në vlerën *696 262* lekë.</t>
  </si>
  <si>
    <t>Interesa bankare në vlerën *114 050* lekë nga bonot e thesarit.</t>
  </si>
  <si>
    <t>Të ardhura nga botime dhe publikime në vlerën *3 600* euro.</t>
  </si>
  <si>
    <t>Bashkëshortja paga neto si Kryetare e Autoritetit të Mbikëqyrjes Financiare 
në vlerën *1 830 184* lekë.</t>
  </si>
  <si>
    <t>Pension në vlerën *837 765* lekë</t>
  </si>
  <si>
    <t>Paga dhe shpërblime neto në vlerën *2 423 717* lekë.</t>
  </si>
  <si>
    <t>Shitje veture tip Vokswagen Tuareg në vlerën *1 000 000* lekë.</t>
  </si>
  <si>
    <t>*1)* Të ardhura nga paga në shoqërinë Unipress shpk për periudhën 
Janar-Mars, *296 962* lekë.
*2)* Të ardhura nga paga deri në datën 10.9.2013 si administrator i 
shoqërisë Abissnet sha *1 639 327* lekë.
*3)* Të ardhura nga paga deri në datën 10.9.2013 në shoqërinë F.K.-Apollonia 
sha *988 200* lekë.
*4)* Të ardhura nga paga si Deputet i Kuvendit të Shqipërisë *298 962* lekë.</t>
  </si>
  <si>
    <t>Të ardhura nga bonuse për shpenzimet e telefonit, karburantit dhe dietave 
si Deputet i Kuvendit të Shqipërisë *283 899* lekë.</t>
  </si>
  <si>
    <t>*1)* Bashkëshortja, Znj. Kokëdhima, të ardhura nga paga në Boja-Tirana sha *252 
000* lekë.
*2)* Znj. Kokëdhima, të ardhura nga paga si administratore deri në dt. 
14.11.2013 e 2K-Group shpk *409 787* lekë.
*3)* Znj. Kokëdhima, të ardhura nga paga si administratore e Unipress shpk *472 
447* lekë.
*4)* Znj. Kokëdhima, të ardhura nga paga si administratore e Sirius sha *957 
226* lekë.
*5)* Znj. Kokëdhima, të ardhura nga paga si administratore e B1-Advertising 
sha *1 106 277* lekë.
*6)* Znj. Kokëdhima, të ardhura nga paga në Abissnet sha *953 2654* lekë.
*7)* Znj. Kokëdhima, të ardhura nga paga si administratore deri në Tetor, 
2013 e TV-Ballkan sha *396 000* lekë.
*8)* Znj. Besa Kokëdhima, të ardhura nga paga si administratore deri në dt 
25.11.2013 e Radio+2 sha *363 480* lekë.
*9)* Znj. Besa Kokëdhima, të ardhura nga honorare për pjesëmarrje në 
aktivitete televizive *39 751* lekë.
*10)* Znj. Besa Kokëdhima, të ardhura me vlerë *10 000* lekë nga shitja e 
100 kuotave të Domus-Silva-Albania shpk .
*11)* Znj. Besa Kokëdhima, të ardhura me vlerë *4 000 000* lekë nga shitja 
e kuotave të zotëruara në Radio+2 sha.
*12)* Znj. Besa Kokëdhima, të ardhura *450 000* lekë të përfituara nga 
Çmimi i parë në "Këngën Magjike".
*13)* Znj. Besa Kokëdhima, përfituar në formë sponsorizimi *20 000* euro 
nga Uniqa-Group-Austria sha për realizimin e albumit muzikor.</t>
  </si>
  <si>
    <t>*1)* Të ardhura me vlerë *25 000 001* lekë nga shitja e *83 275* aksioneve 
apo 90.32% e aksioneve totale që subjekti Z. K. Kokëdhima zotëronte në 
Remonti-Elektrik sha.
*2)* Të ardhura me vlerë *335 250 000* lekë nga shitja e *335 250* 
aksioneve apo 72.33% e aksioneve totale që subjekti Z. K. Kokëdhima 
zotëronte në F.K.-Apollonia sha.
*3)* Të ardhura me vlerë *10 000 000* lekë nga shitja e 100% të kuotave që 
subjekti Z. K. Kokëdhima zotëronte në 2K-Group shpk.
*4)* Të ardhura me vlerë *1 999 999* lekë nga shlyerja e detyrimit që 
F.K.-Apollonia sha ka ndaj subjektit Z. K. Kokëdhima (Burimi: deklarimi në 
ILDKP dhe QKR).
*5)* Të ardhura me vlerë *585 000* lekë nga shlyerja e detyrimit që I.D.M 
sha ka ndaj subjektit Z. K. Kokëdhima (Burimi: deklarimi në ILDKP dhe QKR).
*6)* Të ardhura me vlerë *8 014 323* lekë nga shlyerja e detyrimit që Sirius 
sha ka ndaj subjektit Z. K. Kokëdhima (Burimi: deklarimi në ILDKP dhe QKR).
*7)* Të ardhura me vlerë *860 599* lekë nga shlyerja e detyrimit që 
TV-Ballkan sha ka ndaj subjektit Z. K. Kokëdhima (Burimi: deklarimi në 
ILDKP dhe QKR).
*8)* Të ardhura me vlerë *11 554 112* lekë nga shlyerja e detyrimit që 
Unipress shpk ka ndaj subjektit Z. K. Kokëdhima (Burimi: deklarimi në ILDKP 
dhe QKR).
*9)* Të ardhura me vlerë *11 952 656* lekë nga shlyerja e detyrimit që 
Abissnet sha ka ndaj subjektit Z. K. Kokëdhima (Burimi: deklarimi në ILDKP 
dhe QKR).</t>
  </si>
  <si>
    <t>*1)* Rritur me *77 451 047* lekë detyrimi që 2K-Group shpk ka ndaj 
subjektit Z. K. Kokëdhima (Burimi: deklarimi në ILDKP dhe QKR).
*2)* Mercury-Construction shpk ka detyrim në shumën *25 925* lekë ndaj 
subjektit Z. K. Kokëdhima (Burimi: deklarimi në ILDKP dhe QKR).
*3)* Rritur me *6 895 190* lekë detyrimi që Planet-X shpk ka ndaj subjektit 
Z. K. Kokëdhima (Burimi: deklarimi në ILDKP dhe QKR).
*4)* Rritur me *4 628 920* lekë detyrimi që Radio+2 sha ka ndaj subjektit 
Z. K. Kokëdhima (Burimi: deklarimi në ILDKP dhe QKR).
*5)* Domus-Silva-Albania shpk ka detyrim *40 025 230* lekë ndaj subjektit 
Z. K. Kokëdhima (Burimi: deklarimi në ILDKP dhe QKR).
*6)* Gjendja e llogarive bankare në fund të vitit *1 065 524* lekë.
*7)* Z. K. Kokëdhima ka detyrim ndaj Boja-Tirana sha *288 869* lekë 
(Burimi: deklarimi në ILDKP dhe QKR).
*8)* Rritur detyrimi me *1 331 042* lekë i subjektit Z. K. Kokëdhima ndaj 
Remonti-Elektrik sha (Burimi: deklarimi në ILDKP dhe QKR).
*9)* Znj. Brixhilda Kokëdhima, gjendja e llogarisë bankare në fund të vitit *79 
862* lekë.
*10)* Znj. Brixhilda Kokëdhima, gjendja e llogarisë bankare në fund të 
vitit 508 euro.
*11)* Abissnet sha ka detyrim në shumën *322 300* lekë ndaj Znj. Brixhilda 
Kokëdhima (Burimi: deklarimi në ILDKP dhe QKR).
*12)* 2K-Group shpk ka detyrimin në vlerën *10 000* lekë ndaj Znj. Besa 
Kokëdhima për blerjen e kuotave të Domus-Silva-Albania shpk (Burimi: 
deklarimi në ILDKP dhe QKR).
*13)* Personi fizik H.D. ka detyrim në shumën *3 000 000* lekë ndaj Znj. 
Besa Kokëdhima për blerjen e aksioneve të Radio+2 sha.
*14)* Znj. Besa Kokëdhima, gjendja në llogarinë bankare në fund të vitit *498 
040* lekë.</t>
  </si>
  <si>
    <t>Të ardhura nga paga dhe përfitime të tjera financiare si Deputet i Kuvendit 
të Shqipërisë *2 318 877* lekë.</t>
  </si>
  <si>
    <t>*1)* Bashkëshortja, Znj. Monika Kryemadhi, të ardhura nga paga deri në dt. 
09.09.2013, *663 897* lekë.
*2)* Znj. Kryemadhi, të ardhura nga paga dhe përfitime të tjera financiare 
në periudhën 9.09-31.12, *714 099* lekë.</t>
  </si>
  <si>
    <t>Znj. Kryemadhi, gjendja e detyrimit overdraft për kartën e kreditit në fund 
të vitit *95 093* lekë.</t>
  </si>
  <si>
    <t>Të ardhura nga paga dhe përfitime të tjera financiare si Deputet i Kuvendit 
të Shqipërisë *2 372 166* lekë.</t>
  </si>
  <si>
    <t>*1)* Bashkëshortja, Znj. Xhafaj, të ardhura nga paga pranë ISSH, *822 197* 
lekë.
*2)* Bashkëshortja, Znj. Xhafaj, të ardhura në vlerën *10 855 256* lekë nga 
shitja e tre apartamenteve me sip. totale 220 .5 m2, në Pogradec, të 
përfituara me shkëmbim trualli.
*3)* Znj. Amantia Xhafaj, të ardhura nga paga dhe shpërbimet pranë 
"Deloitte Albania" për periudhën Tetor-Dhjetor *132 683* lekë.</t>
  </si>
  <si>
    <t>*1)* Gjendja e llogarive në euro në fund të vitit *7 862* euro.
*2)* Gjendja e llogarive në lekë në fund të vitit *428 677* lekë.
*3)* Gjendja e llogarive në dollarë në fund të vitit 616 dollarë.
*4)* Depozitë bankare në fund të vitit me vlerë *1 001 000* lekë.
*5)* Bashkëshortja, Znj. Xhafaj, gjendja e llogarisë në fund të vitit *65 
521* lekë.
*6)* Znj. Xhafaj, dhënie huaje me vlerë *6 500 000* lekë një personi të 
tretë, pa interes, me afat shlyerje Dhjetor, 2014. Burimi: të ardhurat nga 
shitja e apartamenteve.</t>
  </si>
  <si>
    <t>*1)* Të ardhura nga paga dhe shpërblime të tjera financiare si Deputet i 
Kuvendit të Shqipërisë *2 276 717* lekë.
*2)* Të ardhura nga Universiteti Marin Barleti *120 000* lekë.</t>
  </si>
  <si>
    <t>Të ardhura nga Qendra e Trajnimit dhe Asistencës Teknike *620 000* lekë.</t>
  </si>
  <si>
    <t>Të ardhura nga paga si Deputet i Kuvendit të Shqipërisë *690 906* lekë.</t>
  </si>
  <si>
    <t>Të ardhurat nga paga si Deputet i Kuvendit të Shqipërisë *2 393 596* lekë.</t>
  </si>
  <si>
    <t>Të ardhura *7 623* euro nga dhënia me qira e një apartamenti në Rr. "Gjin 
Bue Shpata".</t>
  </si>
  <si>
    <t>*1)* Bashkëshortja, të ardhura nga paga si pedagoge dhe kancelare e 
Fakultetit të Arkitekturës në "Albanian University" *1 030 000* lekë.
*2)* Bashkëshortja, të ardhura nga kurse private për programin Autocad, *360 
000* lekë.</t>
  </si>
  <si>
    <t>Gjendja e llogarisë bankare në fund të vitit *558 125* lekë.</t>
  </si>
  <si>
    <t>Të ardhurat nga paga dhe përfitime të tjera financiare si Deputet i 
Kuvendit të Shqipërisë *830 474* lekë.</t>
  </si>
  <si>
    <t>*1)* Bashkëshortja, të ardhura nga paga për periudhën Tetor-Dhjetor *90 498* 
lekë.
*2)* Të ardhura nga pensioni i nënës së Z. Bejko për periudhën 
Tetor-Dhjetor *59 769* lekë.</t>
  </si>
  <si>
    <t>Të ardhura nga paga si Deputet i Kuvendit të Shqipërisë *912 941* lekë.</t>
  </si>
  <si>
    <t>Të ardhura nga paga si Deputet i Kuvendit të Shqipërisë *1 758 000* lekë.</t>
  </si>
  <si>
    <t>Bashkëshorti, Z. Shkreli, të ardhura nga paga pranë Fondit Shqiptar të 
Monumenteve *3 600* euro.</t>
  </si>
  <si>
    <t>Paga dhe shpërblime si deputet në vlerën *2 375 353* lekë.</t>
  </si>
  <si>
    <t>*1)* Bashkëshorti zoti Enkel Demi paga pranë Radio Tirana në vlerën *2 
851 200* lekë.
*2)* Bashkëshorti zoti Enkel Demi pagesë për drejtimin e Festivalit të 
Radio Televizionit Shqiptar në vlerën *270 000* lekë.
*3)* Bashkëshorti zoti Enkel Demi pagesë nga Grand Media Kosova në vlerën *10 
874* euro.
*4)* Bashkëshorti zoti Enkel Demi pagesë nga Media Aktive në vlerën *1 800* 
dollar.
*5)* Bashkëshorti zoti Enkel Demi paga pranë Egnatia TV në vlerën *960 
000* lekë.</t>
  </si>
  <si>
    <t>*1)* Detyrime të papaguara në vlerën *143 359* euro për dy kredi për blerje 
apartamenti me principal *108 000* euro dhe *88 585* euro, afat maturimi 15 
vjet dhe interes 4%.
*2)* Detyrime të papaguara në vlerën *2 720 408* lekë për një kredi për 
blerje banese marrë në Mars të vitit 2000, me principal *5 000 000* lekë, 
afat maturimi 25 vjet dhe interes 3%.</t>
  </si>
  <si>
    <t>*1)* Paga dhe shpërblime si deputet në vlerën *739 239* lekë.
*2)* Paga si Pedagoge e Jashtme pranë Fakultetit të Shkencave të Natyrës në 
vlerën *127 832* lekë.</t>
  </si>
  <si>
    <t>Shpërblime si anëtare e Këshillit Bashkiak Tiranë në vlerën *61 200* lekë.</t>
  </si>
  <si>
    <t>Qira apartamenti në vlerën *108 000* lekë.</t>
  </si>
  <si>
    <t>Të ardhura nga shitja e teksteve të Fizikës në vlerën *227 930* lekë.</t>
  </si>
  <si>
    <t>*1)* Bashkëshorti zoti Hasan Hafizi paga si Konsulent Sipërmarrje i 
shoqërisë Albavia shpk në vlerën *129 742* lekë.
*2)* Vajza zonja Adra Hafizi paga si inxhiniere në Francë në vlerën *8 584* 
euro.</t>
  </si>
  <si>
    <t>*1)* Bashkëshorti zoti Hasan Hafizi detyrime të papaguara në vlerën *148 
684* euro sipas kontratës së sipërmarrjes me shoqërinë Primavera shpk për 
ndërtim ap. banimi në Durrës.
*2)* Detyrimë të papaguara në vlerën *100 000* euro ndaj shoqërisë Eurovia 
sh.a.
*3)* Shtim i llogarise ne nje banke te nivelit te dyte, ne vleren *8 491* 
leke.
*4)* Pakesim i llogarise ne nje banke te nivelit te dyte, ne vleren *1 901* 
Euro.
*5)*Shtim i llogarise ne nje banke te nivelit te dyte, ne vleren *462 345* 
leke.</t>
  </si>
  <si>
    <t>Paga dhe shpërblime si deputet në vlerën *733 419* lekë.</t>
  </si>
  <si>
    <t>Bashkëshortja paga pranë Bankës së Shqipërisë në vlerën *1 597 287* lekë.</t>
  </si>
  <si>
    <t>*1)* Detyrime të papaguara në vlerën *7 394 426* lekë për një kredi për 
shtëpi pranë Bankës së Shqipërisë me principal *7 600 000* lekë, afat 
shlyerje 30 vjet dhe interes 0.5% në vit.
*2)* Detyrime të papaguara në vlerën *947 639* lekë për një kredi 
konsumatore për studime me principal *1 000 100* lekë dhe afat shlyerje 7 
vjet.</t>
  </si>
  <si>
    <t>*1)* Paga dhe shpërblime si deputet në vlerën *2 230 747* lekë.
*2)* Honorare për dramë në Teatrin e Korçës në vlerën *171 000* lekë.
*3)* Pagesë kalimtare pas lënies së detyrës në vlerën *120 000* lekë.</t>
  </si>
  <si>
    <t>*1)* Bashkëshortja zonja Qefsere Dokle pension në vlerën *170 160* lekë.
*2)* Djali zoti Bleron Dokle paga në vlerën *1 248 397* lekë.
*3)* Vajza zonja Manjola Dokle paga pranë një spitali në Itali në vlerën *66 
168* euro.
*4)* Vajza zonja Manjola Dokle qira ap. banimi në vlerën *360 000* lekë.
*5)* Vajza zonja Anika Dokle paga si mjeke gjinekologe në vlerën *708 960* 
lekë.
*6)* Vajza zonja Anika Dokle paga si pedagoge e jashtme në Fakultetin e 
Infermierisë në vlerën *45 000* lekë.</t>
  </si>
  <si>
    <t>*1)* Detyrime të papaguara në vlerën *136 575* lekë për një kredi për 
shtëpi me principal *2 500 000* lekë, afat shlyerje 15 vjet dhe këst mujor *17 
265* lekë.
*2)* Detyrime të papaguara në vlerën *4 854* euro për një kredi për shtëpi 
me principal *20 000* euro dhe afat shlyerje 5 vjet.
*3)* Detyrime të papaguara në vlerën *811 106* lekë për kredi për blerje 
makine me principal *840 000* lekë, afat shlyerje 5 vjet dhe këst mujor *19 
984* lekë.
*4)* Detyrime të papaguara në vlerën *6 000* euro ndaj një personi fizik 
për një hua me principal *10 000* euro dhe afat shlyerje 5 vjet.
*5)* Vajza, znj. Anika Dokle zoteron gjendje kesh ne vleren *200 000* leke.
*6)* Vajza, znj. Manjola Dokle llogari rrjedhese ne banke te nivelit te 
dyte ne vleren *2 535* euro.
*7)*
*6)* Vajza, znj. Manjola Dokle llogari kursimi ne banke te nivelit te dyte 
ne Itali ne vleren 256 euro.</t>
  </si>
  <si>
    <t>Paga dhe shpërblime si deputet në vlerën *752 439* lekë.</t>
  </si>
  <si>
    <t>Divident në vlerën *1 312 467* lekë nga shoqëria Instituti i 
Gjeoinformacionit  IGI shpk.</t>
  </si>
  <si>
    <t>Paga dhe shpërblime si Zëvendës Ministër i Brendshëm dhe si Deputet në 
vlerën *1 809 631* lekë.</t>
  </si>
  <si>
    <t>*1)* Interesa bankare në vlerën *1 189 232* lekë nga depozita në bankë të 
nivelit të dytë.
*2)* Interesa bankare në vlerën *482 989* lekë nga depozita në bankë të 
nivelit të dytë.</t>
  </si>
  <si>
    <t>*1)* Bashkëshortja zonja Kozeta Ndoka paga dhe shpërblime si Specialiste 
pranë Ministrisë së Bujqësisë në vlerën *546 584* lekë.
*2)* Djali zoti Elvis Ndoka paga dhe shpërblime si Administrator pranë 
shoqërisë Lastminute-Albania shpk në vlerën *381 125* lekë.</t>
  </si>
  <si>
    <t>*1)* Detyrime të papaguara në vlerën *244 044* euro për blerjen e një ap. 
banimi dhe një garazhi në vlerën totale *348 634* euro.
*2)* Detyrime të papaguara në vlerën *105 000* euro për një kredi për 
blerjen e një ap. banimi dhe një garazhi me principal *105 000* euro. 
Pakesim i llogarise ne nje banke te nivelit te dyte, ne vleren *220 022* 
leke.
*3)* Shtim i llogarise ne nje banke te nivelit te dyte, ne vleren *340 483* 
leke.
*4)* Pakesim i llogarise ne nje banke te nivelit te dyte, ne emer te djalit 
ne vleren *39 249* leke.</t>
  </si>
  <si>
    <t>Paga dhe shpërblime si deputete në vlerën *52 271* lekë.</t>
  </si>
  <si>
    <t>*1)* Paga dhe shpërblime si deputete në vlerën *2 638 879* lekë.
*2)* Të ardhura nga mësimdhënia pranë Universitetit Zoja e Këshillit të 
Mirë në vlerën *1 350* euro.</t>
  </si>
  <si>
    <t>*1)* Interesa bankare në vlerën *31 894* lekë.
*2)* Interesa bankare në vlerën *34 828* lekë.</t>
  </si>
  <si>
    <t>*1)* Bashkëshorti zoti Eduard Spahiu paga si mjek endokrinolog pranë 
Spitalit Rajonal Durrës në vlerën *615 952* lekë.
*2)* Bashkëshorti zoti Eduard Spahiu fitim neto nga aktiviteti privat 
person fizik në vlerën *2 219 699* lekë.
*3)* Bashkëshorti zoti Eduard Spahiu të ardhura nga mësimdhënia pranë 
Universitetit Zoja e Këshillit të Mirë në vlerën *2 160* euro.</t>
  </si>
  <si>
    <t>*1)* Pakesim llogarie ne nje banke te nivelit te dyte ne vleren *1 437* 
euro.
*2)* Shtim llogarie ne nje banke te nivelit te dyte ne vleren *1 369* euro.</t>
  </si>
  <si>
    <t>Paga dhe shpërblime si deputet në vlerën *797 305* lekë.</t>
  </si>
  <si>
    <t>Bashkëshortja zonja Eglantina Dashi paga nga mësimdhënia në vlerën *193 838* 
lekë.</t>
  </si>
  <si>
    <t>*1)* Pakesim i llogarise ne banke te nivelit te dyte, ne vleren *1 379* 
euro.
*2)* Shtim i fondit te investimeve ne vleren *233 417* leke.
*3)* Shtim i depozites ne banke te nivelit te dyte ne vleren 381 euro.</t>
  </si>
  <si>
    <t>Paga dhe shpërblime si deputet në vlerën *749 555* lekë.</t>
  </si>
  <si>
    <t>Bashkëshortja zonja Matilda Duzha paga dhe shpërblime në vlerën *436 540* 
lekë.</t>
  </si>
  <si>
    <t>*1)* Detyrime të papaguara në vlerën *85 000* euro për një hua marrë nga 
person fizik në vitin 2010 me principal *100 000* euro, pjesë e regjimit 
martesor.
*2)* Detyrime të papaguara në vlerën *2 156* euro për studimet e vajzës.
*3)* Bashkeshortja llogari kursimi ne nje banke te nivelit te dyte ne 
vleren *17 937* leke.</t>
  </si>
  <si>
    <t>*1)* Paga dhe shpërblime si deputet në vlerën *694 462* lekë.
*2)* Paga dhe shpërblime si sekretar i përgjithshëm i Lëvizjes Socialiste 
për Integrim në vlerën *1 260 911* lekë.</t>
  </si>
  <si>
    <t>Bashkëshortja paga dhe shpërblime pranë Sigma sha në vlerën *710 660* lekë.</t>
  </si>
  <si>
    <t>*1)* Shitur aksionet pranë shoqërisë Ballenja-Kompani shpk me vlere 
aksionesh *23 500 000* lekë.
*2)* Gjendje cash nga te ardhurat prej dhenies hua me 2% interes ne muaj te 
shumes *100 000* euro shtetasit N.M</t>
  </si>
  <si>
    <t>*1)* Detyrime të papaguara në vlerën *87 000* euro ndaj shoqërisë Hekla 
për blerje apartamenti.
*2)* Detyrime të papaguara në vlerën *1 048 799* lekë për kartë krediti.</t>
  </si>
  <si>
    <t>Paga dhe shpërblime si deputet (bruto) në vlerën *3 061 420* lekë.</t>
  </si>
  <si>
    <t>Shpërblime si anëtar i senatit akademik të Universitetit Aleksandër 
Xhuvani në vlerën *16 000* lekë.</t>
  </si>
  <si>
    <t>Bashkëshortja paga dhe shpërblime si punonjëse e Këshillit të Qarkut në 
vlerën *889 680* lekë.</t>
  </si>
  <si>
    <t>*1)* Karte krediti Visa ne banke te nivelit te dyte vazhdim nga 2012.
*2)* Karte krediti American Express ne banke te nivelit te dyte vazhdim nga 
2012.</t>
  </si>
  <si>
    <t>Paga dhe shpërblime në vlerën *841 498* lekë.</t>
  </si>
  <si>
    <t>Bashkëshortja zonja Elia Pendavinji paga pranë Ujësjellës-Kanalizime-Korçë 
sha në vlerën *306 123* lekë.</t>
  </si>
  <si>
    <t>Detyrime të papaguara në vlerën *69 362* euro për një kredi bankare për 
rikonstruksion banese marrë në Nëntor të vitit 2010 dhe afat shlyerje 15 
vjet.</t>
  </si>
  <si>
    <t>*1)* Paga dhe shpërblime si Nënkryetare e Bashkisë Tiranë në vlerën *943 
891* lekë.
*2)* Paga dhe shpërblime si deputete në vlerën *649 573* lekë.</t>
  </si>
  <si>
    <t>*1)* Bashkëshorti zoti Saimir Sallaku paga dhe shpërblime si pedagog pranë 
Fakultetit Ekonomik në vlerën *758 363* lekë.
*2)* Bashkëshorti zoti Saimir Sallaku paga dhe shpërblime si Anëtar i 
Bordit të bankës Credins në vlerën *2 250* euro.
*3)* Bashkëshorti zoti Saimir Sallaku pagesa nga Repim Research on 
Economic Policy në vlerën *29 636* pound.
*4)* Bashkëshorti zoti Saimir Sallaku pagesa nga Qendra Kombëtare për 
Studime Sociale për Projektin e Zhvillimit të të Rinjve në vlerën *2 880* 
dollar.
*5)* Bashkëshorti zoti Saimir Sallaku pagesa nga projekti PPF i Austria 
Development Agency në vlerën *5 200* euro.</t>
  </si>
  <si>
    <t>Prindërit zonja Majlinda dhe zoti Hasan Tabaku detyrime të papaguara në 
vlerën *59 577* euro për një kredi për shtëpi me principal *130 000* euro, 
afat maturimi 10 vjet dhe këst mujor *1 385* euro.</t>
  </si>
  <si>
    <t>Paga dhe shpërblime Kryetare e Kuvendit dhe si deputete në vlerën *1 971 
384* lekë.</t>
  </si>
  <si>
    <t>*1)* Bashkëshorti zoti Ndoc Topalli shitje apartamenti në Shkodër në vlerën *4 
000 000* lekë.
*2)* Bashkëshorti zoti NDoc Topalli të ardhura nga aktiviteti privat si 
noter dhe të ardhura nga qiratë në vlerën *3 300 000* lekë.
*3)* Vajza zonja Margerita Topalli paga si ekonomiste pranë Bankës së 
Shqipërisë në vlerën *1 000 000* lekë.
*4)* Vajza zonja Margerita Topalli paga nga mësimdhënia pranë Fakultetit të 
Ekonomisë në vlerën *10 000* lekë.</t>
  </si>
  <si>
    <t>*1)* Paga dhe shpërblime si Prefekt i Qarkut Tiranë në vlerën *366 219* 
lekë.
*2)* Paga dhe shpërblime si deputet në vlerën *642 180* lekë.</t>
  </si>
  <si>
    <t>Interesa bankare në vlerën *238 872* lekë nga depozita.</t>
  </si>
  <si>
    <t>Paga dhe shpërblime si Deputet në vlerën *2 440 196* lekë.</t>
  </si>
  <si>
    <t>Paga dhe shpërblime si deputet në vlerën *816 417* lekë.</t>
  </si>
  <si>
    <t>*1)* Shitur ap. banimi sipas kontratës noteriale për llogari të shoqërisë 
në vlerën *47 042* euro.
*2)* Shitur ap. banimi sipas kontratës noteriale për llogari të shoqërisë 
në vlerën *44 500* euro.</t>
  </si>
  <si>
    <t>Paga dhe shpërblime si deputet në vlerën *2 877 009* lekë.</t>
  </si>
  <si>
    <t>*1)* Detyrime të papaguara në vlerën *3 218 853* lekë për një kredi marrë 
më 16.01.2013 me principal *5 000 000* lekë.
*2)* Detyrime të papaguara në vlerën *16 630* euro për blerjen e një 
shtëpie.</t>
  </si>
  <si>
    <t>Paga dhe shpërblime si deputet në vlerën *659 270* lekë.</t>
  </si>
  <si>
    <t>Bashkëshortja paga në vlerën *8 590* euro.</t>
  </si>
  <si>
    <t>Paga dhe shpërblime si deputet në vlerën *2 185 046* lekë.</t>
  </si>
  <si>
    <t>Qira ambjenti në vlerën *9 000* euro.</t>
  </si>
  <si>
    <t>Paga dhe shpërblime si deputet në vlerën *766 719* lekë.</t>
  </si>
  <si>
    <t>*1)* Detyrime të papaguara në vlerën *95 000* euro për një kredi marrë në 
vitin 2010 për blerje njësie shërbimi me principal *150 000* euro, për të 
cilën është dorëzanës dhe njëkohesisht bashkëshlyerës i kredisë edhe i 
vëllai.
*2)* Llogari ne nje banke te nivelit te dyte ne vleren *1 438* euro.
*3)* Llogari rrjedhese nga paga ne vleren *458 788* leke.
*4)* LLogari rrjedhese ne emer te vajzes ne vleren *20 000* leke.
*5)* Llogari rrjedhese ne emer te djalit ne vleren *78 987* leke.
*6)* Pakesuar gjendja cash ne vleren *6 000* euro per pagese kredie dhe 
shpenzime te tjera.</t>
  </si>
  <si>
    <t>Paga dhe shpërblime si deputet në vlerën *632 878* lekë.</t>
  </si>
  <si>
    <t>Shtuar gjendje cash ne vleren *297 913* leke.</t>
  </si>
  <si>
    <t>Paga dhe shpërblime si deputet në vlerën *872 441* lekë.</t>
  </si>
  <si>
    <t>*1)* Qira në vlerën *60 000* lekë.
*2)* Qira në vlerën *3 150* euro.
*3)* Qira në vlerën *1 200* euro.
*4)* Qira në vlerën *1 215 000* lekë.
*5)* Qira në vlerën *195 000* lekë.
*6)* Qira në vlerën *75 000* lekë.
*7)* Qira në vlerën 750 euro.
*8)* Qira në vlerën *195 000* lekë.
*9)* Qira në vlerën *216 000* lekë.
*10)* Qira në vlerën *60 000* lekë.
*11)* Qira në vlerën *60 000* lekë.
*12)* Qira në vlerën *300 000* lekë.
*13)* Qira në vlerën *300 000* lekë.
*14)* Qira në vlerën *150 000* lekë.
*15)* Qira në vlerën *60 000* lekë.
*16)* Qira në vlerën *90 000* lekë.
*17)* Qira në vlerën *90 000* lekë.</t>
  </si>
  <si>
    <t>*1)* Detyrime të papaguara në vlerën *4 863 662* lekë për një kredi bankare.
*2)* Detyrime të papaguara në vlerën *27 937 450* lekë për një kredi 
bankare.</t>
  </si>
  <si>
    <t>Paga dhe shpërblime si deputet në vlerën *2 526 596* lekë.</t>
  </si>
  <si>
    <t>Bashkëshortja paga dhe shpërblime si specialiste pranë ISSHP në vlerën *500 
000* lekë.</t>
  </si>
  <si>
    <t>*1)* Paga dhe shpërblime si deputet në vlerën *721 119* lekë.
*2)* Paga nga mësimdhënia pranë universitetit Justiniani I në vlerën *185 
478* lekë.</t>
  </si>
  <si>
    <t>Paga dhe shpërblime si deputet në vlerën *714 990* lekë.</t>
  </si>
  <si>
    <t>Paga dhe shpërblime si deputet në vlerën *1 791 194* lekë.</t>
  </si>
  <si>
    <t>*1)* Bashkëshortja zonja Sanie Abazi paga dhe shpërblime si ekonomiste 
pranë shoqërisë USLUGA shpk në vlerën *696 971* lekë.
*2)* Vajza zonja Aurore Abazi paga dhe shpërblime si administratore pranë 
shoqërisë USLUGA shpk në vlerën *825 680* lekë.</t>
  </si>
  <si>
    <t>*1)* Bashkëshortja zonja Sanie Abazi zoteruese e nje apartamenti me vlere *50 
070* euro.
*2)* Bashkëshortja zonja Sanie Abazi zoteruese e nje apartamenti me vlere *3 
300 000* leke.
*3)* Vajza zonja Aurore Abazi zoteruese e nje llogarie rrjedhese ne nje 
banke te nivelit te dyte ne vleren *338 091* leke.</t>
  </si>
  <si>
    <t>*1)* Paga dhe shpërblime si deputet në vlerën *2 369 824* lekë.
*2)* Shpërblime nga mësimdhënia pranë Institutit Kanadez të Tëknologjisë 
në vlerën *3 336 000* lekë.</t>
  </si>
  <si>
    <t>Interesa në vlerën *147 707* lekë nga investimi në bono thesari.</t>
  </si>
  <si>
    <t>Qira në vlerën *600 000* lekë.</t>
  </si>
  <si>
    <t>*1)* Bashkëshortja zonja Dashurie Shehu paga dhe shpërblime pranë 
Ministrisë së Punëve të Jashtme në vlerën *1 029 378* lekë.
*2)* Vajza zonja Ilda Shehu paga dhe shpërblime në vlerën *15 000* dollar.
*3)* Vajza zonja Besiana Shehu paga dhe shpërblime në vlerën *58 225* 
dollar.</t>
  </si>
  <si>
    <t>Detyrime të papaguara në vlerën *61 455* euro për një kredi për blerje toke 
marrë në vitin 2007 me principal *50 000* euro, afat maturimi 20 vjet dhe 
këst mujor 366.62 euro.</t>
  </si>
  <si>
    <t>*1)* Bashkëshortja interesa bankare në vlerën *1 071* euro nga depozita në 
valutë.
*2)* Bashkëshortja interesa bankare në vlerën *629 712* lekë nga depozita.
*3)* Bashkëshortja interesa bankare në vlerën *10 039* lekë nga depozita.</t>
  </si>
  <si>
    <t>*1)* Detyrime të papaguara në vlerën *1 798 784* lekë për një kredi marrë 
në vitin 1998 pranë Bankës së Shqipërisë me principal *3 000 000* lekë.
*2)* Detyrime të papaguara në vlerën *16 350* euro për një kredi bankare.
*3)* Zvogeluar gjendje cash ne vleren *900 000* leke.
*4)* Llogari rrjedhese ne emer te bashkeshortes ne vleren *275 347* leke.</t>
  </si>
  <si>
    <t>*1)* Paga dhe shpërblime si deputet në vlerën *56 448* lekë.
*2)* Paga dhe shpërblime pranë Z.Q.R.P.P. në vlerën *73 402* lekë.</t>
  </si>
  <si>
    <t>*1)* Detyrime të papaguara në vlerën *137 970* lekë për një overdraft.
*2)* Detyrime të papaguara në vlerën *97 987* lekë për një kredi bankare 
marrë më 21.11.2012 për blerje veture me principal *196 000* lekë, afat 
maturimi 2 vjet dhe interes 17.1%.</t>
  </si>
  <si>
    <t>Paga dhe shpërblime si deputet në vlerën *682 549* lekë.</t>
  </si>
  <si>
    <t>Qira në vlerën *12 400* euro.</t>
  </si>
  <si>
    <t>Paga dhe shpërblime si deputet në vlerën *2 113 686* lekë.</t>
  </si>
  <si>
    <t>Bashkëshortja zonja Iris Pekmezi paga si avokate në vlerën *3 639 098* lekë.</t>
  </si>
  <si>
    <t>*1)* Detyrime të papaguara në vlerën *3 388 801* lekë për një kredi për 
blerje ap. banimi me sip. 86 m2 marrë më 22.02.2006 me afat maturimi 20 
vjet dhe interes 3%.
*2)* Bashkëshortja zonja Iris Pekmezi detyrime të papaguara në vlerën *20 
412* euro për një kredi për blerje ap. banimi marrë në Mars 2006 me afat 
maturimi 25 vjet dhe interes 8%.
*3)* Shtuar llogari bankare ne nje banke te nivelit te dyte ne vleren *914 
268* leke.
*4)* Shtuar llogari bankare ne nje banke te nivelit te dyte ne vleren 42 
euro.
*5)* Pakesuar llogari bankare ne nje banke te nivelit te dyte ne vleren *155 
276* leke.
*6)* Pakesuar llogari bankare ne nje banke te nivelit te dyte ne vleren *2 
929* euro.
*7)* Shtuar llogari bankare ne emer te bashkeshortes ne nje banke te 
nivelit te dyte ne vleren *6 576* leke.
*8)* Shtuar llogari bankare ne emer te bashkeshortes ne nje banke te 
nivelit te dyte ne vleren 47 GBP.
*9)* Pakesuar llogari bankare ne emer te bashkeshortes ne nje banke te 
nivelit te dyte ne vleren *309 937* leke.
*10)* Shtuar llogari bankare ne emer te bashkeshortes ne nje banke te 
nivelit te dyte ne vleren 65 euro.
*11)* Pakesuar llogari bankare ne emer te bashkeshortes ne nje banke te 
nivelit te dyte ne vleren *2 000* euro.
*12)* Shtuar llogari bankare ne emer te bashkeshortes ne nje banke te 
nivelit te dyte ne vleren 100 USD.
*13)* Shtuar llogari bankare ne emer te bashkeshortes ne nje banke te 
nivelit te dyte ne vleren *1 000 000* leke.
*14)* Shtuar gjendje cash e bashkeshortes me vleren *5 400* euro, 1000 USD 
dhe *50 000* leke.
*15)* Shtuar gjendje cash e bashkeshortes me vleren 1000 USD.
*16)* Shtuar gjendje cash e bashkeshortes me vleren *5 400* euro, 1000 USD 
dhe *50 000* leke .</t>
  </si>
  <si>
    <t>Paga dhe shpërblime si deputet në vlerën *788 319* lekë.</t>
  </si>
  <si>
    <t>*1)* Mbyllur llogaria ne nje banke te nivelit te dyte ne vleren *15 000* 
leke.
*2)* Karte krediti ne nje banke te nivelit te dyte ne vleren *250 000* leke.</t>
  </si>
  <si>
    <t>Paga dhe shpërblime si deputet në vlerën *1 612 108* lekë.</t>
  </si>
  <si>
    <t>Detyrime të papaguara në vlerën *2 748 102* lekë për një kredi për blerje 
ap. banimi marrë Maj 1999 me principal *5 000 000* lekë, afat maturimi 25 
vjet dhe interes 3%.</t>
  </si>
  <si>
    <t>*1)* Paga dhe shpërblime si deputet në vlerën *2 515 753* lekë.
*2)* Honorar pranë Fakultetit të Drejtësisë në vlerën *753 516* lekë.
*3)* Shpërblime nga mësimdhënia pranë Shkollës së Magjistraturës në vlerën *21 
600* lekë.
*4)* Shpërblime nga mësimdhënia pranë Universitetit të Neë Yorkut në vlerën 
974 euro.
*5)* Honorar për përgatitje modul masteri pranë Fakultetit të Shkencave 
Sociale në vlerën 360 euro.
*6)* Shpërblime nga mësimdhënia pranë Fakultetit të Drejtësisë në vlerën *90 
000* lekë.</t>
  </si>
  <si>
    <t>Interesa bankare në vlerën *164 744* lekë nga depozita bankare.</t>
  </si>
  <si>
    <t>*1)* Botime shkencore universitare në vlerën *564 000* lekë.
*2)* Ribotime të teksteve mësimore shkollore në vlerën *37 386* lekë.
*3)* Botimi i tekstit mësimor në Prishtinë në vlerën *1 350* euro.</t>
  </si>
  <si>
    <t>*1)* Bashkëshorti zoti Engjëll Hysi paga si pedagog pranë universitetit 
Marin Barleti në vlerën *150 036* lekë.
*2)* Bashkëshorti zoti Engjëll Hysi paga si pedagog pranë universitetit 
Justiniani I në vlerën *71 693* lekë.
*3)* Bashkëshorti zoti Engjëll Hysi të ardhura nga ekzekutimi i pjesshëm i 
vendimit të gjykatës civile në favor të tij në vlerën *409 370* lekë.
*4)* Vajza zonja Klesta Hysi interesa bankare në vlerën *56 467* lekë.
*5)* Vajza zonja Klesta Hysi interesa bankare në vlerën *50 014* lekë.
*6)* Vajza zonja Klesta Hysi paga dhe shpërblime nga mësimdhënia në 
Fakultetin e Drejtësisë në vlerën *1 057 424* lekë.
*7)* Vajza zonja Klesta Hysi pagesa si koordinatore projekti pranë OJF 
Fëmijët Sot në vlerën *383 454* lekë./
*8)* Vajza zonja Klesta Hysi pagesa si koordinatore projekti pranë OJF 
Fëmijët Sot në vlerën *4 013* euro.
*9)* Vajza zonja Klesta Hysi të ardhura nga angazhimi në një emision 
televiziv në vlerën *133 872* lekë.
*10)* Vajza zonja Klesta Hysi pagesë si anëtare komisioni në vlerën *23 400* 
lekë.</t>
  </si>
  <si>
    <t>*1)* Shtuar llogaria rrjdhese ne nje banke te nivelit te dyte ne leke ne 
vleren *226 494* leke.
*2)* Pakesuar llogaria rrjedhese ne nje banke te nivelit te dyte ne vleren *1 
326 401* leke, ku zonja Hysi eshte zoteruese me 50%, kaluar ne depozite.
*3)* Pakesuar llogaria rrjedhese ne leke ne vleren *141 001* leke.
*4)* Shtuar llogaria rrjedhese ne euro, ku zonja Hysi eshte zoteruese me 
50% ne vleren *1 256* euro.
*5)* Shtuar depozita ne leke ne nje banke te nivelit te dyte, ku zonja Hysi 
eshte zoteruese me 50%, ne vleren *49 635* leke, nga te ardhurat nga 
interesi i kesaj depozite.
*6)* Shtuar depozita ne leke ne nje banke te nivelit te dyte, ku zonja Hysi 
eshte zoteruese me 50%, ne vleren *45 540* leke nga te ardhurat nga 
interesi i kesaj depozite.
*7)* Shtuar depozite ne leke ne nje banke te nivelit te dyte, ku zonja Hysi 
eshte zoteruese me 50%, ne vleren *66 084* leke, nga te ardhurat nga 
interesi.
*8)* Shtuar depozita Plus ne leke ne nje banke te nivelit te dyte ne vleren *610 
094* leke, ku zonja Hysi eshte zoteruese me 50%.
*9)* Depozite ne leke ne nje banke te nivelit te dyte ne vleren *2 000 000* 
leke, ku zonja Hysi eshte zoteruese me 50%.
*10)* Shtuar depozita ne leke ne vleren *49 635* leke, nga te ardhurat nga 
interesi, ku zonja Hysi eshte zoteruese me 50%.
*11)* Pakesuar llogari rrjedhese ne euro ne banke te nivelit te dyte ne 
vleren 151 euro, paguar tatimi ne burim per te ardhurat nga botimi shkencor.
*12)* Pakesuar llogari rrjedhese ne nje banke te nivelit te dyte ne emer te 
bashkeshortit ne vleren *17 209* leke.
*13)* Pakesuar llogaria rrjedhese ne nje banke te nivelit te dyte ne emer 
te bashkeshortit ne vleren *58 139* leke.
*14)* Pakesuar llogaria rrjedhese ne nje banke te nivelit te dyte ne emer 
te bashkeshortit ne vleren *2 915* leke.
*15)* Pakesuar llogaria ne emer te vajzes ne nje banke te nivelit te dyte 
ne vleren *379 949* leke per shkak te kalimit ne depozite te shumes prej *1 
000 000* leke.
*16)* Shtuar llogaria rrjedhese ne emer te vajzes ne nje banke te nivelit 
te dyte ne vleren *68 217* leke.
*17)* Krijuar llogari rrjedhese ne emer te vajzes ne vleren *3 714* euro.
*18)* Shtuar depozite ne emer te vajzes ne vleren *50 014* leke nga 
interesa bankare dhe te depozites.</t>
  </si>
  <si>
    <t>Adriatik ZOTKAJ</t>
  </si>
  <si>
    <t>Kryebashkiak - Bashkia Poliçan</t>
  </si>
  <si>
    <t>Baftjar ZEQAJ</t>
  </si>
  <si>
    <t>Kryebashkiak - Bashkia Fier</t>
  </si>
  <si>
    <t>Nëna</t>
  </si>
  <si>
    <t>Bardhyl GJYZELI</t>
  </si>
  <si>
    <t>Kryebashkiak - Bashkia Kuçovë</t>
  </si>
  <si>
    <t>Dhurim ALINANI</t>
  </si>
  <si>
    <t>Kryebashkiak - Bashkia Delvinë</t>
  </si>
  <si>
    <t>Dritan BICI</t>
  </si>
  <si>
    <t>Kryebashkiak - Bashkia Gramsh</t>
  </si>
  <si>
    <t>Elvis ROSHI</t>
  </si>
  <si>
    <t>Kryebashkiak - Bashkia Kavajë</t>
  </si>
  <si>
    <t>Babai</t>
  </si>
  <si>
    <t>Fadil NASUFI</t>
  </si>
  <si>
    <t>Kryebashkiak - Bashkia Berat</t>
  </si>
  <si>
    <t>Fatos TUSHE</t>
  </si>
  <si>
    <t>Kryebashkiak - Bashkia Lushnje</t>
  </si>
  <si>
    <t>Fiqiri ISMAILI</t>
  </si>
  <si>
    <t>Kryebashkiak - Bashkia Vorë</t>
  </si>
  <si>
    <t>Flamur BIME</t>
  </si>
  <si>
    <t>Kryebashkiak - Bashkia Gjirokastër</t>
  </si>
  <si>
    <t>Fredi KOKONESHI</t>
  </si>
  <si>
    <t>Kryebashkiak - Bashkia Divjakë</t>
  </si>
  <si>
    <t>Gëzim ÇAPOJ</t>
  </si>
  <si>
    <t>Kryebashkiak - Bashkia Orikum</t>
  </si>
  <si>
    <t>Gjon BARDHI</t>
  </si>
  <si>
    <t>Kryebashkiak - Bashkia Fushë-Krujë</t>
  </si>
  <si>
    <t>Ilir ÇELA</t>
  </si>
  <si>
    <t>Kryebashkiak - Bashkia Ballsh</t>
  </si>
  <si>
    <t>Ilir KROSI</t>
  </si>
  <si>
    <t>Kryebashkiak - Bashkia Peshkopi</t>
  </si>
  <si>
    <t>Ilir RRUSHI</t>
  </si>
  <si>
    <t>Kryebashkiak - Bashkia Peqin</t>
  </si>
  <si>
    <t>Jorgo GORO</t>
  </si>
  <si>
    <t>Kryebashkiak - Bashkia Himarë</t>
  </si>
  <si>
    <t>Liman MORINA</t>
  </si>
  <si>
    <t>Kryebashkiak - Bashkia Krumë-Has</t>
  </si>
  <si>
    <t>Lorenc LUKA</t>
  </si>
  <si>
    <t>Kryebashkiak - Bashkia Shkodër</t>
  </si>
  <si>
    <t>Lulzim BASHA</t>
  </si>
  <si>
    <t>Kryebashkiak - Bashkia Tiranë</t>
  </si>
  <si>
    <t>Bashkëshortja Znj. Aurela Isufi Basha</t>
  </si>
  <si>
    <t>Nesim SPAHIU</t>
  </si>
  <si>
    <t>Kryebashkiak - Bashkia Çorovodë</t>
  </si>
  <si>
    <t>Bashkëshortja, Djali</t>
  </si>
  <si>
    <t>Kastriot ISLAMI</t>
  </si>
  <si>
    <t>nr: 00997/2012 nr: 00997/2014</t>
  </si>
  <si>
    <t>Bashkëshortja zonja Irena Islami, Djali zoti Florian Islami, Vajza zonja 
Manjola Islami</t>
  </si>
  <si>
    <t>Alfred QAFA</t>
  </si>
  <si>
    <t>Kryebashkiak - Bashkia Fushë Arrëz</t>
  </si>
  <si>
    <t>nr: 095522009 nr: 09552/2010 nr: 09552/2011 nr: 09552/2012 nr: 09552/2013</t>
  </si>
  <si>
    <t>Altin ÇOMO</t>
  </si>
  <si>
    <t>Kryebashkiak - Bashkia Libohovë</t>
  </si>
  <si>
    <t>nr: 08019/2007 nr: 08019/2008 nr: 08019/2009 nr: 08019/2010 nr: 08019/2011 
nr: 08019/2012 nr: 08019/2013</t>
  </si>
  <si>
    <t>Bujar HUQI</t>
  </si>
  <si>
    <t>Kryebashkiak - Bashkia Manëz</t>
  </si>
  <si>
    <t>nr: 08116/2007 nr: 08116/2009 nr: 08116/2010 nr: 08116/2011 nr: 08116/2012 
nr: 08116/2013</t>
  </si>
  <si>
    <t>Bashkëshortja zonja Elida Huqi</t>
  </si>
  <si>
    <t>Fatmir GUDA</t>
  </si>
  <si>
    <t>Kryebashkiak - Bashkia Leskovik</t>
  </si>
  <si>
    <t>nr: 03083/2004 nr: 03083/2006 nr: 03083/2007 nr: 03083/2008 nr: 03083/2009 
nr: 03083/2010 nr: 03083/2011 nr: 03083/2012 nr: 03083/2013</t>
  </si>
  <si>
    <t>Ferdinant ALIGJONI</t>
  </si>
  <si>
    <t>Kryebashkiak - Bashkia Selenicë</t>
  </si>
  <si>
    <t>nr: 10325/2011 nr: 10325/2012 nr: 10325/2013</t>
  </si>
  <si>
    <t>Gëzim ÇAUSHI</t>
  </si>
  <si>
    <t>Kryebashkiak - Bashkia Roskovec</t>
  </si>
  <si>
    <t>nr: 10267/2011 nr: 10267/2012 nr: 10267/2013</t>
  </si>
  <si>
    <t>Bashkëshortja zonja Edmonda Çaushi</t>
  </si>
  <si>
    <t>Gëzim TOPÇIU</t>
  </si>
  <si>
    <t>Kryebashkiak - Bashkia Maliq</t>
  </si>
  <si>
    <t>nr: 03088/2003 nr: 03088/2004 nr: 03088/2005 nr: 03088/2006 nr: 03088/2007 
nr: 03088/2008 nr: 03088/2009 nr: 03088/2010 nr: 03088/2011 nr: 03088/2012 
nr: 03088/2013</t>
  </si>
  <si>
    <t>Bashkëshortja zonja Filloreta Topçiu</t>
  </si>
  <si>
    <t>Gjok VUKA</t>
  </si>
  <si>
    <t>Kryebashkiak - Bashkia Rubik</t>
  </si>
  <si>
    <t>nr: 10302/2011 nr: 10302/2012 nr: 10302/2013</t>
  </si>
  <si>
    <t>Bashkëshortja zonja Albina Vuka</t>
  </si>
  <si>
    <t>Gjon MARKU</t>
  </si>
  <si>
    <t>Kryebashkiak - Bashkia Vau- Dejes</t>
  </si>
  <si>
    <t>nr: 07924/2007 nr: 07924/2008 nr: 07924/2009 nr: 07924/2010 nr: 07924/2011 
nr: 07924/2012 nr: 07924/2013</t>
  </si>
  <si>
    <t>Bashkëshortja, Djali zoti Arion Marku</t>
  </si>
  <si>
    <t>Ilir PJETRAJ</t>
  </si>
  <si>
    <t>Kryebashkiak - Bashkia Mamurras</t>
  </si>
  <si>
    <t>nr: 10336/2011nr: 10336/2012 nr: 10336/2013</t>
  </si>
  <si>
    <t>Bashkëshortja zonja Pranvera Pjetraj</t>
  </si>
  <si>
    <t>Indrit BUKA</t>
  </si>
  <si>
    <t>Kryebashkiak - Bashkia Shijak</t>
  </si>
  <si>
    <t>nr: 10313/2011 nr: 10313/2012 nr: 10313/2013</t>
  </si>
  <si>
    <t>Bashkëshortja, Nëna</t>
  </si>
  <si>
    <t>Klement NDONI</t>
  </si>
  <si>
    <t>Kryebashkiak - Bashkia Këlcyrë</t>
  </si>
  <si>
    <t>nr: 102872011 nr: 102872012 nr: 102872013</t>
  </si>
  <si>
    <t>Bashkëshortja zonja Vjolanda Ndoni</t>
  </si>
  <si>
    <t>Lulëzim MEÇI</t>
  </si>
  <si>
    <t>Kryebashkiak - Bashkia Memaliaj</t>
  </si>
  <si>
    <t>nr: 10276/2011 nr: 10276/2012 nr: 10276/2013.</t>
  </si>
  <si>
    <t>Bashkëshortja zonja Liljana Meçi, Vajza zonja Elvana Meçi, Vajza zonja 
Jonida Bijo</t>
  </si>
  <si>
    <t>Ndriçim DUSHKU</t>
  </si>
  <si>
    <t>Kryebashkiak - Bashkia Rrogozhinë</t>
  </si>
  <si>
    <t>nr: 10417/2011 nr: 10417/2012 nr: 10417/2013</t>
  </si>
  <si>
    <t>Ramadan LIKAJ</t>
  </si>
  <si>
    <t>Kryebashkiak - Bashkia Koplik</t>
  </si>
  <si>
    <t>nr: 07921/2007 nr: 07921/2008 nr: 07921/2009 nr: 07921/2010 nr: 079212011 
nr: 079212012 nr: 079212013</t>
  </si>
  <si>
    <t>Ramazan MJESHTRI</t>
  </si>
  <si>
    <t>Kryebashkiak - Bashkia Klos</t>
  </si>
  <si>
    <t>nr: 10137/2011 nr: 10137/2012 nr: 10137/2013</t>
  </si>
  <si>
    <t>Servet DUZHA</t>
  </si>
  <si>
    <t>Kryebashkiak - Bashkia Cërrik</t>
  </si>
  <si>
    <t>nr: 10245/2011 nr: 10245/2012 nr: 10245/2013</t>
  </si>
  <si>
    <t>Bashkëshortja zonja Kledia Duzha</t>
  </si>
  <si>
    <t>Sherif FORTUZI</t>
  </si>
  <si>
    <t>Kryebashkiak - Bashkia Sukth</t>
  </si>
  <si>
    <t>nr: 10222/2011 nr: 10222/2012 nr: 10222/2013</t>
  </si>
  <si>
    <t>Bashkëshortja zonja Majlinda Fortuzi</t>
  </si>
  <si>
    <t>Valter MIZA</t>
  </si>
  <si>
    <t>Kryebashkiak - Bashkia Bilisht</t>
  </si>
  <si>
    <t>nr: 03124/2004 nr: 03124/2005 nr: 03124/2006 nr: 03124/2007 nr: 03124/2008 
nr: 03124/2009 nr: 03124/2010 nr: 03124/2011 nr: 03124/2012 nr: 03124/2013</t>
  </si>
  <si>
    <t>Bashkëshortja zonja Ilda Miza</t>
  </si>
  <si>
    <t>Beqir ARIFAJ</t>
  </si>
  <si>
    <t>Kryebashkiak - Bashkia Pukë</t>
  </si>
  <si>
    <t>nr: 103002012 nr: 103002013</t>
  </si>
  <si>
    <t>Bashkëshortja zonja Fatime Arifaj, Djali zoti Besion Arifaj</t>
  </si>
  <si>
    <t>Luiza XHUVANI</t>
  </si>
  <si>
    <t>Qershor 2009</t>
  </si>
  <si>
    <t>nr: 09605/2012 nr: 09605/2013</t>
  </si>
  <si>
    <t>Bashkëshorti zoti Gjergj Xhuvani</t>
  </si>
  <si>
    <t>--</t>
  </si>
  <si>
    <t>Gerti BOGDANI</t>
  </si>
  <si>
    <t>nr: 07304/2012 nr: 07304/2014</t>
  </si>
  <si>
    <t>Gentian BEJKO</t>
  </si>
  <si>
    <t>nr: 11246/2012 nr: 11246/2013 nr: 11246/2014</t>
  </si>
  <si>
    <t>Bashkëshortja zonja Anila Bejko</t>
  </si>
  <si>
    <t>Gledjon REHOVICA</t>
  </si>
  <si>
    <t>nr: 09466/2013 nr: 09466/2014</t>
  </si>
  <si>
    <t>Namik KOPLIKU</t>
  </si>
  <si>
    <t>nr: 11254/2012 nr: 11254/2013 nr: nr: 11254/2014</t>
  </si>
  <si>
    <t>Kategoria</t>
  </si>
  <si>
    <t>Përshkrimi dhe burimi</t>
  </si>
  <si>
    <t>Pasuri të paluajtshme</t>
  </si>
  <si>
    <t>Likuiditete (Depozita, Cash, Llogari rrjedhëse, Debi-Kredi, Karta krediti/debiti)</t>
  </si>
  <si>
    <t>Automjete</t>
  </si>
  <si>
    <t>Sende me vlerë</t>
  </si>
  <si>
    <t>Tituj Financiarë (Bono thesari, obligacione, letra me vlerë, fonde sigurie, aksione në bursë, shërbime financiare të parapaguara)</t>
  </si>
  <si>
    <t>Dhurata</t>
  </si>
  <si>
    <t>Të tjera</t>
  </si>
  <si>
    <t>Emër Subjekti</t>
  </si>
  <si>
    <t>Funksioni dhe institucioni</t>
  </si>
  <si>
    <t>Koha e marrjes së detyrës/mandatit</t>
  </si>
  <si>
    <t>Perfaqësues politik/I pavarur</t>
  </si>
  <si>
    <t>Deklarata sipas ILDKP me Numër Indeksi:</t>
  </si>
  <si>
    <t>Persona të Familjes të përfshirë në Deklaratë:</t>
  </si>
  <si>
    <r>
      <t>Pronare me 25% e nj ap. banimi me sip. 66 m2 në Tiranë, me vërtetim pronësie, në vlerën </t>
    </r>
    <r>
      <rPr>
        <b/>
        <sz val="9"/>
        <color rgb="FF444444"/>
        <rFont val="Arial"/>
        <family val="2"/>
      </rPr>
      <t>7 260 000</t>
    </r>
    <r>
      <rPr>
        <sz val="9"/>
        <color rgb="FF444444"/>
        <rFont val="Arial"/>
        <family val="2"/>
      </rPr>
      <t> lekë.</t>
    </r>
  </si>
  <si>
    <r>
      <t>1)</t>
    </r>
    <r>
      <rPr>
        <sz val="9"/>
        <color rgb="FF444444"/>
        <rFont val="Arial"/>
        <family val="2"/>
      </rPr>
      <t> Llogari rrjedhëse për pagën në bankë të nivelit të dytë në vlerën </t>
    </r>
    <r>
      <rPr>
        <b/>
        <sz val="9"/>
        <color rgb="FF444444"/>
        <rFont val="Arial"/>
        <family val="2"/>
      </rPr>
      <t>82 900 </t>
    </r>
    <r>
      <rPr>
        <sz val="9"/>
        <color rgb="FF444444"/>
        <rFont val="Arial"/>
        <family val="2"/>
      </rPr>
      <t>lekë. </t>
    </r>
  </si>
  <si>
    <r>
      <t>2)</t>
    </r>
    <r>
      <rPr>
        <sz val="9"/>
        <color rgb="FF444444"/>
        <rFont val="Arial"/>
        <family val="2"/>
      </rPr>
      <t> Llogari rrjedhëse në Francë në vlerën 592 euro. </t>
    </r>
  </si>
  <si>
    <r>
      <t>3)</t>
    </r>
    <r>
      <rPr>
        <sz val="9"/>
        <color rgb="FF444444"/>
        <rFont val="Arial"/>
        <family val="2"/>
      </rPr>
      <t> Depozitë kursimesh në Francë në vlerën </t>
    </r>
    <r>
      <rPr>
        <b/>
        <sz val="9"/>
        <color rgb="FF444444"/>
        <rFont val="Arial"/>
        <family val="2"/>
      </rPr>
      <t>1 000 </t>
    </r>
    <r>
      <rPr>
        <sz val="9"/>
        <color rgb="FF444444"/>
        <rFont val="Arial"/>
        <family val="2"/>
      </rPr>
      <t>euro.</t>
    </r>
  </si>
  <si>
    <r>
      <t>Pronare me 100% e një veture tip Mazda, me blerje në vitin 2009, në vlerën </t>
    </r>
    <r>
      <rPr>
        <b/>
        <sz val="9"/>
        <color rgb="FF444444"/>
        <rFont val="Arial"/>
        <family val="2"/>
      </rPr>
      <t>11 000 </t>
    </r>
    <r>
      <rPr>
        <sz val="9"/>
        <color rgb="FF444444"/>
        <rFont val="Arial"/>
        <family val="2"/>
      </rPr>
      <t>euro.</t>
    </r>
  </si>
</sst>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ont>
    <font>
      <sz val="11"/>
      <color rgb="FF000000"/>
      <name val="Calibri"/>
      <family val="2"/>
    </font>
    <font>
      <sz val="10"/>
      <name val="Arial"/>
      <family val="2"/>
    </font>
    <font>
      <sz val="11"/>
      <color rgb="FF000000"/>
      <name val="Inconsolata"/>
    </font>
    <font>
      <sz val="10"/>
      <color rgb="FF000000"/>
      <name val="Arial"/>
      <family val="2"/>
    </font>
    <font>
      <sz val="11"/>
      <color rgb="FF000000"/>
      <name val="Calibri"/>
    </font>
    <font>
      <sz val="10"/>
      <name val="Arial"/>
    </font>
    <font>
      <b/>
      <sz val="8"/>
      <color rgb="FFFFFFFF"/>
      <name val="Trebuchet MS"/>
      <family val="2"/>
    </font>
    <font>
      <sz val="9"/>
      <color rgb="FF444444"/>
      <name val="Arial"/>
      <family val="2"/>
    </font>
    <font>
      <b/>
      <sz val="9"/>
      <color rgb="FF444444"/>
      <name val="Arial"/>
      <family val="2"/>
    </font>
    <font>
      <sz val="9"/>
      <color rgb="FF333333"/>
      <name val="Arial"/>
      <family val="2"/>
    </font>
    <font>
      <b/>
      <sz val="9"/>
      <color rgb="FF333333"/>
      <name val="Arial"/>
      <family val="2"/>
    </font>
  </fonts>
  <fills count="7">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2B60B0"/>
        <bgColor indexed="64"/>
      </patternFill>
    </fill>
    <fill>
      <patternFill patternType="solid">
        <fgColor rgb="FFF7FDFA"/>
        <bgColor indexed="64"/>
      </patternFill>
    </fill>
    <fill>
      <patternFill patternType="solid">
        <fgColor rgb="FFF4F4F4"/>
        <bgColor indexed="64"/>
      </patternFill>
    </fill>
  </fills>
  <borders count="11">
    <border>
      <left/>
      <right/>
      <top/>
      <bottom/>
      <diagonal/>
    </border>
    <border>
      <left style="medium">
        <color rgb="FF999999"/>
      </left>
      <right style="medium">
        <color rgb="FF999999"/>
      </right>
      <top style="medium">
        <color rgb="FF999999"/>
      </top>
      <bottom style="medium">
        <color rgb="FF999999"/>
      </bottom>
      <diagonal/>
    </border>
    <border>
      <left style="medium">
        <color rgb="FF999999"/>
      </left>
      <right style="medium">
        <color rgb="FF999999"/>
      </right>
      <top style="medium">
        <color rgb="FF999999"/>
      </top>
      <bottom style="medium">
        <color rgb="FFCCCCCC"/>
      </bottom>
      <diagonal/>
    </border>
    <border>
      <left style="medium">
        <color rgb="FF999999"/>
      </left>
      <right style="medium">
        <color rgb="FF999999"/>
      </right>
      <top style="medium">
        <color rgb="FF999999"/>
      </top>
      <bottom/>
      <diagonal/>
    </border>
    <border>
      <left style="medium">
        <color rgb="FF999999"/>
      </left>
      <right style="medium">
        <color rgb="FF999999"/>
      </right>
      <top/>
      <bottom/>
      <diagonal/>
    </border>
    <border>
      <left style="medium">
        <color rgb="FF999999"/>
      </left>
      <right style="medium">
        <color rgb="FF999999"/>
      </right>
      <top/>
      <bottom style="medium">
        <color rgb="FFCCCCCC"/>
      </bottom>
      <diagonal/>
    </border>
    <border>
      <left style="medium">
        <color rgb="FF999999"/>
      </left>
      <right style="medium">
        <color rgb="FF999999"/>
      </right>
      <top/>
      <bottom style="medium">
        <color rgb="FF999999"/>
      </bottom>
      <diagonal/>
    </border>
    <border>
      <left style="medium">
        <color rgb="FFCAE8EA"/>
      </left>
      <right/>
      <top style="medium">
        <color rgb="FFCAE8EA"/>
      </top>
      <bottom style="medium">
        <color rgb="FFCCCCCC"/>
      </bottom>
      <diagonal/>
    </border>
    <border>
      <left/>
      <right style="medium">
        <color rgb="FFCAE8EA"/>
      </right>
      <top style="medium">
        <color rgb="FFCAE8EA"/>
      </top>
      <bottom style="medium">
        <color rgb="FFCCCCCC"/>
      </bottom>
      <diagonal/>
    </border>
    <border>
      <left style="medium">
        <color rgb="FFCAE8EA"/>
      </left>
      <right/>
      <top/>
      <bottom style="medium">
        <color rgb="FFCCCCCC"/>
      </bottom>
      <diagonal/>
    </border>
    <border>
      <left/>
      <right style="medium">
        <color rgb="FFCAE8EA"/>
      </right>
      <top/>
      <bottom style="medium">
        <color rgb="FFCCCCCC"/>
      </bottom>
      <diagonal/>
    </border>
  </borders>
  <cellStyleXfs count="1">
    <xf numFmtId="0" fontId="0" fillId="0" borderId="0"/>
  </cellStyleXfs>
  <cellXfs count="33">
    <xf numFmtId="0" fontId="0" fillId="0" borderId="0" xfId="0" applyFont="1" applyAlignment="1"/>
    <xf numFmtId="0" fontId="1" fillId="0" borderId="0" xfId="0" applyFont="1" applyAlignment="1">
      <alignment horizontal="right"/>
    </xf>
    <xf numFmtId="0" fontId="1" fillId="0" borderId="0" xfId="0" applyFont="1" applyAlignment="1"/>
    <xf numFmtId="0" fontId="2" fillId="0" borderId="0" xfId="0" applyFont="1" applyAlignment="1"/>
    <xf numFmtId="9" fontId="2" fillId="0" borderId="0" xfId="0" applyNumberFormat="1" applyFont="1"/>
    <xf numFmtId="0" fontId="3" fillId="2" borderId="0" xfId="0" applyFont="1" applyFill="1"/>
    <xf numFmtId="14" fontId="2" fillId="0" borderId="0" xfId="0" applyNumberFormat="1" applyFont="1"/>
    <xf numFmtId="0" fontId="1" fillId="0" borderId="0" xfId="0" applyFont="1" applyAlignment="1"/>
    <xf numFmtId="0" fontId="1" fillId="0" borderId="0" xfId="0" applyFont="1" applyAlignment="1"/>
    <xf numFmtId="0" fontId="5" fillId="0" borderId="0" xfId="0" applyFont="1" applyAlignment="1">
      <alignment horizontal="right"/>
    </xf>
    <xf numFmtId="0" fontId="6" fillId="0" borderId="0" xfId="0" applyFont="1" applyAlignment="1"/>
    <xf numFmtId="0" fontId="5" fillId="0" borderId="0" xfId="0" applyFont="1" applyAlignment="1"/>
    <xf numFmtId="14" fontId="6" fillId="0" borderId="0" xfId="0" applyNumberFormat="1" applyFont="1"/>
    <xf numFmtId="9" fontId="6" fillId="0" borderId="0" xfId="0" applyNumberFormat="1" applyFont="1"/>
    <xf numFmtId="0" fontId="7" fillId="4" borderId="1" xfId="0" applyFont="1" applyFill="1" applyBorder="1" applyAlignment="1">
      <alignment horizontal="center" vertical="center" wrapText="1"/>
    </xf>
    <xf numFmtId="0" fontId="9" fillId="5" borderId="3" xfId="0" applyFont="1" applyFill="1" applyBorder="1" applyAlignment="1">
      <alignment vertical="center" wrapText="1"/>
    </xf>
    <xf numFmtId="0" fontId="0" fillId="5" borderId="3" xfId="0" applyFont="1" applyFill="1" applyBorder="1" applyAlignment="1">
      <alignment vertical="center" wrapText="1"/>
    </xf>
    <xf numFmtId="0" fontId="9" fillId="5" borderId="4" xfId="0" applyFont="1" applyFill="1" applyBorder="1" applyAlignment="1">
      <alignment vertical="center" wrapText="1"/>
    </xf>
    <xf numFmtId="0" fontId="9" fillId="5" borderId="5" xfId="0" applyFont="1" applyFill="1" applyBorder="1" applyAlignment="1">
      <alignment vertical="center" wrapText="1"/>
    </xf>
    <xf numFmtId="0" fontId="9" fillId="5" borderId="2" xfId="0" applyFont="1" applyFill="1" applyBorder="1" applyAlignment="1">
      <alignment vertical="center" wrapText="1"/>
    </xf>
    <xf numFmtId="0" fontId="8"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4" xfId="0" applyFont="1" applyFill="1" applyBorder="1" applyAlignment="1">
      <alignment vertical="center" wrapText="1"/>
    </xf>
    <xf numFmtId="0" fontId="9" fillId="5" borderId="6" xfId="0" applyFont="1" applyFill="1" applyBorder="1" applyAlignment="1">
      <alignment vertical="center" wrapText="1"/>
    </xf>
    <xf numFmtId="0" fontId="9" fillId="5" borderId="6" xfId="0" applyFont="1" applyFill="1" applyBorder="1" applyAlignment="1">
      <alignment vertical="center" wrapText="1"/>
    </xf>
    <xf numFmtId="0" fontId="4" fillId="0" borderId="0" xfId="0" applyFont="1" applyAlignment="1">
      <alignment wrapText="1"/>
    </xf>
    <xf numFmtId="0" fontId="11" fillId="6" borderId="7" xfId="0" applyFont="1" applyFill="1" applyBorder="1" applyAlignment="1">
      <alignment vertical="center" wrapText="1"/>
    </xf>
    <xf numFmtId="0" fontId="10" fillId="6" borderId="8" xfId="0" applyFont="1" applyFill="1" applyBorder="1" applyAlignment="1">
      <alignment vertical="center" wrapText="1"/>
    </xf>
    <xf numFmtId="0" fontId="11" fillId="3" borderId="9" xfId="0" applyFont="1" applyFill="1" applyBorder="1" applyAlignment="1">
      <alignment vertical="center" wrapText="1"/>
    </xf>
    <xf numFmtId="0" fontId="10" fillId="3" borderId="10" xfId="0" applyFont="1" applyFill="1" applyBorder="1" applyAlignment="1">
      <alignment vertical="center" wrapText="1"/>
    </xf>
    <xf numFmtId="0" fontId="11" fillId="6" borderId="9" xfId="0" applyFont="1" applyFill="1" applyBorder="1" applyAlignment="1">
      <alignment vertical="center" wrapText="1"/>
    </xf>
    <xf numFmtId="0" fontId="10" fillId="6" borderId="10" xfId="0" applyFont="1" applyFill="1" applyBorder="1" applyAlignment="1">
      <alignment vertical="center" wrapText="1"/>
    </xf>
    <xf numFmtId="14" fontId="10" fillId="6" borderId="10"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8"/>
  <sheetViews>
    <sheetView workbookViewId="0">
      <selection activeCell="B3" sqref="B3"/>
    </sheetView>
  </sheetViews>
  <sheetFormatPr defaultColWidth="14.42578125" defaultRowHeight="15.75" customHeight="1"/>
  <cols>
    <col min="4" max="4" width="21.5703125" customWidth="1"/>
    <col min="5" max="5" width="32" customWidth="1"/>
  </cols>
  <sheetData>
    <row r="1" spans="1:9">
      <c r="A1" s="1">
        <v>1</v>
      </c>
      <c r="B1" s="2" t="s">
        <v>0</v>
      </c>
      <c r="C1" s="2" t="s">
        <v>1</v>
      </c>
      <c r="D1" s="2" t="s">
        <v>2</v>
      </c>
      <c r="E1" s="2" t="s">
        <v>3</v>
      </c>
      <c r="I1" s="3"/>
    </row>
    <row r="2" spans="1:9">
      <c r="A2" s="1">
        <v>2</v>
      </c>
      <c r="B2" s="2" t="s">
        <v>4</v>
      </c>
      <c r="C2" s="2" t="s">
        <v>5</v>
      </c>
      <c r="D2" s="2" t="s">
        <v>6</v>
      </c>
      <c r="E2" s="2" t="s">
        <v>7</v>
      </c>
    </row>
    <row r="3" spans="1:9">
      <c r="A3" s="1">
        <v>3</v>
      </c>
      <c r="B3" s="2" t="s">
        <v>8</v>
      </c>
      <c r="C3" s="2" t="s">
        <v>9</v>
      </c>
      <c r="D3" s="2" t="s">
        <v>10</v>
      </c>
      <c r="E3" s="2" t="s">
        <v>10</v>
      </c>
      <c r="I3" s="3"/>
    </row>
    <row r="4" spans="1:9">
      <c r="A4" s="1">
        <v>4</v>
      </c>
      <c r="B4" s="2" t="s">
        <v>11</v>
      </c>
      <c r="C4" s="2" t="s">
        <v>12</v>
      </c>
      <c r="D4" s="2" t="s">
        <v>10</v>
      </c>
      <c r="E4" s="2" t="s">
        <v>10</v>
      </c>
    </row>
    <row r="5" spans="1:9">
      <c r="A5" s="1">
        <v>5</v>
      </c>
      <c r="B5" s="2" t="s">
        <v>13</v>
      </c>
      <c r="C5" s="2" t="s">
        <v>14</v>
      </c>
      <c r="D5" s="2" t="s">
        <v>10</v>
      </c>
      <c r="E5" s="2" t="s">
        <v>10</v>
      </c>
      <c r="I5" s="3"/>
    </row>
    <row r="6" spans="1:9">
      <c r="A6" s="1">
        <v>6</v>
      </c>
      <c r="B6" s="2" t="s">
        <v>15</v>
      </c>
      <c r="C6" s="2" t="s">
        <v>16</v>
      </c>
      <c r="D6" s="2" t="s">
        <v>17</v>
      </c>
      <c r="E6" s="2" t="s">
        <v>18</v>
      </c>
    </row>
    <row r="7" spans="1:9">
      <c r="A7" s="1">
        <v>7</v>
      </c>
      <c r="B7" s="2" t="s">
        <v>15</v>
      </c>
      <c r="C7" s="2" t="s">
        <v>19</v>
      </c>
      <c r="D7" s="2" t="s">
        <v>10</v>
      </c>
      <c r="E7" s="2" t="s">
        <v>10</v>
      </c>
      <c r="I7" s="3"/>
    </row>
    <row r="8" spans="1:9">
      <c r="A8" s="1">
        <v>8</v>
      </c>
      <c r="B8" s="2" t="s">
        <v>20</v>
      </c>
      <c r="C8" s="2" t="s">
        <v>21</v>
      </c>
      <c r="D8" s="2" t="s">
        <v>10</v>
      </c>
      <c r="E8" s="2" t="s">
        <v>10</v>
      </c>
      <c r="I8" s="3"/>
    </row>
    <row r="9" spans="1:9">
      <c r="A9" s="1">
        <v>9</v>
      </c>
      <c r="B9" s="2" t="s">
        <v>22</v>
      </c>
      <c r="C9" s="2" t="s">
        <v>23</v>
      </c>
      <c r="D9" s="2" t="s">
        <v>10</v>
      </c>
      <c r="E9" s="2" t="s">
        <v>10</v>
      </c>
    </row>
    <row r="10" spans="1:9">
      <c r="A10" s="1">
        <v>10</v>
      </c>
      <c r="B10" s="2" t="s">
        <v>24</v>
      </c>
      <c r="C10" s="2" t="s">
        <v>25</v>
      </c>
      <c r="D10" s="2" t="s">
        <v>26</v>
      </c>
      <c r="E10" s="2" t="s">
        <v>27</v>
      </c>
      <c r="I10" s="3"/>
    </row>
    <row r="11" spans="1:9">
      <c r="A11" s="1">
        <v>11</v>
      </c>
      <c r="B11" s="2" t="s">
        <v>28</v>
      </c>
      <c r="C11" s="2" t="s">
        <v>29</v>
      </c>
      <c r="D11" s="2" t="s">
        <v>10</v>
      </c>
      <c r="E11" s="2" t="s">
        <v>10</v>
      </c>
    </row>
    <row r="12" spans="1:9">
      <c r="A12" s="1">
        <v>12</v>
      </c>
      <c r="B12" s="2" t="s">
        <v>30</v>
      </c>
      <c r="C12" s="2" t="s">
        <v>31</v>
      </c>
      <c r="D12" s="2" t="s">
        <v>10</v>
      </c>
      <c r="E12" s="2" t="s">
        <v>10</v>
      </c>
      <c r="I12" s="3"/>
    </row>
    <row r="13" spans="1:9">
      <c r="A13" s="1">
        <v>13</v>
      </c>
      <c r="B13" s="2" t="s">
        <v>32</v>
      </c>
      <c r="C13" s="2" t="s">
        <v>33</v>
      </c>
      <c r="D13" s="2" t="s">
        <v>10</v>
      </c>
      <c r="E13" s="2" t="s">
        <v>10</v>
      </c>
    </row>
    <row r="14" spans="1:9">
      <c r="A14" s="1">
        <v>14</v>
      </c>
      <c r="B14" s="2" t="s">
        <v>34</v>
      </c>
      <c r="C14" s="2" t="s">
        <v>35</v>
      </c>
      <c r="D14" s="2" t="s">
        <v>10</v>
      </c>
      <c r="E14" s="2" t="s">
        <v>10</v>
      </c>
      <c r="I14" s="3"/>
    </row>
    <row r="15" spans="1:9">
      <c r="A15" s="1">
        <v>15</v>
      </c>
      <c r="B15" s="2" t="s">
        <v>36</v>
      </c>
      <c r="C15" s="2" t="s">
        <v>37</v>
      </c>
      <c r="D15" s="2" t="s">
        <v>10</v>
      </c>
      <c r="E15" s="2" t="s">
        <v>10</v>
      </c>
    </row>
    <row r="16" spans="1:9">
      <c r="A16" s="1">
        <v>16</v>
      </c>
      <c r="B16" s="2" t="s">
        <v>38</v>
      </c>
      <c r="C16" s="2" t="s">
        <v>39</v>
      </c>
      <c r="D16" s="2" t="s">
        <v>10</v>
      </c>
      <c r="E16" s="2" t="s">
        <v>10</v>
      </c>
    </row>
    <row r="17" spans="1:6">
      <c r="A17" s="1">
        <v>17</v>
      </c>
      <c r="B17" s="2" t="s">
        <v>40</v>
      </c>
      <c r="C17" s="2" t="s">
        <v>41</v>
      </c>
      <c r="D17" s="2" t="s">
        <v>42</v>
      </c>
      <c r="E17" s="2" t="s">
        <v>43</v>
      </c>
    </row>
    <row r="18" spans="1:6">
      <c r="A18" s="1">
        <v>18</v>
      </c>
      <c r="B18" s="2" t="s">
        <v>44</v>
      </c>
      <c r="C18" s="2" t="s">
        <v>45</v>
      </c>
      <c r="D18" s="2" t="s">
        <v>10</v>
      </c>
      <c r="E18" s="2" t="s">
        <v>10</v>
      </c>
    </row>
    <row r="19" spans="1:6">
      <c r="A19" s="1">
        <v>19</v>
      </c>
      <c r="B19" s="2" t="s">
        <v>46</v>
      </c>
      <c r="C19" s="2" t="s">
        <v>47</v>
      </c>
      <c r="D19" s="2" t="s">
        <v>10</v>
      </c>
      <c r="E19" s="2" t="s">
        <v>10</v>
      </c>
    </row>
    <row r="20" spans="1:6">
      <c r="A20" s="1">
        <v>20</v>
      </c>
      <c r="B20" s="2" t="s">
        <v>48</v>
      </c>
      <c r="C20" s="2" t="s">
        <v>49</v>
      </c>
      <c r="D20" s="2" t="s">
        <v>50</v>
      </c>
      <c r="E20" s="2" t="s">
        <v>51</v>
      </c>
    </row>
    <row r="21" spans="1:6">
      <c r="A21" s="1">
        <v>21</v>
      </c>
      <c r="B21" s="2" t="s">
        <v>52</v>
      </c>
      <c r="C21" s="2" t="s">
        <v>53</v>
      </c>
      <c r="D21" s="2" t="s">
        <v>54</v>
      </c>
      <c r="E21" s="2" t="s">
        <v>55</v>
      </c>
    </row>
    <row r="22" spans="1:6">
      <c r="A22" s="1">
        <v>22</v>
      </c>
      <c r="B22" s="2" t="s">
        <v>56</v>
      </c>
      <c r="C22" s="2" t="s">
        <v>57</v>
      </c>
      <c r="D22" s="2" t="s">
        <v>58</v>
      </c>
      <c r="E22" s="2" t="s">
        <v>59</v>
      </c>
    </row>
    <row r="23" spans="1:6">
      <c r="A23" s="1">
        <v>23</v>
      </c>
      <c r="B23" s="2" t="s">
        <v>60</v>
      </c>
      <c r="C23" s="2" t="s">
        <v>61</v>
      </c>
      <c r="D23" s="2" t="s">
        <v>58</v>
      </c>
      <c r="E23" s="2" t="s">
        <v>59</v>
      </c>
    </row>
    <row r="24" spans="1:6">
      <c r="A24" s="1">
        <v>24</v>
      </c>
      <c r="B24" s="2" t="s">
        <v>62</v>
      </c>
      <c r="C24" s="2" t="s">
        <v>63</v>
      </c>
      <c r="D24" s="2" t="s">
        <v>58</v>
      </c>
      <c r="E24" s="2" t="s">
        <v>59</v>
      </c>
    </row>
    <row r="25" spans="1:6">
      <c r="A25" s="1">
        <v>25</v>
      </c>
      <c r="B25" s="2" t="s">
        <v>64</v>
      </c>
      <c r="C25" s="2" t="s">
        <v>65</v>
      </c>
      <c r="D25" s="2" t="s">
        <v>26</v>
      </c>
      <c r="E25" s="2" t="s">
        <v>66</v>
      </c>
      <c r="F25" s="3">
        <v>2011</v>
      </c>
    </row>
    <row r="26" spans="1:6">
      <c r="A26" s="1">
        <v>26</v>
      </c>
      <c r="B26" s="2" t="s">
        <v>67</v>
      </c>
      <c r="C26" s="2" t="s">
        <v>68</v>
      </c>
      <c r="D26" s="2" t="s">
        <v>26</v>
      </c>
      <c r="E26" s="2" t="s">
        <v>69</v>
      </c>
    </row>
    <row r="27" spans="1:6">
      <c r="A27" s="1">
        <v>27</v>
      </c>
      <c r="B27" s="2" t="s">
        <v>70</v>
      </c>
      <c r="C27" s="2" t="s">
        <v>71</v>
      </c>
      <c r="D27" s="2" t="s">
        <v>72</v>
      </c>
      <c r="E27" s="2" t="s">
        <v>73</v>
      </c>
    </row>
    <row r="28" spans="1:6">
      <c r="A28" s="1">
        <v>28</v>
      </c>
      <c r="B28" s="2" t="s">
        <v>70</v>
      </c>
      <c r="C28" s="2" t="s">
        <v>74</v>
      </c>
      <c r="D28" s="2" t="s">
        <v>26</v>
      </c>
      <c r="E28" s="2" t="s">
        <v>75</v>
      </c>
    </row>
    <row r="29" spans="1:6">
      <c r="A29" s="1">
        <v>29</v>
      </c>
      <c r="B29" s="2" t="s">
        <v>76</v>
      </c>
      <c r="C29" s="2" t="s">
        <v>77</v>
      </c>
      <c r="D29" s="2" t="s">
        <v>78</v>
      </c>
      <c r="E29" s="2" t="s">
        <v>79</v>
      </c>
    </row>
    <row r="30" spans="1:6">
      <c r="A30" s="1">
        <v>30</v>
      </c>
      <c r="B30" s="2" t="s">
        <v>80</v>
      </c>
      <c r="C30" s="2" t="s">
        <v>81</v>
      </c>
      <c r="D30" s="2" t="s">
        <v>26</v>
      </c>
      <c r="E30" s="2" t="s">
        <v>82</v>
      </c>
    </row>
    <row r="31" spans="1:6">
      <c r="A31" s="1">
        <v>31</v>
      </c>
      <c r="B31" s="2" t="s">
        <v>83</v>
      </c>
      <c r="C31" s="2" t="s">
        <v>84</v>
      </c>
      <c r="D31" s="2" t="s">
        <v>26</v>
      </c>
      <c r="E31" s="2" t="s">
        <v>85</v>
      </c>
    </row>
    <row r="32" spans="1:6">
      <c r="A32" s="1">
        <v>32</v>
      </c>
      <c r="B32" s="2" t="s">
        <v>86</v>
      </c>
      <c r="C32" s="2" t="s">
        <v>87</v>
      </c>
      <c r="D32" s="2" t="s">
        <v>26</v>
      </c>
      <c r="E32" s="2" t="s">
        <v>88</v>
      </c>
    </row>
    <row r="33" spans="1:5">
      <c r="A33" s="1">
        <v>34</v>
      </c>
      <c r="B33" s="2" t="s">
        <v>89</v>
      </c>
      <c r="C33" s="2" t="s">
        <v>90</v>
      </c>
      <c r="D33" s="2" t="s">
        <v>17</v>
      </c>
      <c r="E33" s="2" t="s">
        <v>18</v>
      </c>
    </row>
    <row r="34" spans="1:5">
      <c r="A34" s="1">
        <v>35</v>
      </c>
      <c r="B34" s="2" t="s">
        <v>89</v>
      </c>
      <c r="C34" s="2" t="s">
        <v>91</v>
      </c>
      <c r="D34" s="2" t="s">
        <v>72</v>
      </c>
      <c r="E34" s="2" t="s">
        <v>92</v>
      </c>
    </row>
    <row r="35" spans="1:5">
      <c r="A35" s="1">
        <v>36</v>
      </c>
      <c r="B35" s="2" t="s">
        <v>93</v>
      </c>
      <c r="C35" s="2" t="s">
        <v>94</v>
      </c>
      <c r="D35" s="2" t="s">
        <v>72</v>
      </c>
      <c r="E35" s="2" t="s">
        <v>95</v>
      </c>
    </row>
    <row r="36" spans="1:5">
      <c r="A36" s="1">
        <v>37</v>
      </c>
      <c r="B36" s="2" t="s">
        <v>96</v>
      </c>
      <c r="C36" s="2" t="s">
        <v>97</v>
      </c>
      <c r="D36" s="2" t="s">
        <v>26</v>
      </c>
      <c r="E36" s="2" t="s">
        <v>98</v>
      </c>
    </row>
    <row r="37" spans="1:5">
      <c r="A37" s="1">
        <v>38</v>
      </c>
      <c r="B37" s="2" t="s">
        <v>99</v>
      </c>
      <c r="C37" s="2" t="s">
        <v>100</v>
      </c>
      <c r="D37" s="2" t="s">
        <v>26</v>
      </c>
      <c r="E37" s="2" t="s">
        <v>101</v>
      </c>
    </row>
    <row r="38" spans="1:5">
      <c r="A38" s="1">
        <v>39</v>
      </c>
      <c r="B38" s="2" t="s">
        <v>102</v>
      </c>
      <c r="C38" s="2" t="s">
        <v>103</v>
      </c>
      <c r="D38" s="2" t="s">
        <v>54</v>
      </c>
      <c r="E38" s="2" t="s">
        <v>55</v>
      </c>
    </row>
    <row r="39" spans="1:5">
      <c r="A39" s="1">
        <v>40</v>
      </c>
      <c r="B39" s="2" t="s">
        <v>104</v>
      </c>
      <c r="C39" s="2" t="s">
        <v>105</v>
      </c>
      <c r="D39" s="2" t="s">
        <v>26</v>
      </c>
      <c r="E39" s="2" t="s">
        <v>106</v>
      </c>
    </row>
    <row r="40" spans="1:5">
      <c r="A40" s="1">
        <v>41</v>
      </c>
      <c r="B40" s="2" t="s">
        <v>107</v>
      </c>
      <c r="C40" s="2" t="s">
        <v>108</v>
      </c>
      <c r="D40" s="2" t="s">
        <v>72</v>
      </c>
      <c r="E40" s="2" t="s">
        <v>109</v>
      </c>
    </row>
    <row r="41" spans="1:5">
      <c r="A41" s="1">
        <v>42</v>
      </c>
      <c r="B41" s="2" t="s">
        <v>110</v>
      </c>
      <c r="C41" s="2" t="s">
        <v>111</v>
      </c>
      <c r="D41" s="2" t="s">
        <v>26</v>
      </c>
      <c r="E41" s="2" t="s">
        <v>112</v>
      </c>
    </row>
    <row r="42" spans="1:5">
      <c r="A42" s="1">
        <v>43</v>
      </c>
      <c r="B42" s="2" t="s">
        <v>113</v>
      </c>
      <c r="C42" s="2" t="s">
        <v>114</v>
      </c>
      <c r="D42" s="2" t="s">
        <v>26</v>
      </c>
      <c r="E42" s="2" t="s">
        <v>115</v>
      </c>
    </row>
    <row r="43" spans="1:5">
      <c r="A43" s="1">
        <v>44</v>
      </c>
      <c r="B43" s="2" t="s">
        <v>116</v>
      </c>
      <c r="C43" s="2" t="s">
        <v>117</v>
      </c>
      <c r="D43" s="2" t="s">
        <v>26</v>
      </c>
      <c r="E43" s="2" t="s">
        <v>118</v>
      </c>
    </row>
    <row r="44" spans="1:5">
      <c r="A44" s="1">
        <v>45</v>
      </c>
      <c r="B44" s="2" t="s">
        <v>119</v>
      </c>
      <c r="C44" s="2" t="s">
        <v>120</v>
      </c>
      <c r="D44" s="2" t="s">
        <v>26</v>
      </c>
      <c r="E44" s="2" t="s">
        <v>121</v>
      </c>
    </row>
    <row r="45" spans="1:5">
      <c r="A45" s="1">
        <v>46</v>
      </c>
      <c r="B45" s="2" t="s">
        <v>122</v>
      </c>
      <c r="C45" s="2" t="s">
        <v>123</v>
      </c>
      <c r="D45" s="2" t="s">
        <v>26</v>
      </c>
      <c r="E45" s="2" t="s">
        <v>124</v>
      </c>
    </row>
    <row r="46" spans="1:5">
      <c r="A46" s="1">
        <v>47</v>
      </c>
      <c r="B46" s="2" t="s">
        <v>125</v>
      </c>
      <c r="C46" s="2" t="s">
        <v>126</v>
      </c>
      <c r="D46" s="2" t="s">
        <v>26</v>
      </c>
      <c r="E46" s="2" t="s">
        <v>127</v>
      </c>
    </row>
    <row r="47" spans="1:5">
      <c r="A47" s="1">
        <v>48</v>
      </c>
      <c r="B47" s="2" t="s">
        <v>128</v>
      </c>
      <c r="C47" s="2" t="s">
        <v>81</v>
      </c>
      <c r="D47" s="2" t="s">
        <v>26</v>
      </c>
      <c r="E47" s="2" t="s">
        <v>129</v>
      </c>
    </row>
    <row r="48" spans="1:5">
      <c r="A48" s="1">
        <v>49</v>
      </c>
      <c r="B48" s="2" t="s">
        <v>130</v>
      </c>
      <c r="C48" s="2" t="s">
        <v>131</v>
      </c>
      <c r="D48" s="2" t="s">
        <v>26</v>
      </c>
      <c r="E48" s="2" t="s">
        <v>132</v>
      </c>
    </row>
    <row r="49" spans="1:5">
      <c r="A49" s="1">
        <v>50</v>
      </c>
      <c r="B49" s="2" t="s">
        <v>24</v>
      </c>
      <c r="C49" s="2" t="s">
        <v>133</v>
      </c>
      <c r="D49" s="2" t="s">
        <v>6</v>
      </c>
      <c r="E49" s="2" t="s">
        <v>134</v>
      </c>
    </row>
    <row r="50" spans="1:5">
      <c r="A50" s="1">
        <v>51</v>
      </c>
      <c r="B50" s="2" t="s">
        <v>24</v>
      </c>
      <c r="C50" s="2" t="s">
        <v>135</v>
      </c>
      <c r="D50" s="2" t="s">
        <v>17</v>
      </c>
      <c r="E50" s="2" t="s">
        <v>18</v>
      </c>
    </row>
    <row r="51" spans="1:5">
      <c r="A51" s="1">
        <v>52</v>
      </c>
      <c r="B51" s="2" t="s">
        <v>24</v>
      </c>
      <c r="C51" s="2" t="s">
        <v>136</v>
      </c>
      <c r="D51" s="2" t="s">
        <v>6</v>
      </c>
      <c r="E51" s="2" t="s">
        <v>137</v>
      </c>
    </row>
    <row r="52" spans="1:5">
      <c r="A52" s="1">
        <v>53</v>
      </c>
      <c r="B52" s="2" t="s">
        <v>138</v>
      </c>
      <c r="C52" s="2" t="s">
        <v>139</v>
      </c>
      <c r="D52" s="2" t="s">
        <v>26</v>
      </c>
      <c r="E52" s="2" t="s">
        <v>140</v>
      </c>
    </row>
    <row r="53" spans="1:5">
      <c r="A53" s="1">
        <v>54</v>
      </c>
      <c r="B53" s="2" t="s">
        <v>141</v>
      </c>
      <c r="C53" s="2" t="s">
        <v>142</v>
      </c>
      <c r="D53" s="2" t="s">
        <v>72</v>
      </c>
      <c r="E53" s="2" t="s">
        <v>143</v>
      </c>
    </row>
    <row r="54" spans="1:5">
      <c r="A54" s="1">
        <v>55</v>
      </c>
      <c r="B54" s="2" t="s">
        <v>144</v>
      </c>
      <c r="C54" s="2" t="s">
        <v>145</v>
      </c>
      <c r="D54" s="2" t="s">
        <v>26</v>
      </c>
      <c r="E54" s="2" t="s">
        <v>146</v>
      </c>
    </row>
    <row r="55" spans="1:5">
      <c r="A55" s="1">
        <v>56</v>
      </c>
      <c r="B55" s="2" t="s">
        <v>147</v>
      </c>
      <c r="C55" s="2" t="s">
        <v>148</v>
      </c>
      <c r="D55" s="2" t="s">
        <v>26</v>
      </c>
      <c r="E55" s="2" t="s">
        <v>149</v>
      </c>
    </row>
    <row r="56" spans="1:5">
      <c r="A56" s="1">
        <v>57</v>
      </c>
      <c r="B56" s="2" t="s">
        <v>150</v>
      </c>
      <c r="C56" s="2" t="s">
        <v>151</v>
      </c>
      <c r="D56" s="2" t="s">
        <v>26</v>
      </c>
      <c r="E56" s="2" t="s">
        <v>152</v>
      </c>
    </row>
    <row r="57" spans="1:5">
      <c r="A57" s="1">
        <v>58</v>
      </c>
      <c r="B57" s="2" t="s">
        <v>153</v>
      </c>
      <c r="C57" s="2" t="s">
        <v>154</v>
      </c>
      <c r="D57" s="2" t="s">
        <v>26</v>
      </c>
      <c r="E57" s="2" t="s">
        <v>155</v>
      </c>
    </row>
    <row r="58" spans="1:5">
      <c r="A58" s="1">
        <v>59</v>
      </c>
      <c r="B58" s="2" t="s">
        <v>156</v>
      </c>
      <c r="C58" s="2" t="s">
        <v>157</v>
      </c>
      <c r="D58" s="2" t="s">
        <v>26</v>
      </c>
      <c r="E58" s="2" t="s">
        <v>158</v>
      </c>
    </row>
    <row r="59" spans="1:5">
      <c r="A59" s="1">
        <v>60</v>
      </c>
      <c r="B59" s="2" t="s">
        <v>159</v>
      </c>
      <c r="C59" s="2" t="s">
        <v>160</v>
      </c>
      <c r="D59" s="2" t="s">
        <v>26</v>
      </c>
      <c r="E59" s="2" t="s">
        <v>161</v>
      </c>
    </row>
    <row r="60" spans="1:5">
      <c r="A60" s="1">
        <v>61</v>
      </c>
      <c r="B60" s="2" t="s">
        <v>162</v>
      </c>
      <c r="C60" s="2" t="s">
        <v>163</v>
      </c>
      <c r="D60" s="2" t="s">
        <v>26</v>
      </c>
      <c r="E60" s="2" t="s">
        <v>164</v>
      </c>
    </row>
    <row r="61" spans="1:5">
      <c r="A61" s="1">
        <v>62</v>
      </c>
      <c r="B61" s="2" t="s">
        <v>165</v>
      </c>
      <c r="C61" s="2" t="s">
        <v>166</v>
      </c>
      <c r="D61" s="2" t="s">
        <v>26</v>
      </c>
      <c r="E61" s="2" t="s">
        <v>167</v>
      </c>
    </row>
    <row r="62" spans="1:5">
      <c r="A62" s="1">
        <v>63</v>
      </c>
      <c r="B62" s="2" t="s">
        <v>168</v>
      </c>
      <c r="C62" s="2" t="s">
        <v>169</v>
      </c>
      <c r="D62" s="2" t="s">
        <v>26</v>
      </c>
      <c r="E62" s="2" t="s">
        <v>170</v>
      </c>
    </row>
    <row r="63" spans="1:5">
      <c r="A63" s="1">
        <v>64</v>
      </c>
      <c r="B63" s="2" t="s">
        <v>171</v>
      </c>
      <c r="C63" s="2" t="s">
        <v>172</v>
      </c>
      <c r="D63" s="2" t="s">
        <v>26</v>
      </c>
      <c r="E63" s="2" t="s">
        <v>173</v>
      </c>
    </row>
    <row r="64" spans="1:5">
      <c r="A64" s="1">
        <v>65</v>
      </c>
      <c r="B64" s="2" t="s">
        <v>174</v>
      </c>
      <c r="C64" s="2" t="s">
        <v>175</v>
      </c>
      <c r="D64" s="2" t="s">
        <v>26</v>
      </c>
      <c r="E64" s="2" t="s">
        <v>176</v>
      </c>
    </row>
    <row r="65" spans="1:5">
      <c r="A65" s="1">
        <v>66</v>
      </c>
      <c r="B65" s="2" t="s">
        <v>177</v>
      </c>
      <c r="C65" s="2" t="s">
        <v>178</v>
      </c>
      <c r="D65" s="2" t="s">
        <v>26</v>
      </c>
      <c r="E65" s="2" t="s">
        <v>179</v>
      </c>
    </row>
    <row r="66" spans="1:5">
      <c r="A66" s="1">
        <v>67</v>
      </c>
      <c r="B66" s="2" t="s">
        <v>180</v>
      </c>
      <c r="C66" s="2" t="s">
        <v>181</v>
      </c>
      <c r="D66" s="2" t="s">
        <v>26</v>
      </c>
      <c r="E66" s="2" t="s">
        <v>182</v>
      </c>
    </row>
    <row r="67" spans="1:5">
      <c r="A67" s="1">
        <v>68</v>
      </c>
      <c r="B67" s="2" t="s">
        <v>183</v>
      </c>
      <c r="C67" s="2" t="s">
        <v>184</v>
      </c>
      <c r="D67" s="2" t="s">
        <v>26</v>
      </c>
      <c r="E67" s="2" t="s">
        <v>185</v>
      </c>
    </row>
    <row r="68" spans="1:5">
      <c r="A68" s="1">
        <v>69</v>
      </c>
      <c r="B68" s="2" t="s">
        <v>186</v>
      </c>
      <c r="C68" s="2" t="s">
        <v>187</v>
      </c>
      <c r="D68" s="2" t="s">
        <v>26</v>
      </c>
      <c r="E68" s="2" t="s">
        <v>188</v>
      </c>
    </row>
    <row r="69" spans="1:5">
      <c r="A69" s="1">
        <v>70</v>
      </c>
      <c r="B69" s="2" t="s">
        <v>189</v>
      </c>
      <c r="C69" s="2" t="s">
        <v>190</v>
      </c>
      <c r="D69" s="2" t="s">
        <v>26</v>
      </c>
      <c r="E69" s="2" t="s">
        <v>191</v>
      </c>
    </row>
    <row r="70" spans="1:5">
      <c r="A70" s="1">
        <v>71</v>
      </c>
      <c r="B70" s="2" t="s">
        <v>192</v>
      </c>
      <c r="C70" s="2" t="s">
        <v>193</v>
      </c>
      <c r="D70" s="2" t="s">
        <v>72</v>
      </c>
      <c r="E70" s="2" t="s">
        <v>194</v>
      </c>
    </row>
    <row r="71" spans="1:5">
      <c r="A71" s="1">
        <v>72</v>
      </c>
      <c r="B71" s="2" t="s">
        <v>195</v>
      </c>
      <c r="C71" s="2" t="s">
        <v>196</v>
      </c>
      <c r="D71" s="2" t="s">
        <v>26</v>
      </c>
      <c r="E71" s="2" t="s">
        <v>197</v>
      </c>
    </row>
    <row r="72" spans="1:5">
      <c r="A72" s="1">
        <v>73</v>
      </c>
      <c r="B72" s="2" t="s">
        <v>198</v>
      </c>
      <c r="C72" s="2" t="s">
        <v>199</v>
      </c>
      <c r="D72" s="2" t="s">
        <v>200</v>
      </c>
      <c r="E72" s="2" t="s">
        <v>201</v>
      </c>
    </row>
    <row r="73" spans="1:5">
      <c r="A73" s="1">
        <v>74</v>
      </c>
      <c r="B73" s="2" t="s">
        <v>202</v>
      </c>
      <c r="C73" s="2" t="s">
        <v>203</v>
      </c>
      <c r="D73" s="2" t="s">
        <v>200</v>
      </c>
      <c r="E73" s="2" t="s">
        <v>201</v>
      </c>
    </row>
    <row r="74" spans="1:5">
      <c r="A74" s="1">
        <v>75</v>
      </c>
      <c r="B74" s="2" t="s">
        <v>204</v>
      </c>
      <c r="C74" s="2" t="s">
        <v>205</v>
      </c>
      <c r="D74" s="2" t="s">
        <v>200</v>
      </c>
      <c r="E74" s="2" t="s">
        <v>201</v>
      </c>
    </row>
    <row r="75" spans="1:5">
      <c r="A75" s="1">
        <v>76</v>
      </c>
      <c r="B75" s="2" t="s">
        <v>206</v>
      </c>
      <c r="C75" s="2" t="s">
        <v>207</v>
      </c>
      <c r="D75" s="2" t="s">
        <v>200</v>
      </c>
      <c r="E75" s="2" t="s">
        <v>201</v>
      </c>
    </row>
    <row r="76" spans="1:5">
      <c r="A76" s="1">
        <v>77</v>
      </c>
      <c r="B76" s="2" t="s">
        <v>206</v>
      </c>
      <c r="C76" s="2" t="s">
        <v>208</v>
      </c>
      <c r="D76" s="2" t="s">
        <v>200</v>
      </c>
      <c r="E76" s="2" t="s">
        <v>201</v>
      </c>
    </row>
    <row r="77" spans="1:5">
      <c r="A77" s="1">
        <v>78</v>
      </c>
      <c r="B77" s="2" t="s">
        <v>209</v>
      </c>
      <c r="C77" s="2" t="s">
        <v>210</v>
      </c>
      <c r="D77" s="2" t="s">
        <v>200</v>
      </c>
      <c r="E77" s="2" t="s">
        <v>201</v>
      </c>
    </row>
    <row r="78" spans="1:5">
      <c r="A78" s="1">
        <v>79</v>
      </c>
      <c r="B78" s="2" t="s">
        <v>76</v>
      </c>
      <c r="C78" s="2" t="s">
        <v>211</v>
      </c>
      <c r="D78" s="2" t="s">
        <v>212</v>
      </c>
      <c r="E78" s="2" t="s">
        <v>213</v>
      </c>
    </row>
    <row r="79" spans="1:5">
      <c r="A79" s="1">
        <v>80</v>
      </c>
      <c r="B79" s="2" t="s">
        <v>76</v>
      </c>
      <c r="C79" s="2" t="s">
        <v>214</v>
      </c>
      <c r="D79" s="2" t="s">
        <v>200</v>
      </c>
      <c r="E79" s="2" t="s">
        <v>201</v>
      </c>
    </row>
    <row r="80" spans="1:5">
      <c r="A80" s="1">
        <v>81</v>
      </c>
      <c r="B80" s="2" t="s">
        <v>15</v>
      </c>
      <c r="C80" s="2" t="s">
        <v>215</v>
      </c>
      <c r="D80" s="2" t="s">
        <v>6</v>
      </c>
      <c r="E80" s="2" t="s">
        <v>216</v>
      </c>
    </row>
    <row r="81" spans="1:5">
      <c r="A81" s="1">
        <v>82</v>
      </c>
      <c r="B81" s="2" t="s">
        <v>217</v>
      </c>
      <c r="C81" s="2" t="s">
        <v>218</v>
      </c>
      <c r="D81" s="2" t="s">
        <v>200</v>
      </c>
      <c r="E81" s="2" t="s">
        <v>201</v>
      </c>
    </row>
    <row r="82" spans="1:5">
      <c r="A82" s="1">
        <v>83</v>
      </c>
      <c r="B82" s="2" t="s">
        <v>219</v>
      </c>
      <c r="C82" s="2" t="s">
        <v>220</v>
      </c>
      <c r="D82" s="2" t="s">
        <v>200</v>
      </c>
      <c r="E82" s="2" t="s">
        <v>201</v>
      </c>
    </row>
    <row r="83" spans="1:5">
      <c r="A83" s="1">
        <v>84</v>
      </c>
      <c r="B83" s="2" t="s">
        <v>221</v>
      </c>
      <c r="C83" s="2" t="s">
        <v>222</v>
      </c>
      <c r="D83" s="2" t="s">
        <v>17</v>
      </c>
      <c r="E83" s="2" t="s">
        <v>18</v>
      </c>
    </row>
    <row r="84" spans="1:5">
      <c r="A84" s="1">
        <v>85</v>
      </c>
      <c r="B84" s="2" t="s">
        <v>223</v>
      </c>
      <c r="C84" s="2" t="s">
        <v>100</v>
      </c>
      <c r="D84" s="2" t="s">
        <v>200</v>
      </c>
      <c r="E84" s="2" t="s">
        <v>201</v>
      </c>
    </row>
    <row r="85" spans="1:5">
      <c r="A85" s="1">
        <v>86</v>
      </c>
      <c r="B85" s="2" t="s">
        <v>38</v>
      </c>
      <c r="C85" s="2" t="s">
        <v>224</v>
      </c>
      <c r="D85" s="2" t="s">
        <v>200</v>
      </c>
      <c r="E85" s="2" t="s">
        <v>201</v>
      </c>
    </row>
    <row r="86" spans="1:5">
      <c r="A86" s="1">
        <v>87</v>
      </c>
      <c r="B86" s="2" t="s">
        <v>177</v>
      </c>
      <c r="C86" s="2" t="s">
        <v>225</v>
      </c>
      <c r="D86" s="2" t="s">
        <v>200</v>
      </c>
      <c r="E86" s="2" t="s">
        <v>201</v>
      </c>
    </row>
    <row r="87" spans="1:5">
      <c r="A87" s="1">
        <v>88</v>
      </c>
      <c r="B87" s="2" t="s">
        <v>226</v>
      </c>
      <c r="C87" s="2" t="s">
        <v>227</v>
      </c>
      <c r="D87" s="2" t="s">
        <v>200</v>
      </c>
      <c r="E87" s="2" t="s">
        <v>201</v>
      </c>
    </row>
    <row r="88" spans="1:5">
      <c r="A88" s="1">
        <v>89</v>
      </c>
      <c r="B88" s="2" t="s">
        <v>228</v>
      </c>
      <c r="C88" s="2" t="s">
        <v>229</v>
      </c>
      <c r="D88" s="2" t="s">
        <v>230</v>
      </c>
      <c r="E88" s="2" t="s">
        <v>79</v>
      </c>
    </row>
    <row r="89" spans="1:5">
      <c r="A89" s="1">
        <v>90</v>
      </c>
      <c r="B89" s="2" t="s">
        <v>67</v>
      </c>
      <c r="C89" s="2" t="s">
        <v>231</v>
      </c>
      <c r="D89" s="2" t="s">
        <v>232</v>
      </c>
      <c r="E89" s="2" t="s">
        <v>233</v>
      </c>
    </row>
    <row r="90" spans="1:5">
      <c r="A90" s="1">
        <v>91</v>
      </c>
      <c r="B90" s="2" t="s">
        <v>76</v>
      </c>
      <c r="C90" s="2" t="s">
        <v>234</v>
      </c>
      <c r="D90" s="2" t="s">
        <v>17</v>
      </c>
      <c r="E90" s="2" t="s">
        <v>18</v>
      </c>
    </row>
    <row r="91" spans="1:5">
      <c r="A91" s="1">
        <v>92</v>
      </c>
      <c r="B91" s="2" t="s">
        <v>76</v>
      </c>
      <c r="C91" s="2" t="s">
        <v>235</v>
      </c>
      <c r="D91" s="2" t="s">
        <v>26</v>
      </c>
      <c r="E91" s="2" t="s">
        <v>236</v>
      </c>
    </row>
    <row r="92" spans="1:5">
      <c r="A92" s="1">
        <v>93</v>
      </c>
      <c r="B92" s="2" t="s">
        <v>237</v>
      </c>
      <c r="C92" s="2" t="s">
        <v>238</v>
      </c>
      <c r="D92" s="2" t="s">
        <v>239</v>
      </c>
      <c r="E92" s="2" t="s">
        <v>240</v>
      </c>
    </row>
    <row r="93" spans="1:5">
      <c r="A93" s="1">
        <v>94</v>
      </c>
      <c r="B93" s="2" t="s">
        <v>241</v>
      </c>
      <c r="C93" s="2" t="s">
        <v>242</v>
      </c>
      <c r="D93" s="2" t="s">
        <v>243</v>
      </c>
      <c r="E93" s="2" t="s">
        <v>244</v>
      </c>
    </row>
    <row r="94" spans="1:5">
      <c r="A94" s="1">
        <v>95</v>
      </c>
      <c r="B94" s="2" t="s">
        <v>241</v>
      </c>
      <c r="C94" s="2" t="s">
        <v>245</v>
      </c>
      <c r="D94" s="2" t="s">
        <v>246</v>
      </c>
      <c r="E94" s="2" t="s">
        <v>247</v>
      </c>
    </row>
    <row r="95" spans="1:5">
      <c r="A95" s="1">
        <v>96</v>
      </c>
      <c r="B95" s="2" t="s">
        <v>248</v>
      </c>
      <c r="C95" s="2" t="s">
        <v>249</v>
      </c>
      <c r="D95" s="2" t="s">
        <v>250</v>
      </c>
      <c r="E95" s="2" t="s">
        <v>251</v>
      </c>
    </row>
    <row r="96" spans="1:5">
      <c r="A96" s="1">
        <v>97</v>
      </c>
      <c r="B96" s="2" t="s">
        <v>252</v>
      </c>
      <c r="C96" s="2" t="s">
        <v>253</v>
      </c>
      <c r="D96" s="2" t="s">
        <v>254</v>
      </c>
      <c r="E96" s="2" t="s">
        <v>255</v>
      </c>
    </row>
    <row r="97" spans="1:5">
      <c r="A97" s="1">
        <v>98</v>
      </c>
      <c r="B97" s="2" t="s">
        <v>256</v>
      </c>
      <c r="C97" s="2" t="s">
        <v>257</v>
      </c>
      <c r="D97" s="2" t="s">
        <v>258</v>
      </c>
      <c r="E97" s="2" t="s">
        <v>259</v>
      </c>
    </row>
    <row r="98" spans="1:5">
      <c r="A98" s="1">
        <v>99</v>
      </c>
      <c r="B98" s="2" t="s">
        <v>260</v>
      </c>
      <c r="C98" s="2" t="s">
        <v>261</v>
      </c>
      <c r="D98" s="2" t="s">
        <v>54</v>
      </c>
      <c r="E98" s="2" t="s">
        <v>55</v>
      </c>
    </row>
    <row r="99" spans="1:5">
      <c r="A99" s="1">
        <v>100</v>
      </c>
      <c r="B99" s="2" t="s">
        <v>262</v>
      </c>
      <c r="C99" s="2" t="s">
        <v>263</v>
      </c>
      <c r="D99" s="2" t="s">
        <v>54</v>
      </c>
      <c r="E99" s="2" t="s">
        <v>55</v>
      </c>
    </row>
    <row r="100" spans="1:5">
      <c r="A100" s="1">
        <v>101</v>
      </c>
      <c r="B100" s="2" t="s">
        <v>264</v>
      </c>
      <c r="C100" s="2" t="s">
        <v>265</v>
      </c>
      <c r="D100" s="2" t="s">
        <v>54</v>
      </c>
      <c r="E100" s="2" t="s">
        <v>55</v>
      </c>
    </row>
    <row r="101" spans="1:5">
      <c r="A101" s="1">
        <v>102</v>
      </c>
      <c r="B101" s="2" t="s">
        <v>24</v>
      </c>
      <c r="C101" s="2" t="s">
        <v>266</v>
      </c>
      <c r="D101" s="2" t="s">
        <v>26</v>
      </c>
      <c r="E101" s="2" t="s">
        <v>267</v>
      </c>
    </row>
    <row r="102" spans="1:5">
      <c r="A102" s="1">
        <v>103</v>
      </c>
      <c r="B102" s="2" t="s">
        <v>52</v>
      </c>
      <c r="C102" s="2" t="s">
        <v>268</v>
      </c>
      <c r="D102" s="2" t="s">
        <v>58</v>
      </c>
      <c r="E102" s="2" t="s">
        <v>59</v>
      </c>
    </row>
    <row r="103" spans="1:5">
      <c r="A103" s="1">
        <v>104</v>
      </c>
      <c r="B103" s="2" t="s">
        <v>269</v>
      </c>
      <c r="C103" s="2" t="s">
        <v>270</v>
      </c>
      <c r="D103" s="2" t="s">
        <v>54</v>
      </c>
      <c r="E103" s="2" t="s">
        <v>55</v>
      </c>
    </row>
    <row r="104" spans="1:5">
      <c r="A104" s="1">
        <v>105</v>
      </c>
      <c r="B104" s="2" t="s">
        <v>116</v>
      </c>
      <c r="C104" s="2" t="s">
        <v>271</v>
      </c>
      <c r="D104" s="2" t="s">
        <v>54</v>
      </c>
      <c r="E104" s="2" t="s">
        <v>55</v>
      </c>
    </row>
    <row r="105" spans="1:5">
      <c r="A105" s="1">
        <v>106</v>
      </c>
      <c r="B105" s="2" t="s">
        <v>102</v>
      </c>
      <c r="C105" s="2" t="s">
        <v>272</v>
      </c>
      <c r="D105" s="2" t="s">
        <v>26</v>
      </c>
      <c r="E105" s="2" t="s">
        <v>273</v>
      </c>
    </row>
    <row r="106" spans="1:5">
      <c r="A106" s="1">
        <v>107</v>
      </c>
      <c r="B106" s="2" t="s">
        <v>99</v>
      </c>
      <c r="C106" s="2" t="s">
        <v>274</v>
      </c>
      <c r="D106" s="2" t="s">
        <v>54</v>
      </c>
      <c r="E106" s="2" t="s">
        <v>55</v>
      </c>
    </row>
    <row r="107" spans="1:5">
      <c r="A107" s="1">
        <v>108</v>
      </c>
      <c r="B107" s="2" t="s">
        <v>99</v>
      </c>
      <c r="C107" s="2" t="s">
        <v>275</v>
      </c>
      <c r="D107" s="2" t="s">
        <v>54</v>
      </c>
      <c r="E107" s="2" t="s">
        <v>55</v>
      </c>
    </row>
    <row r="108" spans="1:5">
      <c r="A108" s="1">
        <v>109</v>
      </c>
      <c r="B108" s="2" t="s">
        <v>276</v>
      </c>
      <c r="C108" s="2" t="s">
        <v>277</v>
      </c>
      <c r="D108" s="2" t="s">
        <v>54</v>
      </c>
      <c r="E108" s="2" t="s">
        <v>55</v>
      </c>
    </row>
    <row r="109" spans="1:5">
      <c r="A109" s="1">
        <v>110</v>
      </c>
      <c r="B109" s="2" t="s">
        <v>64</v>
      </c>
      <c r="C109" s="2" t="s">
        <v>278</v>
      </c>
      <c r="D109" s="2" t="s">
        <v>17</v>
      </c>
      <c r="E109" s="2" t="s">
        <v>18</v>
      </c>
    </row>
    <row r="110" spans="1:5">
      <c r="A110" s="1">
        <v>111</v>
      </c>
      <c r="B110" s="2" t="s">
        <v>70</v>
      </c>
      <c r="C110" s="2" t="s">
        <v>133</v>
      </c>
      <c r="D110" s="2" t="s">
        <v>17</v>
      </c>
      <c r="E110" s="2" t="s">
        <v>18</v>
      </c>
    </row>
    <row r="111" spans="1:5">
      <c r="A111" s="1">
        <v>112</v>
      </c>
      <c r="B111" s="2" t="s">
        <v>70</v>
      </c>
      <c r="C111" s="2" t="s">
        <v>279</v>
      </c>
      <c r="D111" s="2" t="s">
        <v>17</v>
      </c>
      <c r="E111" s="2" t="s">
        <v>18</v>
      </c>
    </row>
    <row r="112" spans="1:5">
      <c r="A112" s="1">
        <v>113</v>
      </c>
      <c r="B112" s="2" t="s">
        <v>280</v>
      </c>
      <c r="C112" s="2" t="s">
        <v>281</v>
      </c>
      <c r="D112" s="2" t="s">
        <v>17</v>
      </c>
      <c r="E112" s="2" t="s">
        <v>18</v>
      </c>
    </row>
    <row r="113" spans="1:5">
      <c r="A113" s="1">
        <v>114</v>
      </c>
      <c r="B113" s="2" t="s">
        <v>282</v>
      </c>
      <c r="C113" s="2" t="s">
        <v>283</v>
      </c>
      <c r="D113" s="2" t="s">
        <v>17</v>
      </c>
      <c r="E113" s="2" t="s">
        <v>18</v>
      </c>
    </row>
    <row r="114" spans="1:5">
      <c r="A114" s="1">
        <v>115</v>
      </c>
      <c r="B114" s="2" t="s">
        <v>116</v>
      </c>
      <c r="C114" s="2" t="s">
        <v>284</v>
      </c>
      <c r="D114" s="2" t="s">
        <v>17</v>
      </c>
      <c r="E114" s="2" t="s">
        <v>18</v>
      </c>
    </row>
    <row r="115" spans="1:5">
      <c r="A115" s="1">
        <v>116</v>
      </c>
      <c r="B115" s="2" t="s">
        <v>285</v>
      </c>
      <c r="C115" s="2" t="s">
        <v>286</v>
      </c>
      <c r="D115" s="2" t="s">
        <v>17</v>
      </c>
      <c r="E115" s="2" t="s">
        <v>18</v>
      </c>
    </row>
    <row r="116" spans="1:5">
      <c r="A116" s="1">
        <v>117</v>
      </c>
      <c r="B116" s="2" t="s">
        <v>287</v>
      </c>
      <c r="C116" s="2" t="s">
        <v>288</v>
      </c>
      <c r="D116" s="2" t="s">
        <v>17</v>
      </c>
      <c r="E116" s="2" t="s">
        <v>18</v>
      </c>
    </row>
    <row r="117" spans="1:5">
      <c r="A117" s="1">
        <v>118</v>
      </c>
      <c r="B117" s="2" t="s">
        <v>289</v>
      </c>
      <c r="C117" s="2" t="s">
        <v>290</v>
      </c>
      <c r="D117" s="2" t="s">
        <v>17</v>
      </c>
      <c r="E117" s="2" t="s">
        <v>18</v>
      </c>
    </row>
    <row r="118" spans="1:5">
      <c r="A118" s="1">
        <v>119</v>
      </c>
      <c r="B118" s="2" t="s">
        <v>221</v>
      </c>
      <c r="C118" s="2" t="s">
        <v>291</v>
      </c>
      <c r="D118" s="2" t="s">
        <v>17</v>
      </c>
      <c r="E118" s="2" t="s">
        <v>18</v>
      </c>
    </row>
    <row r="119" spans="1:5">
      <c r="A119" s="1">
        <v>120</v>
      </c>
      <c r="B119" s="2" t="s">
        <v>292</v>
      </c>
      <c r="C119" s="2" t="s">
        <v>293</v>
      </c>
      <c r="D119" s="2" t="s">
        <v>17</v>
      </c>
      <c r="E119" s="2" t="s">
        <v>18</v>
      </c>
    </row>
    <row r="120" spans="1:5">
      <c r="A120" s="1">
        <v>121</v>
      </c>
      <c r="B120" s="2" t="s">
        <v>294</v>
      </c>
      <c r="C120" s="2" t="s">
        <v>295</v>
      </c>
      <c r="D120" s="2" t="s">
        <v>17</v>
      </c>
      <c r="E120" s="2" t="s">
        <v>18</v>
      </c>
    </row>
    <row r="121" spans="1:5">
      <c r="A121" s="1">
        <v>122</v>
      </c>
      <c r="B121" s="2" t="s">
        <v>296</v>
      </c>
      <c r="C121" s="2" t="s">
        <v>297</v>
      </c>
      <c r="D121" s="2" t="s">
        <v>17</v>
      </c>
      <c r="E121" s="2" t="s">
        <v>18</v>
      </c>
    </row>
    <row r="122" spans="1:5">
      <c r="A122" s="1">
        <v>123</v>
      </c>
      <c r="B122" s="2" t="s">
        <v>298</v>
      </c>
      <c r="C122" s="2" t="s">
        <v>299</v>
      </c>
      <c r="D122" s="2" t="s">
        <v>17</v>
      </c>
      <c r="E122" s="2" t="s">
        <v>18</v>
      </c>
    </row>
    <row r="123" spans="1:5">
      <c r="A123" s="1">
        <v>124</v>
      </c>
      <c r="B123" s="2" t="s">
        <v>300</v>
      </c>
      <c r="C123" s="2" t="s">
        <v>214</v>
      </c>
      <c r="D123" s="2" t="s">
        <v>17</v>
      </c>
      <c r="E123" s="2" t="s">
        <v>18</v>
      </c>
    </row>
    <row r="124" spans="1:5">
      <c r="A124" s="1">
        <v>125</v>
      </c>
      <c r="B124" s="2" t="s">
        <v>301</v>
      </c>
      <c r="C124" s="2" t="s">
        <v>302</v>
      </c>
      <c r="D124" s="2" t="s">
        <v>54</v>
      </c>
      <c r="E124" s="2" t="s">
        <v>55</v>
      </c>
    </row>
    <row r="125" spans="1:5">
      <c r="A125" s="1">
        <v>126</v>
      </c>
      <c r="B125" s="2" t="s">
        <v>303</v>
      </c>
      <c r="C125" s="2" t="s">
        <v>304</v>
      </c>
      <c r="D125" s="2" t="s">
        <v>17</v>
      </c>
      <c r="E125" s="2" t="s">
        <v>18</v>
      </c>
    </row>
    <row r="126" spans="1:5">
      <c r="A126" s="1">
        <v>127</v>
      </c>
      <c r="B126" s="2" t="s">
        <v>305</v>
      </c>
      <c r="C126" s="2" t="s">
        <v>306</v>
      </c>
      <c r="D126" s="2" t="s">
        <v>17</v>
      </c>
      <c r="E126" s="2" t="s">
        <v>18</v>
      </c>
    </row>
    <row r="127" spans="1:5">
      <c r="A127" s="1">
        <v>128</v>
      </c>
      <c r="B127" s="2" t="s">
        <v>307</v>
      </c>
      <c r="C127" s="2" t="s">
        <v>308</v>
      </c>
      <c r="D127" s="2" t="s">
        <v>17</v>
      </c>
      <c r="E127" s="2" t="s">
        <v>18</v>
      </c>
    </row>
    <row r="128" spans="1:5">
      <c r="A128" s="1">
        <v>129</v>
      </c>
      <c r="B128" s="2" t="s">
        <v>309</v>
      </c>
      <c r="C128" s="2" t="s">
        <v>310</v>
      </c>
      <c r="D128" s="2" t="s">
        <v>17</v>
      </c>
      <c r="E128" s="2" t="s">
        <v>18</v>
      </c>
    </row>
    <row r="129" spans="1:5">
      <c r="A129" s="1">
        <v>130</v>
      </c>
      <c r="B129" s="2" t="s">
        <v>311</v>
      </c>
      <c r="C129" s="2" t="s">
        <v>312</v>
      </c>
      <c r="D129" s="2" t="s">
        <v>17</v>
      </c>
      <c r="E129" s="2" t="s">
        <v>18</v>
      </c>
    </row>
    <row r="130" spans="1:5">
      <c r="A130" s="1">
        <v>131</v>
      </c>
      <c r="B130" s="2" t="s">
        <v>313</v>
      </c>
      <c r="C130" s="2" t="s">
        <v>314</v>
      </c>
      <c r="D130" s="2" t="s">
        <v>17</v>
      </c>
      <c r="E130" s="2" t="s">
        <v>18</v>
      </c>
    </row>
    <row r="131" spans="1:5">
      <c r="A131" s="1">
        <v>132</v>
      </c>
      <c r="B131" s="2" t="s">
        <v>4</v>
      </c>
      <c r="C131" s="2" t="s">
        <v>315</v>
      </c>
      <c r="D131" s="2" t="s">
        <v>17</v>
      </c>
      <c r="E131" s="2" t="s">
        <v>18</v>
      </c>
    </row>
    <row r="132" spans="1:5">
      <c r="A132" s="1">
        <v>133</v>
      </c>
      <c r="B132" s="2" t="s">
        <v>4</v>
      </c>
      <c r="C132" s="2" t="s">
        <v>316</v>
      </c>
      <c r="D132" s="2" t="s">
        <v>17</v>
      </c>
      <c r="E132" s="2" t="s">
        <v>18</v>
      </c>
    </row>
    <row r="133" spans="1:5">
      <c r="A133" s="1">
        <v>134</v>
      </c>
      <c r="B133" s="2" t="s">
        <v>4</v>
      </c>
      <c r="C133" s="2" t="s">
        <v>317</v>
      </c>
      <c r="D133" s="2" t="s">
        <v>17</v>
      </c>
      <c r="E133" s="2" t="s">
        <v>18</v>
      </c>
    </row>
    <row r="134" spans="1:5">
      <c r="A134" s="1">
        <v>135</v>
      </c>
      <c r="B134" s="2" t="s">
        <v>4</v>
      </c>
      <c r="C134" s="2" t="s">
        <v>318</v>
      </c>
      <c r="D134" s="2" t="s">
        <v>10</v>
      </c>
      <c r="E134" s="2" t="s">
        <v>10</v>
      </c>
    </row>
    <row r="135" spans="1:5">
      <c r="A135" s="1">
        <v>136</v>
      </c>
      <c r="B135" s="2" t="s">
        <v>319</v>
      </c>
      <c r="C135" s="2" t="s">
        <v>320</v>
      </c>
      <c r="D135" s="2" t="s">
        <v>17</v>
      </c>
      <c r="E135" s="2" t="s">
        <v>18</v>
      </c>
    </row>
    <row r="136" spans="1:5">
      <c r="A136" s="1">
        <v>137</v>
      </c>
      <c r="B136" s="2" t="s">
        <v>321</v>
      </c>
      <c r="C136" s="2" t="s">
        <v>322</v>
      </c>
      <c r="D136" s="2" t="s">
        <v>17</v>
      </c>
      <c r="E136" s="2" t="s">
        <v>18</v>
      </c>
    </row>
    <row r="137" spans="1:5">
      <c r="A137" s="1">
        <v>138</v>
      </c>
      <c r="B137" s="2" t="s">
        <v>321</v>
      </c>
      <c r="C137" s="2" t="s">
        <v>323</v>
      </c>
      <c r="D137" s="2" t="s">
        <v>17</v>
      </c>
      <c r="E137" s="2" t="s">
        <v>18</v>
      </c>
    </row>
    <row r="138" spans="1:5">
      <c r="A138" s="1">
        <v>139</v>
      </c>
      <c r="B138" s="2" t="s">
        <v>324</v>
      </c>
      <c r="C138" s="2" t="s">
        <v>325</v>
      </c>
      <c r="D138" s="2" t="s">
        <v>17</v>
      </c>
      <c r="E138" s="2" t="s">
        <v>18</v>
      </c>
    </row>
    <row r="139" spans="1:5">
      <c r="A139" s="1">
        <v>140</v>
      </c>
      <c r="B139" s="2" t="s">
        <v>76</v>
      </c>
      <c r="C139" s="2" t="s">
        <v>326</v>
      </c>
      <c r="D139" s="2" t="s">
        <v>327</v>
      </c>
      <c r="E139" s="2" t="s">
        <v>328</v>
      </c>
    </row>
    <row r="140" spans="1:5">
      <c r="A140" s="1">
        <v>141</v>
      </c>
      <c r="B140" s="2" t="s">
        <v>80</v>
      </c>
      <c r="C140" s="2" t="s">
        <v>329</v>
      </c>
      <c r="D140" s="2" t="s">
        <v>17</v>
      </c>
      <c r="E140" s="2" t="s">
        <v>18</v>
      </c>
    </row>
    <row r="141" spans="1:5">
      <c r="A141" s="1">
        <v>142</v>
      </c>
      <c r="B141" s="2" t="s">
        <v>276</v>
      </c>
      <c r="C141" s="2" t="s">
        <v>330</v>
      </c>
      <c r="D141" s="2" t="s">
        <v>17</v>
      </c>
      <c r="E141" s="2" t="s">
        <v>18</v>
      </c>
    </row>
    <row r="142" spans="1:5">
      <c r="A142" s="1">
        <v>143</v>
      </c>
      <c r="B142" s="2" t="s">
        <v>276</v>
      </c>
      <c r="C142" s="2" t="s">
        <v>23</v>
      </c>
      <c r="D142" s="2" t="s">
        <v>17</v>
      </c>
      <c r="E142" s="2" t="s">
        <v>18</v>
      </c>
    </row>
    <row r="143" spans="1:5">
      <c r="A143" s="1">
        <v>144</v>
      </c>
      <c r="B143" s="2" t="s">
        <v>331</v>
      </c>
      <c r="C143" s="2" t="s">
        <v>332</v>
      </c>
      <c r="D143" s="2" t="s">
        <v>17</v>
      </c>
      <c r="E143" s="2" t="s">
        <v>18</v>
      </c>
    </row>
    <row r="144" spans="1:5">
      <c r="A144" s="1">
        <v>145</v>
      </c>
      <c r="B144" s="2" t="s">
        <v>333</v>
      </c>
      <c r="C144" s="2" t="s">
        <v>178</v>
      </c>
      <c r="D144" s="2" t="s">
        <v>17</v>
      </c>
      <c r="E144" s="2" t="s">
        <v>18</v>
      </c>
    </row>
    <row r="145" spans="1:5">
      <c r="A145" s="1">
        <v>146</v>
      </c>
      <c r="B145" s="2" t="s">
        <v>333</v>
      </c>
      <c r="C145" s="2" t="s">
        <v>334</v>
      </c>
      <c r="D145" s="2" t="s">
        <v>17</v>
      </c>
      <c r="E145" s="2" t="s">
        <v>18</v>
      </c>
    </row>
    <row r="146" spans="1:5">
      <c r="A146" s="1">
        <v>147</v>
      </c>
      <c r="B146" s="2" t="s">
        <v>335</v>
      </c>
      <c r="C146" s="2" t="s">
        <v>336</v>
      </c>
      <c r="D146" s="2" t="s">
        <v>17</v>
      </c>
      <c r="E146" s="2" t="s">
        <v>18</v>
      </c>
    </row>
    <row r="147" spans="1:5">
      <c r="A147" s="1">
        <v>148</v>
      </c>
      <c r="B147" s="2" t="s">
        <v>89</v>
      </c>
      <c r="C147" s="2" t="s">
        <v>337</v>
      </c>
      <c r="D147" s="2" t="s">
        <v>17</v>
      </c>
      <c r="E147" s="2" t="s">
        <v>18</v>
      </c>
    </row>
    <row r="148" spans="1:5">
      <c r="A148" s="1">
        <v>149</v>
      </c>
      <c r="B148" s="2" t="s">
        <v>338</v>
      </c>
      <c r="C148" s="2" t="s">
        <v>339</v>
      </c>
      <c r="D148" s="2" t="s">
        <v>6</v>
      </c>
      <c r="E148" s="2" t="s">
        <v>340</v>
      </c>
    </row>
    <row r="149" spans="1:5">
      <c r="A149" s="1">
        <v>150</v>
      </c>
      <c r="B149" s="2" t="s">
        <v>4</v>
      </c>
      <c r="C149" s="2" t="s">
        <v>341</v>
      </c>
      <c r="D149" s="2" t="s">
        <v>17</v>
      </c>
      <c r="E149" s="2" t="s">
        <v>18</v>
      </c>
    </row>
    <row r="150" spans="1:5">
      <c r="A150" s="1">
        <v>151</v>
      </c>
      <c r="B150" s="2" t="s">
        <v>342</v>
      </c>
      <c r="C150" s="2" t="s">
        <v>343</v>
      </c>
      <c r="D150" s="2" t="s">
        <v>6</v>
      </c>
      <c r="E150" s="2" t="s">
        <v>344</v>
      </c>
    </row>
    <row r="151" spans="1:5">
      <c r="A151" s="1">
        <v>152</v>
      </c>
      <c r="B151" s="2" t="s">
        <v>80</v>
      </c>
      <c r="C151" s="2" t="s">
        <v>345</v>
      </c>
      <c r="D151" s="2" t="s">
        <v>6</v>
      </c>
      <c r="E151" s="2" t="s">
        <v>346</v>
      </c>
    </row>
    <row r="152" spans="1:5">
      <c r="A152" s="1">
        <v>153</v>
      </c>
      <c r="B152" s="2" t="s">
        <v>347</v>
      </c>
      <c r="C152" s="2" t="s">
        <v>348</v>
      </c>
      <c r="D152" s="2" t="s">
        <v>6</v>
      </c>
      <c r="E152" s="2" t="s">
        <v>349</v>
      </c>
    </row>
    <row r="153" spans="1:5">
      <c r="A153" s="1">
        <v>154</v>
      </c>
      <c r="B153" s="2" t="s">
        <v>350</v>
      </c>
      <c r="C153" s="2" t="s">
        <v>351</v>
      </c>
      <c r="D153" s="2" t="s">
        <v>6</v>
      </c>
      <c r="E153" s="2" t="s">
        <v>352</v>
      </c>
    </row>
    <row r="154" spans="1:5">
      <c r="A154" s="1">
        <v>155</v>
      </c>
      <c r="B154" s="2" t="s">
        <v>241</v>
      </c>
      <c r="C154" s="2" t="s">
        <v>353</v>
      </c>
      <c r="D154" s="2" t="s">
        <v>6</v>
      </c>
      <c r="E154" s="2" t="s">
        <v>354</v>
      </c>
    </row>
    <row r="155" spans="1:5">
      <c r="A155" s="1">
        <v>156</v>
      </c>
      <c r="B155" s="2" t="s">
        <v>93</v>
      </c>
      <c r="C155" s="2" t="s">
        <v>355</v>
      </c>
      <c r="D155" s="2" t="s">
        <v>6</v>
      </c>
      <c r="E155" s="2" t="s">
        <v>356</v>
      </c>
    </row>
    <row r="156" spans="1:5">
      <c r="A156" s="1">
        <v>157</v>
      </c>
      <c r="B156" s="2" t="s">
        <v>99</v>
      </c>
      <c r="C156" s="2" t="s">
        <v>357</v>
      </c>
      <c r="D156" s="2" t="s">
        <v>6</v>
      </c>
      <c r="E156" s="2" t="s">
        <v>358</v>
      </c>
    </row>
    <row r="157" spans="1:5">
      <c r="A157" s="1">
        <v>158</v>
      </c>
      <c r="B157" s="2" t="s">
        <v>15</v>
      </c>
      <c r="C157" s="2" t="s">
        <v>359</v>
      </c>
      <c r="D157" s="2" t="s">
        <v>10</v>
      </c>
      <c r="E157" s="2" t="s">
        <v>10</v>
      </c>
    </row>
    <row r="158" spans="1:5">
      <c r="A158" s="1">
        <v>159</v>
      </c>
      <c r="B158" s="2" t="s">
        <v>360</v>
      </c>
      <c r="C158" s="2" t="s">
        <v>361</v>
      </c>
      <c r="D158" s="2" t="s">
        <v>362</v>
      </c>
      <c r="E158" s="2" t="s">
        <v>363</v>
      </c>
    </row>
    <row r="159" spans="1:5">
      <c r="A159" s="1">
        <v>160</v>
      </c>
      <c r="B159" s="2" t="s">
        <v>364</v>
      </c>
      <c r="C159" s="2" t="s">
        <v>365</v>
      </c>
      <c r="D159" s="2" t="s">
        <v>362</v>
      </c>
      <c r="E159" s="2" t="s">
        <v>366</v>
      </c>
    </row>
    <row r="160" spans="1:5">
      <c r="A160" s="1">
        <v>161</v>
      </c>
      <c r="B160" s="2" t="s">
        <v>110</v>
      </c>
      <c r="C160" s="2" t="s">
        <v>367</v>
      </c>
      <c r="D160" s="2" t="s">
        <v>6</v>
      </c>
      <c r="E160" s="2" t="s">
        <v>368</v>
      </c>
    </row>
    <row r="161" spans="1:5">
      <c r="A161" s="1">
        <v>162</v>
      </c>
      <c r="B161" s="2" t="s">
        <v>369</v>
      </c>
      <c r="C161" s="2" t="s">
        <v>178</v>
      </c>
      <c r="D161" s="2" t="s">
        <v>6</v>
      </c>
      <c r="E161" s="2" t="s">
        <v>370</v>
      </c>
    </row>
    <row r="162" spans="1:5">
      <c r="A162" s="1">
        <v>163</v>
      </c>
      <c r="B162" s="2" t="s">
        <v>371</v>
      </c>
      <c r="C162" s="2" t="s">
        <v>372</v>
      </c>
      <c r="D162" s="2" t="s">
        <v>6</v>
      </c>
      <c r="E162" s="2" t="s">
        <v>370</v>
      </c>
    </row>
    <row r="163" spans="1:5">
      <c r="A163" s="1">
        <v>164</v>
      </c>
      <c r="B163" s="2" t="s">
        <v>116</v>
      </c>
      <c r="C163" s="2" t="s">
        <v>373</v>
      </c>
      <c r="D163" s="2" t="s">
        <v>6</v>
      </c>
      <c r="E163" s="2" t="s">
        <v>374</v>
      </c>
    </row>
    <row r="164" spans="1:5">
      <c r="A164" s="1">
        <v>165</v>
      </c>
      <c r="B164" s="2" t="s">
        <v>289</v>
      </c>
      <c r="C164" s="2" t="s">
        <v>375</v>
      </c>
      <c r="D164" s="2" t="s">
        <v>6</v>
      </c>
      <c r="E164" s="2" t="s">
        <v>376</v>
      </c>
    </row>
    <row r="165" spans="1:5">
      <c r="A165" s="1">
        <v>166</v>
      </c>
      <c r="B165" s="2" t="s">
        <v>287</v>
      </c>
      <c r="C165" s="2" t="s">
        <v>377</v>
      </c>
      <c r="D165" s="2" t="s">
        <v>6</v>
      </c>
      <c r="E165" s="2" t="s">
        <v>378</v>
      </c>
    </row>
    <row r="166" spans="1:5">
      <c r="A166" s="1">
        <v>167</v>
      </c>
      <c r="B166" s="2" t="s">
        <v>379</v>
      </c>
      <c r="C166" s="2" t="s">
        <v>380</v>
      </c>
      <c r="D166" s="2" t="s">
        <v>6</v>
      </c>
      <c r="E166" s="2" t="s">
        <v>381</v>
      </c>
    </row>
    <row r="167" spans="1:5">
      <c r="A167" s="1">
        <v>168</v>
      </c>
      <c r="B167" s="2" t="s">
        <v>382</v>
      </c>
      <c r="C167" s="2" t="s">
        <v>383</v>
      </c>
      <c r="D167" s="2" t="s">
        <v>6</v>
      </c>
      <c r="E167" s="2" t="s">
        <v>384</v>
      </c>
    </row>
    <row r="168" spans="1:5">
      <c r="A168" s="1">
        <v>169</v>
      </c>
      <c r="B168" s="2" t="s">
        <v>24</v>
      </c>
      <c r="C168" s="2" t="s">
        <v>270</v>
      </c>
      <c r="D168" s="2" t="s">
        <v>26</v>
      </c>
      <c r="E168" s="2" t="s">
        <v>385</v>
      </c>
    </row>
    <row r="169" spans="1:5">
      <c r="A169" s="1">
        <v>170</v>
      </c>
      <c r="B169" s="2" t="s">
        <v>24</v>
      </c>
      <c r="C169" s="2" t="s">
        <v>386</v>
      </c>
      <c r="D169" s="2" t="s">
        <v>17</v>
      </c>
      <c r="E169" s="2" t="s">
        <v>18</v>
      </c>
    </row>
    <row r="170" spans="1:5">
      <c r="A170" s="1">
        <v>171</v>
      </c>
      <c r="B170" s="2" t="s">
        <v>387</v>
      </c>
      <c r="C170" s="2" t="s">
        <v>388</v>
      </c>
      <c r="D170" s="2" t="s">
        <v>6</v>
      </c>
      <c r="E170" s="2" t="s">
        <v>389</v>
      </c>
    </row>
    <row r="171" spans="1:5">
      <c r="A171" s="1">
        <v>172</v>
      </c>
      <c r="B171" s="2" t="s">
        <v>141</v>
      </c>
      <c r="C171" s="2" t="s">
        <v>145</v>
      </c>
      <c r="D171" s="2" t="s">
        <v>6</v>
      </c>
      <c r="E171" s="2" t="s">
        <v>390</v>
      </c>
    </row>
    <row r="172" spans="1:5">
      <c r="A172" s="1">
        <v>173</v>
      </c>
      <c r="B172" s="2" t="s">
        <v>141</v>
      </c>
      <c r="C172" s="2" t="s">
        <v>391</v>
      </c>
      <c r="D172" s="2" t="s">
        <v>6</v>
      </c>
      <c r="E172" s="2" t="s">
        <v>392</v>
      </c>
    </row>
    <row r="173" spans="1:5">
      <c r="A173" s="1">
        <v>174</v>
      </c>
      <c r="B173" s="2" t="s">
        <v>393</v>
      </c>
      <c r="C173" s="2" t="s">
        <v>394</v>
      </c>
      <c r="D173" s="2" t="s">
        <v>6</v>
      </c>
      <c r="E173" s="2" t="s">
        <v>346</v>
      </c>
    </row>
    <row r="174" spans="1:5">
      <c r="A174" s="1">
        <v>175</v>
      </c>
      <c r="B174" s="2" t="s">
        <v>395</v>
      </c>
      <c r="C174" s="2" t="s">
        <v>295</v>
      </c>
      <c r="D174" s="2" t="s">
        <v>6</v>
      </c>
      <c r="E174" s="2" t="s">
        <v>396</v>
      </c>
    </row>
    <row r="175" spans="1:5">
      <c r="A175" s="1">
        <v>176</v>
      </c>
      <c r="B175" s="2" t="s">
        <v>397</v>
      </c>
      <c r="C175" s="2" t="s">
        <v>283</v>
      </c>
      <c r="D175" s="2" t="s">
        <v>6</v>
      </c>
      <c r="E175" s="2" t="s">
        <v>398</v>
      </c>
    </row>
    <row r="176" spans="1:5">
      <c r="A176" s="1">
        <v>177</v>
      </c>
      <c r="B176" s="2" t="s">
        <v>399</v>
      </c>
      <c r="C176" s="2" t="s">
        <v>178</v>
      </c>
      <c r="D176" s="2" t="s">
        <v>6</v>
      </c>
      <c r="E176" s="2" t="s">
        <v>400</v>
      </c>
    </row>
    <row r="177" spans="1:5">
      <c r="A177" s="1">
        <v>178</v>
      </c>
      <c r="B177" s="2" t="s">
        <v>401</v>
      </c>
      <c r="C177" s="2" t="s">
        <v>402</v>
      </c>
      <c r="D177" s="2" t="s">
        <v>6</v>
      </c>
      <c r="E177" s="2" t="s">
        <v>403</v>
      </c>
    </row>
    <row r="178" spans="1:5">
      <c r="A178" s="1">
        <v>179</v>
      </c>
      <c r="B178" s="2" t="s">
        <v>404</v>
      </c>
      <c r="C178" s="2" t="s">
        <v>405</v>
      </c>
      <c r="D178" s="2" t="s">
        <v>6</v>
      </c>
      <c r="E178" s="2" t="s">
        <v>406</v>
      </c>
    </row>
    <row r="179" spans="1:5">
      <c r="A179" s="1">
        <v>180</v>
      </c>
      <c r="B179" s="2" t="s">
        <v>407</v>
      </c>
      <c r="C179" s="2" t="s">
        <v>408</v>
      </c>
      <c r="D179" s="2" t="s">
        <v>6</v>
      </c>
      <c r="E179" s="2" t="s">
        <v>409</v>
      </c>
    </row>
    <row r="180" spans="1:5">
      <c r="A180" s="1">
        <v>181</v>
      </c>
      <c r="B180" s="2" t="s">
        <v>410</v>
      </c>
      <c r="C180" s="2" t="s">
        <v>411</v>
      </c>
      <c r="D180" s="2" t="s">
        <v>6</v>
      </c>
      <c r="E180" s="2" t="s">
        <v>412</v>
      </c>
    </row>
    <row r="181" spans="1:5">
      <c r="A181" s="1">
        <v>182</v>
      </c>
      <c r="B181" s="2" t="s">
        <v>413</v>
      </c>
      <c r="C181" s="2" t="s">
        <v>414</v>
      </c>
      <c r="D181" s="2" t="s">
        <v>362</v>
      </c>
      <c r="E181" s="2" t="s">
        <v>415</v>
      </c>
    </row>
    <row r="182" spans="1:5">
      <c r="A182" s="1">
        <v>183</v>
      </c>
      <c r="B182" s="2" t="s">
        <v>416</v>
      </c>
      <c r="C182" s="2" t="s">
        <v>417</v>
      </c>
      <c r="D182" s="2" t="s">
        <v>6</v>
      </c>
      <c r="E182" s="2" t="s">
        <v>418</v>
      </c>
    </row>
    <row r="183" spans="1:5">
      <c r="A183" s="1">
        <v>184</v>
      </c>
      <c r="B183" s="2" t="s">
        <v>46</v>
      </c>
      <c r="C183" s="2" t="s">
        <v>419</v>
      </c>
      <c r="D183" s="2" t="s">
        <v>362</v>
      </c>
      <c r="E183" s="2" t="s">
        <v>420</v>
      </c>
    </row>
    <row r="184" spans="1:5">
      <c r="A184" s="1">
        <v>185</v>
      </c>
      <c r="B184" s="2" t="s">
        <v>421</v>
      </c>
      <c r="C184" s="2" t="s">
        <v>422</v>
      </c>
      <c r="D184" s="2" t="s">
        <v>6</v>
      </c>
      <c r="E184" s="2" t="s">
        <v>423</v>
      </c>
    </row>
    <row r="185" spans="1:5">
      <c r="A185" s="1">
        <v>186</v>
      </c>
      <c r="B185" s="2" t="s">
        <v>424</v>
      </c>
      <c r="C185" s="2" t="s">
        <v>425</v>
      </c>
      <c r="D185" s="2" t="s">
        <v>6</v>
      </c>
      <c r="E185" s="2" t="s">
        <v>426</v>
      </c>
    </row>
    <row r="186" spans="1:5">
      <c r="A186" s="1">
        <v>187</v>
      </c>
      <c r="B186" s="2" t="s">
        <v>262</v>
      </c>
      <c r="C186" s="2" t="s">
        <v>427</v>
      </c>
      <c r="D186" s="2" t="s">
        <v>6</v>
      </c>
      <c r="E186" s="2" t="s">
        <v>428</v>
      </c>
    </row>
    <row r="187" spans="1:5">
      <c r="A187" s="1">
        <v>188</v>
      </c>
      <c r="B187" s="2" t="s">
        <v>429</v>
      </c>
      <c r="C187" s="2" t="s">
        <v>430</v>
      </c>
      <c r="D187" s="2" t="s">
        <v>6</v>
      </c>
      <c r="E187" s="2" t="s">
        <v>418</v>
      </c>
    </row>
    <row r="188" spans="1:5">
      <c r="A188" s="1">
        <v>189</v>
      </c>
      <c r="B188" s="2" t="s">
        <v>431</v>
      </c>
      <c r="C188" s="2" t="s">
        <v>432</v>
      </c>
      <c r="D188" s="2" t="s">
        <v>6</v>
      </c>
      <c r="E188" s="2" t="s">
        <v>433</v>
      </c>
    </row>
    <row r="189" spans="1:5">
      <c r="A189" s="1">
        <v>190</v>
      </c>
      <c r="B189" s="2" t="s">
        <v>434</v>
      </c>
      <c r="C189" s="2" t="s">
        <v>435</v>
      </c>
      <c r="D189" s="2" t="s">
        <v>6</v>
      </c>
      <c r="E189" s="2" t="s">
        <v>436</v>
      </c>
    </row>
    <row r="190" spans="1:5">
      <c r="A190" s="1">
        <v>191</v>
      </c>
      <c r="B190" s="2" t="s">
        <v>437</v>
      </c>
      <c r="C190" s="2" t="s">
        <v>438</v>
      </c>
      <c r="D190" s="2" t="s">
        <v>6</v>
      </c>
      <c r="E190" s="2" t="s">
        <v>439</v>
      </c>
    </row>
    <row r="191" spans="1:5">
      <c r="A191" s="1">
        <v>192</v>
      </c>
      <c r="B191" s="2" t="s">
        <v>440</v>
      </c>
      <c r="C191" s="2" t="s">
        <v>441</v>
      </c>
      <c r="D191" s="2" t="s">
        <v>17</v>
      </c>
      <c r="E191" s="2" t="s">
        <v>18</v>
      </c>
    </row>
    <row r="192" spans="1:5">
      <c r="A192" s="1">
        <v>193</v>
      </c>
      <c r="B192" s="2" t="s">
        <v>226</v>
      </c>
      <c r="C192" s="2" t="s">
        <v>442</v>
      </c>
      <c r="D192" s="2" t="s">
        <v>17</v>
      </c>
      <c r="E192" s="2" t="s">
        <v>18</v>
      </c>
    </row>
    <row r="193" spans="1:5">
      <c r="A193" s="1">
        <v>194</v>
      </c>
      <c r="B193" s="2" t="s">
        <v>48</v>
      </c>
      <c r="C193" s="2" t="s">
        <v>443</v>
      </c>
      <c r="D193" s="2" t="s">
        <v>2</v>
      </c>
      <c r="E193" s="2" t="s">
        <v>3</v>
      </c>
    </row>
    <row r="194" spans="1:5">
      <c r="A194" s="1">
        <v>195</v>
      </c>
      <c r="B194" s="2" t="s">
        <v>444</v>
      </c>
      <c r="C194" s="2" t="s">
        <v>47</v>
      </c>
      <c r="D194" s="2" t="s">
        <v>17</v>
      </c>
      <c r="E194" s="2" t="s">
        <v>18</v>
      </c>
    </row>
    <row r="195" spans="1:5">
      <c r="A195" s="1">
        <v>196</v>
      </c>
      <c r="B195" s="2" t="s">
        <v>445</v>
      </c>
      <c r="C195" s="2" t="s">
        <v>446</v>
      </c>
      <c r="D195" s="2" t="s">
        <v>17</v>
      </c>
      <c r="E195" s="2" t="s">
        <v>18</v>
      </c>
    </row>
    <row r="196" spans="1:5">
      <c r="A196" s="1">
        <v>197</v>
      </c>
      <c r="B196" s="2" t="s">
        <v>447</v>
      </c>
      <c r="C196" s="2" t="s">
        <v>448</v>
      </c>
      <c r="D196" s="2" t="s">
        <v>17</v>
      </c>
      <c r="E196" s="2" t="s">
        <v>18</v>
      </c>
    </row>
    <row r="197" spans="1:5">
      <c r="A197" s="1">
        <v>198</v>
      </c>
      <c r="B197" s="2" t="s">
        <v>449</v>
      </c>
      <c r="C197" s="2" t="s">
        <v>450</v>
      </c>
      <c r="D197" s="2" t="s">
        <v>17</v>
      </c>
      <c r="E197" s="2" t="s">
        <v>18</v>
      </c>
    </row>
    <row r="198" spans="1:5">
      <c r="A198" s="1">
        <v>199</v>
      </c>
      <c r="B198" s="2" t="s">
        <v>451</v>
      </c>
      <c r="C198" s="2" t="s">
        <v>452</v>
      </c>
      <c r="D198" s="2" t="s">
        <v>17</v>
      </c>
      <c r="E198" s="2" t="s">
        <v>18</v>
      </c>
    </row>
    <row r="199" spans="1:5">
      <c r="A199" s="1">
        <v>200</v>
      </c>
      <c r="B199" s="2" t="s">
        <v>453</v>
      </c>
      <c r="C199" s="2" t="s">
        <v>454</v>
      </c>
      <c r="D199" s="2" t="s">
        <v>17</v>
      </c>
      <c r="E199" s="2" t="s">
        <v>18</v>
      </c>
    </row>
    <row r="200" spans="1:5">
      <c r="A200" s="1">
        <v>201</v>
      </c>
      <c r="B200" s="2" t="s">
        <v>89</v>
      </c>
      <c r="C200" s="2" t="s">
        <v>455</v>
      </c>
      <c r="D200" s="2" t="s">
        <v>72</v>
      </c>
      <c r="E200" s="2" t="s">
        <v>456</v>
      </c>
    </row>
    <row r="201" spans="1:5">
      <c r="A201" s="1">
        <v>202</v>
      </c>
      <c r="B201" s="2" t="s">
        <v>457</v>
      </c>
      <c r="C201" s="2" t="s">
        <v>458</v>
      </c>
      <c r="D201" s="2" t="s">
        <v>10</v>
      </c>
      <c r="E201" s="2" t="s">
        <v>10</v>
      </c>
    </row>
    <row r="202" spans="1:5">
      <c r="A202" s="1">
        <v>203</v>
      </c>
      <c r="B202" s="2" t="s">
        <v>241</v>
      </c>
      <c r="C202" s="2" t="s">
        <v>459</v>
      </c>
      <c r="D202" s="2" t="s">
        <v>17</v>
      </c>
      <c r="E202" s="2" t="s">
        <v>18</v>
      </c>
    </row>
    <row r="203" spans="1:5">
      <c r="A203" s="1">
        <v>204</v>
      </c>
      <c r="B203" s="2" t="s">
        <v>192</v>
      </c>
      <c r="C203" s="2" t="s">
        <v>460</v>
      </c>
      <c r="D203" s="2" t="s">
        <v>17</v>
      </c>
      <c r="E203" s="2" t="s">
        <v>18</v>
      </c>
    </row>
    <row r="204" spans="1:5">
      <c r="A204" s="1">
        <v>205</v>
      </c>
      <c r="B204" s="2" t="s">
        <v>192</v>
      </c>
      <c r="C204" s="2" t="s">
        <v>461</v>
      </c>
      <c r="D204" s="2" t="s">
        <v>17</v>
      </c>
      <c r="E204" s="2" t="s">
        <v>18</v>
      </c>
    </row>
    <row r="205" spans="1:5">
      <c r="A205" s="1">
        <v>206</v>
      </c>
      <c r="B205" s="2" t="s">
        <v>462</v>
      </c>
      <c r="C205" s="2" t="s">
        <v>142</v>
      </c>
      <c r="D205" s="2" t="s">
        <v>17</v>
      </c>
      <c r="E205" s="2" t="s">
        <v>18</v>
      </c>
    </row>
    <row r="206" spans="1:5">
      <c r="A206" s="1">
        <v>207</v>
      </c>
      <c r="B206" s="2" t="s">
        <v>463</v>
      </c>
      <c r="C206" s="2" t="s">
        <v>464</v>
      </c>
      <c r="D206" s="2" t="s">
        <v>17</v>
      </c>
      <c r="E206" s="2" t="s">
        <v>18</v>
      </c>
    </row>
    <row r="207" spans="1:5">
      <c r="A207" s="1">
        <v>208</v>
      </c>
      <c r="B207" s="2" t="s">
        <v>465</v>
      </c>
      <c r="C207" s="2" t="s">
        <v>466</v>
      </c>
      <c r="D207" s="2" t="s">
        <v>17</v>
      </c>
      <c r="E207" s="2" t="s">
        <v>18</v>
      </c>
    </row>
    <row r="208" spans="1:5">
      <c r="A208" s="1">
        <v>209</v>
      </c>
      <c r="B208" s="2" t="s">
        <v>467</v>
      </c>
      <c r="C208" s="2" t="s">
        <v>468</v>
      </c>
      <c r="D208" s="2" t="s">
        <v>17</v>
      </c>
      <c r="E208" s="2" t="s">
        <v>18</v>
      </c>
    </row>
    <row r="209" spans="1:5">
      <c r="A209" s="1">
        <v>210</v>
      </c>
      <c r="B209" s="2" t="s">
        <v>469</v>
      </c>
      <c r="C209" s="2" t="s">
        <v>470</v>
      </c>
      <c r="D209" s="2" t="s">
        <v>17</v>
      </c>
      <c r="E209" s="2" t="s">
        <v>18</v>
      </c>
    </row>
    <row r="210" spans="1:5">
      <c r="A210" s="1">
        <v>211</v>
      </c>
      <c r="B210" s="2" t="s">
        <v>471</v>
      </c>
      <c r="C210" s="2" t="s">
        <v>242</v>
      </c>
      <c r="D210" s="2" t="s">
        <v>17</v>
      </c>
      <c r="E210" s="2" t="s">
        <v>18</v>
      </c>
    </row>
    <row r="211" spans="1:5">
      <c r="A211" s="1">
        <v>212</v>
      </c>
      <c r="B211" s="2" t="s">
        <v>48</v>
      </c>
      <c r="C211" s="2" t="s">
        <v>472</v>
      </c>
      <c r="D211" s="2" t="s">
        <v>17</v>
      </c>
      <c r="E211" s="2" t="s">
        <v>18</v>
      </c>
    </row>
    <row r="212" spans="1:5">
      <c r="A212" s="1">
        <v>213</v>
      </c>
      <c r="B212" s="2" t="s">
        <v>305</v>
      </c>
      <c r="C212" s="2" t="s">
        <v>473</v>
      </c>
      <c r="D212" s="2" t="s">
        <v>26</v>
      </c>
      <c r="E212" s="2" t="s">
        <v>474</v>
      </c>
    </row>
    <row r="213" spans="1:5">
      <c r="A213" s="1">
        <v>214</v>
      </c>
      <c r="B213" s="2" t="s">
        <v>475</v>
      </c>
      <c r="C213" s="2" t="s">
        <v>476</v>
      </c>
      <c r="D213" s="2" t="s">
        <v>26</v>
      </c>
      <c r="E213" s="2" t="s">
        <v>477</v>
      </c>
    </row>
    <row r="214" spans="1:5">
      <c r="A214" s="1">
        <v>215</v>
      </c>
      <c r="B214" s="2" t="s">
        <v>478</v>
      </c>
      <c r="C214" s="2" t="s">
        <v>263</v>
      </c>
      <c r="D214" s="2" t="s">
        <v>26</v>
      </c>
      <c r="E214" s="2" t="s">
        <v>479</v>
      </c>
    </row>
    <row r="215" spans="1:5">
      <c r="A215" s="1">
        <v>216</v>
      </c>
      <c r="B215" s="2" t="s">
        <v>480</v>
      </c>
      <c r="C215" s="2" t="s">
        <v>481</v>
      </c>
      <c r="D215" s="2" t="s">
        <v>26</v>
      </c>
      <c r="E215" s="2" t="s">
        <v>482</v>
      </c>
    </row>
    <row r="216" spans="1:5">
      <c r="A216" s="1">
        <v>217</v>
      </c>
      <c r="B216" s="2" t="s">
        <v>483</v>
      </c>
      <c r="C216" s="2" t="s">
        <v>484</v>
      </c>
      <c r="D216" s="2" t="s">
        <v>26</v>
      </c>
      <c r="E216" s="2" t="s">
        <v>485</v>
      </c>
    </row>
    <row r="217" spans="1:5">
      <c r="A217" s="1">
        <v>218</v>
      </c>
      <c r="B217" s="2" t="s">
        <v>241</v>
      </c>
      <c r="C217" s="2" t="s">
        <v>486</v>
      </c>
      <c r="D217" s="2" t="s">
        <v>26</v>
      </c>
      <c r="E217" s="2" t="s">
        <v>487</v>
      </c>
    </row>
    <row r="218" spans="1:5">
      <c r="A218" s="1">
        <v>219</v>
      </c>
      <c r="B218" s="2" t="s">
        <v>285</v>
      </c>
      <c r="C218" s="2" t="s">
        <v>488</v>
      </c>
      <c r="D218" s="2" t="s">
        <v>26</v>
      </c>
      <c r="E218" s="2" t="s">
        <v>489</v>
      </c>
    </row>
    <row r="219" spans="1:5">
      <c r="A219" s="1">
        <v>220</v>
      </c>
      <c r="B219" s="2" t="s">
        <v>490</v>
      </c>
      <c r="C219" s="2" t="s">
        <v>491</v>
      </c>
      <c r="D219" s="2" t="s">
        <v>26</v>
      </c>
      <c r="E219" s="2" t="s">
        <v>492</v>
      </c>
    </row>
    <row r="220" spans="1:5">
      <c r="A220" s="1">
        <v>221</v>
      </c>
      <c r="B220" s="2" t="s">
        <v>122</v>
      </c>
      <c r="C220" s="2" t="s">
        <v>493</v>
      </c>
      <c r="D220" s="2" t="s">
        <v>26</v>
      </c>
      <c r="E220" s="2" t="s">
        <v>494</v>
      </c>
    </row>
    <row r="221" spans="1:5">
      <c r="A221" s="1">
        <v>222</v>
      </c>
      <c r="B221" s="2" t="s">
        <v>122</v>
      </c>
      <c r="C221" s="2" t="s">
        <v>495</v>
      </c>
      <c r="D221" s="2" t="s">
        <v>26</v>
      </c>
      <c r="E221" s="2" t="s">
        <v>496</v>
      </c>
    </row>
    <row r="222" spans="1:5">
      <c r="A222" s="1">
        <v>223</v>
      </c>
      <c r="B222" s="2" t="s">
        <v>497</v>
      </c>
      <c r="C222" s="2" t="s">
        <v>498</v>
      </c>
      <c r="D222" s="2" t="s">
        <v>26</v>
      </c>
      <c r="E222" s="2" t="s">
        <v>499</v>
      </c>
    </row>
    <row r="223" spans="1:5">
      <c r="A223" s="1">
        <v>224</v>
      </c>
      <c r="B223" s="2" t="s">
        <v>128</v>
      </c>
      <c r="C223" s="2" t="s">
        <v>500</v>
      </c>
      <c r="D223" s="2" t="s">
        <v>26</v>
      </c>
      <c r="E223" s="2" t="s">
        <v>501</v>
      </c>
    </row>
    <row r="224" spans="1:5">
      <c r="A224" s="1">
        <v>225</v>
      </c>
      <c r="B224" s="2" t="s">
        <v>24</v>
      </c>
      <c r="C224" s="2" t="s">
        <v>502</v>
      </c>
      <c r="D224" s="2" t="s">
        <v>26</v>
      </c>
      <c r="E224" s="2" t="s">
        <v>503</v>
      </c>
    </row>
    <row r="225" spans="1:5">
      <c r="A225" s="1">
        <v>226</v>
      </c>
      <c r="B225" s="2" t="s">
        <v>504</v>
      </c>
      <c r="C225" s="2" t="s">
        <v>505</v>
      </c>
      <c r="D225" s="2" t="s">
        <v>26</v>
      </c>
      <c r="E225" s="2" t="s">
        <v>506</v>
      </c>
    </row>
    <row r="226" spans="1:5">
      <c r="A226" s="1">
        <v>227</v>
      </c>
      <c r="B226" s="2" t="s">
        <v>56</v>
      </c>
      <c r="C226" s="2" t="s">
        <v>507</v>
      </c>
      <c r="D226" s="2" t="s">
        <v>26</v>
      </c>
      <c r="E226" s="2" t="s">
        <v>508</v>
      </c>
    </row>
    <row r="227" spans="1:5">
      <c r="A227" s="1">
        <v>228</v>
      </c>
      <c r="B227" s="2" t="s">
        <v>264</v>
      </c>
      <c r="C227" s="2" t="s">
        <v>509</v>
      </c>
      <c r="D227" s="2" t="s">
        <v>26</v>
      </c>
      <c r="E227" s="2" t="s">
        <v>510</v>
      </c>
    </row>
    <row r="228" spans="1:5">
      <c r="A228" s="1">
        <v>229</v>
      </c>
      <c r="B228" s="2" t="s">
        <v>511</v>
      </c>
      <c r="C228" s="2" t="s">
        <v>512</v>
      </c>
      <c r="D228" s="2" t="s">
        <v>26</v>
      </c>
      <c r="E228" s="2" t="s">
        <v>513</v>
      </c>
    </row>
    <row r="229" spans="1:5">
      <c r="A229" s="1">
        <v>230</v>
      </c>
      <c r="B229" s="2" t="s">
        <v>514</v>
      </c>
      <c r="C229" s="2" t="s">
        <v>515</v>
      </c>
      <c r="D229" s="2" t="s">
        <v>26</v>
      </c>
      <c r="E229" s="2" t="s">
        <v>516</v>
      </c>
    </row>
    <row r="230" spans="1:5">
      <c r="A230" s="1">
        <v>231</v>
      </c>
      <c r="B230" s="2" t="s">
        <v>517</v>
      </c>
      <c r="C230" s="2" t="s">
        <v>518</v>
      </c>
      <c r="D230" s="2" t="s">
        <v>26</v>
      </c>
      <c r="E230" s="2" t="s">
        <v>519</v>
      </c>
    </row>
    <row r="231" spans="1:5">
      <c r="A231" s="1">
        <v>232</v>
      </c>
      <c r="B231" s="2" t="s">
        <v>416</v>
      </c>
      <c r="C231" s="2" t="s">
        <v>520</v>
      </c>
      <c r="D231" s="2" t="s">
        <v>26</v>
      </c>
      <c r="E231" s="2" t="s">
        <v>521</v>
      </c>
    </row>
    <row r="232" spans="1:5">
      <c r="A232" s="1">
        <v>233</v>
      </c>
      <c r="B232" s="2" t="s">
        <v>522</v>
      </c>
      <c r="C232" s="2" t="s">
        <v>523</v>
      </c>
      <c r="D232" s="2" t="s">
        <v>26</v>
      </c>
      <c r="E232" s="2" t="s">
        <v>524</v>
      </c>
    </row>
    <row r="233" spans="1:5">
      <c r="A233" s="1">
        <v>234</v>
      </c>
      <c r="B233" s="2" t="s">
        <v>525</v>
      </c>
      <c r="C233" s="2" t="s">
        <v>526</v>
      </c>
      <c r="D233" s="2" t="s">
        <v>26</v>
      </c>
      <c r="E233" s="2" t="s">
        <v>527</v>
      </c>
    </row>
    <row r="234" spans="1:5">
      <c r="A234" s="1">
        <v>235</v>
      </c>
      <c r="B234" s="2" t="s">
        <v>437</v>
      </c>
      <c r="C234" s="2" t="s">
        <v>528</v>
      </c>
      <c r="D234" s="2" t="s">
        <v>26</v>
      </c>
      <c r="E234" s="2" t="s">
        <v>529</v>
      </c>
    </row>
    <row r="235" spans="1:5">
      <c r="A235" s="1">
        <v>236</v>
      </c>
      <c r="B235" s="2" t="s">
        <v>530</v>
      </c>
      <c r="C235" s="2" t="s">
        <v>531</v>
      </c>
      <c r="D235" s="2" t="s">
        <v>17</v>
      </c>
      <c r="E235" s="2" t="s">
        <v>18</v>
      </c>
    </row>
    <row r="236" spans="1:5">
      <c r="A236" s="1">
        <v>237</v>
      </c>
      <c r="B236" s="2" t="s">
        <v>221</v>
      </c>
      <c r="C236" s="2" t="s">
        <v>532</v>
      </c>
      <c r="D236" s="2" t="s">
        <v>200</v>
      </c>
      <c r="E236" s="2" t="s">
        <v>201</v>
      </c>
    </row>
    <row r="237" spans="1:5">
      <c r="A237" s="1">
        <v>238</v>
      </c>
      <c r="B237" s="2" t="s">
        <v>533</v>
      </c>
      <c r="C237" s="2" t="s">
        <v>534</v>
      </c>
      <c r="D237" s="2" t="s">
        <v>17</v>
      </c>
      <c r="E237" s="2" t="s">
        <v>18</v>
      </c>
    </row>
    <row r="238" spans="1:5">
      <c r="A238" s="1">
        <v>239</v>
      </c>
      <c r="B238" s="2" t="s">
        <v>535</v>
      </c>
      <c r="C238" s="2" t="s">
        <v>536</v>
      </c>
      <c r="D238" s="2" t="s">
        <v>200</v>
      </c>
      <c r="E238" s="2" t="s">
        <v>537</v>
      </c>
    </row>
    <row r="239" spans="1:5">
      <c r="A239" s="1">
        <v>240</v>
      </c>
      <c r="B239" s="2" t="s">
        <v>331</v>
      </c>
      <c r="C239" s="2" t="s">
        <v>538</v>
      </c>
      <c r="D239" s="2" t="s">
        <v>200</v>
      </c>
      <c r="E239" s="2" t="s">
        <v>537</v>
      </c>
    </row>
    <row r="240" spans="1:5">
      <c r="A240" s="1">
        <v>241</v>
      </c>
      <c r="B240" s="2" t="s">
        <v>89</v>
      </c>
      <c r="C240" s="2" t="s">
        <v>539</v>
      </c>
      <c r="D240" s="2" t="s">
        <v>200</v>
      </c>
      <c r="E240" s="2" t="s">
        <v>537</v>
      </c>
    </row>
    <row r="241" spans="1:5">
      <c r="A241" s="1">
        <v>242</v>
      </c>
      <c r="B241" s="2" t="s">
        <v>285</v>
      </c>
      <c r="C241" s="2" t="s">
        <v>178</v>
      </c>
      <c r="D241" s="2" t="s">
        <v>200</v>
      </c>
      <c r="E241" s="2" t="s">
        <v>537</v>
      </c>
    </row>
    <row r="242" spans="1:5">
      <c r="A242" s="1">
        <v>243</v>
      </c>
      <c r="B242" s="2" t="s">
        <v>110</v>
      </c>
      <c r="C242" s="2" t="s">
        <v>540</v>
      </c>
      <c r="D242" s="2" t="s">
        <v>200</v>
      </c>
      <c r="E242" s="2" t="s">
        <v>537</v>
      </c>
    </row>
    <row r="243" spans="1:5">
      <c r="A243" s="1">
        <v>244</v>
      </c>
      <c r="B243" s="2" t="s">
        <v>262</v>
      </c>
      <c r="C243" s="2" t="s">
        <v>541</v>
      </c>
      <c r="D243" s="2" t="s">
        <v>200</v>
      </c>
      <c r="E243" s="2" t="s">
        <v>537</v>
      </c>
    </row>
    <row r="244" spans="1:5">
      <c r="A244" s="1">
        <v>245</v>
      </c>
      <c r="B244" s="2" t="s">
        <v>465</v>
      </c>
      <c r="C244" s="2" t="s">
        <v>542</v>
      </c>
      <c r="D244" s="2" t="s">
        <v>200</v>
      </c>
      <c r="E244" s="2" t="s">
        <v>537</v>
      </c>
    </row>
    <row r="245" spans="1:5">
      <c r="A245" s="1">
        <v>246</v>
      </c>
      <c r="B245" s="2" t="s">
        <v>543</v>
      </c>
      <c r="C245" s="2" t="s">
        <v>544</v>
      </c>
      <c r="D245" s="2" t="s">
        <v>200</v>
      </c>
      <c r="E245" s="2" t="s">
        <v>537</v>
      </c>
    </row>
    <row r="246" spans="1:5">
      <c r="A246" s="1">
        <v>247</v>
      </c>
      <c r="B246" s="2" t="s">
        <v>545</v>
      </c>
      <c r="C246" s="2" t="s">
        <v>546</v>
      </c>
      <c r="D246" s="2" t="s">
        <v>200</v>
      </c>
      <c r="E246" s="2" t="s">
        <v>537</v>
      </c>
    </row>
    <row r="247" spans="1:5">
      <c r="A247" s="1">
        <v>248</v>
      </c>
      <c r="B247" s="2" t="s">
        <v>547</v>
      </c>
      <c r="C247" s="2" t="s">
        <v>548</v>
      </c>
      <c r="D247" s="2" t="s">
        <v>26</v>
      </c>
      <c r="E247" s="2" t="s">
        <v>549</v>
      </c>
    </row>
    <row r="248" spans="1:5">
      <c r="A248" s="1">
        <v>249</v>
      </c>
      <c r="B248" s="2" t="s">
        <v>550</v>
      </c>
      <c r="C248" s="2" t="s">
        <v>551</v>
      </c>
      <c r="D248" s="2" t="s">
        <v>2</v>
      </c>
      <c r="E248" s="2" t="s">
        <v>3</v>
      </c>
    </row>
    <row r="249" spans="1:5">
      <c r="A249" s="1">
        <v>250</v>
      </c>
      <c r="B249" s="2" t="s">
        <v>22</v>
      </c>
      <c r="C249" s="2" t="s">
        <v>552</v>
      </c>
      <c r="D249" s="2" t="s">
        <v>17</v>
      </c>
      <c r="E249" s="2" t="s">
        <v>18</v>
      </c>
    </row>
    <row r="250" spans="1:5">
      <c r="A250" s="1">
        <v>251</v>
      </c>
      <c r="B250" s="2" t="s">
        <v>553</v>
      </c>
      <c r="C250" s="2" t="s">
        <v>430</v>
      </c>
      <c r="D250" s="2" t="s">
        <v>17</v>
      </c>
      <c r="E250" s="2" t="s">
        <v>18</v>
      </c>
    </row>
    <row r="251" spans="1:5">
      <c r="A251" s="1">
        <v>252</v>
      </c>
      <c r="B251" s="2" t="s">
        <v>554</v>
      </c>
      <c r="C251" s="2" t="s">
        <v>555</v>
      </c>
      <c r="D251" s="2" t="s">
        <v>17</v>
      </c>
      <c r="E251" s="2" t="s">
        <v>18</v>
      </c>
    </row>
    <row r="252" spans="1:5">
      <c r="A252" s="1">
        <v>253</v>
      </c>
      <c r="B252" s="2" t="s">
        <v>556</v>
      </c>
      <c r="C252" s="2" t="s">
        <v>557</v>
      </c>
      <c r="D252" s="2" t="s">
        <v>17</v>
      </c>
      <c r="E252" s="2" t="s">
        <v>18</v>
      </c>
    </row>
    <row r="253" spans="1:5">
      <c r="A253" s="1">
        <v>254</v>
      </c>
      <c r="B253" s="2" t="s">
        <v>285</v>
      </c>
      <c r="C253" s="2" t="s">
        <v>558</v>
      </c>
      <c r="D253" s="2" t="s">
        <v>17</v>
      </c>
      <c r="E253" s="2" t="s">
        <v>18</v>
      </c>
    </row>
    <row r="254" spans="1:5">
      <c r="A254" s="1">
        <v>255</v>
      </c>
      <c r="B254" s="2" t="s">
        <v>559</v>
      </c>
      <c r="C254" s="2" t="s">
        <v>560</v>
      </c>
      <c r="D254" s="2" t="s">
        <v>17</v>
      </c>
      <c r="E254" s="2" t="s">
        <v>18</v>
      </c>
    </row>
    <row r="255" spans="1:5">
      <c r="A255" s="1">
        <v>256</v>
      </c>
      <c r="B255" s="2" t="s">
        <v>561</v>
      </c>
      <c r="C255" s="2" t="s">
        <v>562</v>
      </c>
      <c r="D255" s="2" t="s">
        <v>17</v>
      </c>
      <c r="E255" s="2" t="s">
        <v>18</v>
      </c>
    </row>
    <row r="256" spans="1:5">
      <c r="A256" s="1">
        <v>257</v>
      </c>
      <c r="B256" s="2" t="s">
        <v>563</v>
      </c>
      <c r="C256" s="2" t="s">
        <v>564</v>
      </c>
      <c r="D256" s="2" t="s">
        <v>17</v>
      </c>
      <c r="E256" s="2" t="s">
        <v>18</v>
      </c>
    </row>
    <row r="257" spans="1:5">
      <c r="A257" s="1">
        <v>258</v>
      </c>
      <c r="B257" s="2" t="s">
        <v>565</v>
      </c>
      <c r="C257" s="2" t="s">
        <v>348</v>
      </c>
      <c r="D257" s="2" t="s">
        <v>17</v>
      </c>
      <c r="E257" s="2" t="s">
        <v>18</v>
      </c>
    </row>
    <row r="258" spans="1:5">
      <c r="A258" s="1">
        <v>259</v>
      </c>
      <c r="B258" s="2" t="s">
        <v>566</v>
      </c>
      <c r="C258" s="2" t="s">
        <v>567</v>
      </c>
      <c r="D258" s="2" t="s">
        <v>17</v>
      </c>
      <c r="E258" s="2" t="s">
        <v>18</v>
      </c>
    </row>
    <row r="259" spans="1:5">
      <c r="A259" s="1">
        <v>260</v>
      </c>
      <c r="B259" s="2" t="s">
        <v>568</v>
      </c>
      <c r="C259" s="2" t="s">
        <v>569</v>
      </c>
      <c r="D259" s="2" t="s">
        <v>17</v>
      </c>
      <c r="E259" s="2" t="s">
        <v>18</v>
      </c>
    </row>
    <row r="260" spans="1:5">
      <c r="A260" s="1">
        <v>261</v>
      </c>
      <c r="B260" s="2" t="s">
        <v>570</v>
      </c>
      <c r="C260" s="2" t="s">
        <v>571</v>
      </c>
      <c r="D260" s="2" t="s">
        <v>17</v>
      </c>
      <c r="E260" s="2" t="s">
        <v>18</v>
      </c>
    </row>
    <row r="261" spans="1:5">
      <c r="A261" s="1">
        <v>262</v>
      </c>
      <c r="B261" s="2" t="s">
        <v>570</v>
      </c>
      <c r="C261" s="2" t="s">
        <v>572</v>
      </c>
      <c r="D261" s="2" t="s">
        <v>17</v>
      </c>
      <c r="E261" s="2" t="s">
        <v>18</v>
      </c>
    </row>
    <row r="262" spans="1:5">
      <c r="A262" s="1">
        <v>263</v>
      </c>
      <c r="B262" s="2" t="s">
        <v>573</v>
      </c>
      <c r="C262" s="2" t="s">
        <v>574</v>
      </c>
      <c r="D262" s="2" t="s">
        <v>17</v>
      </c>
      <c r="E262" s="2" t="s">
        <v>18</v>
      </c>
    </row>
    <row r="263" spans="1:5">
      <c r="A263" s="1">
        <v>264</v>
      </c>
      <c r="B263" s="2" t="s">
        <v>575</v>
      </c>
      <c r="C263" s="2" t="s">
        <v>576</v>
      </c>
      <c r="D263" s="2" t="s">
        <v>17</v>
      </c>
      <c r="E263" s="2" t="s">
        <v>18</v>
      </c>
    </row>
    <row r="264" spans="1:5">
      <c r="A264" s="1">
        <v>265</v>
      </c>
      <c r="B264" s="2" t="s">
        <v>577</v>
      </c>
      <c r="C264" s="2" t="s">
        <v>14</v>
      </c>
      <c r="D264" s="2" t="s">
        <v>17</v>
      </c>
      <c r="E264" s="2" t="s">
        <v>18</v>
      </c>
    </row>
    <row r="265" spans="1:5">
      <c r="A265" s="1">
        <v>266</v>
      </c>
      <c r="B265" s="2" t="s">
        <v>252</v>
      </c>
      <c r="C265" s="2" t="s">
        <v>578</v>
      </c>
      <c r="D265" s="2" t="s">
        <v>17</v>
      </c>
      <c r="E265" s="2" t="s">
        <v>18</v>
      </c>
    </row>
    <row r="266" spans="1:5">
      <c r="A266" s="1">
        <v>267</v>
      </c>
      <c r="B266" s="2" t="s">
        <v>24</v>
      </c>
      <c r="C266" s="2" t="s">
        <v>579</v>
      </c>
      <c r="D266" s="2" t="s">
        <v>10</v>
      </c>
      <c r="E266" s="2" t="s">
        <v>10</v>
      </c>
    </row>
    <row r="267" spans="1:5">
      <c r="A267" s="1">
        <v>268</v>
      </c>
      <c r="B267" s="2" t="s">
        <v>241</v>
      </c>
      <c r="C267" s="2" t="s">
        <v>580</v>
      </c>
      <c r="D267" s="2" t="s">
        <v>17</v>
      </c>
      <c r="E267" s="2" t="s">
        <v>18</v>
      </c>
    </row>
    <row r="268" spans="1:5">
      <c r="A268" s="1">
        <v>269</v>
      </c>
      <c r="B268" s="2" t="s">
        <v>444</v>
      </c>
      <c r="C268" s="2" t="s">
        <v>581</v>
      </c>
      <c r="D268" s="2" t="s">
        <v>17</v>
      </c>
      <c r="E268" s="2" t="s">
        <v>18</v>
      </c>
    </row>
    <row r="269" spans="1:5">
      <c r="A269" s="1">
        <v>270</v>
      </c>
      <c r="B269" s="2" t="s">
        <v>444</v>
      </c>
      <c r="C269" s="2" t="s">
        <v>306</v>
      </c>
      <c r="D269" s="2" t="s">
        <v>17</v>
      </c>
      <c r="E269" s="2" t="s">
        <v>18</v>
      </c>
    </row>
    <row r="270" spans="1:5">
      <c r="A270" s="1">
        <v>271</v>
      </c>
      <c r="B270" s="2" t="s">
        <v>444</v>
      </c>
      <c r="C270" s="2" t="s">
        <v>582</v>
      </c>
      <c r="D270" s="2" t="s">
        <v>17</v>
      </c>
      <c r="E270" s="2" t="s">
        <v>18</v>
      </c>
    </row>
    <row r="271" spans="1:5">
      <c r="A271" s="1">
        <v>272</v>
      </c>
      <c r="B271" s="2" t="s">
        <v>0</v>
      </c>
      <c r="C271" s="2" t="s">
        <v>583</v>
      </c>
      <c r="D271" s="2" t="s">
        <v>17</v>
      </c>
      <c r="E271" s="2" t="s">
        <v>18</v>
      </c>
    </row>
    <row r="272" spans="1:5">
      <c r="A272" s="1">
        <v>273</v>
      </c>
      <c r="B272" s="2" t="s">
        <v>584</v>
      </c>
      <c r="C272" s="2" t="s">
        <v>585</v>
      </c>
      <c r="D272" s="2" t="s">
        <v>17</v>
      </c>
      <c r="E272" s="2" t="s">
        <v>18</v>
      </c>
    </row>
    <row r="273" spans="1:5">
      <c r="A273" s="1">
        <v>274</v>
      </c>
      <c r="B273" s="2" t="s">
        <v>24</v>
      </c>
      <c r="C273" s="2" t="s">
        <v>586</v>
      </c>
      <c r="D273" s="2" t="s">
        <v>54</v>
      </c>
      <c r="E273" s="2" t="s">
        <v>55</v>
      </c>
    </row>
    <row r="274" spans="1:5">
      <c r="A274" s="1">
        <v>275</v>
      </c>
      <c r="B274" s="2" t="s">
        <v>285</v>
      </c>
      <c r="C274" s="2" t="s">
        <v>587</v>
      </c>
      <c r="D274" s="2" t="s">
        <v>17</v>
      </c>
      <c r="E274" s="2" t="s">
        <v>18</v>
      </c>
    </row>
    <row r="275" spans="1:5">
      <c r="A275" s="1">
        <v>276</v>
      </c>
      <c r="B275" s="2" t="s">
        <v>15</v>
      </c>
      <c r="C275" s="2" t="s">
        <v>588</v>
      </c>
      <c r="D275" s="2" t="s">
        <v>200</v>
      </c>
      <c r="E275" s="2" t="s">
        <v>201</v>
      </c>
    </row>
    <row r="276" spans="1:5">
      <c r="A276" s="1">
        <v>277</v>
      </c>
      <c r="B276" s="2" t="s">
        <v>282</v>
      </c>
      <c r="C276" s="2" t="s">
        <v>443</v>
      </c>
      <c r="D276" s="2" t="s">
        <v>17</v>
      </c>
      <c r="E276" s="2" t="s">
        <v>18</v>
      </c>
    </row>
    <row r="277" spans="1:5">
      <c r="A277" s="1">
        <v>278</v>
      </c>
      <c r="B277" s="2" t="s">
        <v>282</v>
      </c>
      <c r="C277" s="2" t="s">
        <v>589</v>
      </c>
      <c r="D277" s="2" t="s">
        <v>17</v>
      </c>
      <c r="E277" s="2" t="s">
        <v>18</v>
      </c>
    </row>
    <row r="278" spans="1:5">
      <c r="A278" s="1">
        <v>279</v>
      </c>
      <c r="B278" s="2" t="s">
        <v>590</v>
      </c>
      <c r="C278" s="2" t="s">
        <v>348</v>
      </c>
      <c r="D278" s="2" t="s">
        <v>17</v>
      </c>
      <c r="E278" s="2" t="s">
        <v>18</v>
      </c>
    </row>
    <row r="279" spans="1:5">
      <c r="A279" s="1">
        <v>280</v>
      </c>
      <c r="B279" s="2" t="s">
        <v>591</v>
      </c>
      <c r="C279" s="2" t="s">
        <v>592</v>
      </c>
      <c r="D279" s="2" t="s">
        <v>17</v>
      </c>
      <c r="E279" s="2" t="s">
        <v>18</v>
      </c>
    </row>
    <row r="280" spans="1:5">
      <c r="A280" s="1">
        <v>281</v>
      </c>
      <c r="B280" s="2" t="s">
        <v>593</v>
      </c>
      <c r="C280" s="2" t="s">
        <v>594</v>
      </c>
      <c r="D280" s="2" t="s">
        <v>17</v>
      </c>
      <c r="E280" s="2" t="s">
        <v>18</v>
      </c>
    </row>
    <row r="281" spans="1:5">
      <c r="A281" s="1">
        <v>282</v>
      </c>
      <c r="B281" s="2" t="s">
        <v>301</v>
      </c>
      <c r="C281" s="2" t="s">
        <v>595</v>
      </c>
      <c r="D281" s="2" t="s">
        <v>17</v>
      </c>
      <c r="E281" s="2" t="s">
        <v>18</v>
      </c>
    </row>
    <row r="282" spans="1:5">
      <c r="A282" s="1">
        <v>283</v>
      </c>
      <c r="B282" s="2" t="s">
        <v>469</v>
      </c>
      <c r="C282" s="2" t="s">
        <v>466</v>
      </c>
      <c r="D282" s="2" t="s">
        <v>17</v>
      </c>
      <c r="E282" s="2" t="s">
        <v>18</v>
      </c>
    </row>
    <row r="283" spans="1:5">
      <c r="A283" s="1">
        <v>284</v>
      </c>
      <c r="B283" s="2" t="s">
        <v>596</v>
      </c>
      <c r="C283" s="2" t="s">
        <v>597</v>
      </c>
      <c r="D283" s="2" t="s">
        <v>17</v>
      </c>
      <c r="E283" s="2" t="s">
        <v>18</v>
      </c>
    </row>
    <row r="284" spans="1:5">
      <c r="A284" s="1">
        <v>285</v>
      </c>
      <c r="B284" s="2" t="s">
        <v>397</v>
      </c>
      <c r="C284" s="2" t="s">
        <v>598</v>
      </c>
      <c r="D284" s="2" t="s">
        <v>17</v>
      </c>
      <c r="E284" s="2" t="s">
        <v>18</v>
      </c>
    </row>
    <row r="285" spans="1:5">
      <c r="A285" s="1">
        <v>286</v>
      </c>
      <c r="B285" s="2" t="s">
        <v>599</v>
      </c>
      <c r="C285" s="2" t="s">
        <v>600</v>
      </c>
      <c r="D285" s="2" t="s">
        <v>17</v>
      </c>
      <c r="E285" s="2" t="s">
        <v>18</v>
      </c>
    </row>
    <row r="286" spans="1:5">
      <c r="A286" s="1">
        <v>287</v>
      </c>
      <c r="B286" s="2" t="s">
        <v>601</v>
      </c>
      <c r="C286" s="2" t="s">
        <v>602</v>
      </c>
      <c r="D286" s="2" t="s">
        <v>17</v>
      </c>
      <c r="E286" s="2" t="s">
        <v>18</v>
      </c>
    </row>
    <row r="287" spans="1:5">
      <c r="A287" s="1">
        <v>288</v>
      </c>
      <c r="B287" s="2" t="s">
        <v>601</v>
      </c>
      <c r="C287" s="2" t="s">
        <v>603</v>
      </c>
      <c r="D287" s="2" t="s">
        <v>17</v>
      </c>
      <c r="E287" s="2" t="s">
        <v>18</v>
      </c>
    </row>
    <row r="288" spans="1:5">
      <c r="A288" s="1">
        <v>289</v>
      </c>
      <c r="B288" s="2" t="s">
        <v>604</v>
      </c>
      <c r="C288" s="2" t="s">
        <v>317</v>
      </c>
      <c r="D288" s="2" t="s">
        <v>17</v>
      </c>
      <c r="E288" s="2" t="s">
        <v>18</v>
      </c>
    </row>
    <row r="289" spans="1:5">
      <c r="A289" s="1">
        <v>290</v>
      </c>
      <c r="B289" s="2" t="s">
        <v>605</v>
      </c>
      <c r="C289" s="2" t="s">
        <v>606</v>
      </c>
      <c r="D289" s="2" t="s">
        <v>17</v>
      </c>
      <c r="E289" s="2" t="s">
        <v>18</v>
      </c>
    </row>
    <row r="290" spans="1:5">
      <c r="A290" s="1">
        <v>291</v>
      </c>
      <c r="B290" s="2" t="s">
        <v>607</v>
      </c>
      <c r="C290" s="2" t="s">
        <v>157</v>
      </c>
      <c r="D290" s="2" t="s">
        <v>17</v>
      </c>
      <c r="E290" s="2" t="s">
        <v>18</v>
      </c>
    </row>
    <row r="291" spans="1:5">
      <c r="A291" s="1">
        <v>292</v>
      </c>
      <c r="B291" s="2" t="s">
        <v>608</v>
      </c>
      <c r="C291" s="2" t="s">
        <v>609</v>
      </c>
      <c r="D291" s="2" t="s">
        <v>17</v>
      </c>
      <c r="E291" s="2" t="s">
        <v>18</v>
      </c>
    </row>
    <row r="292" spans="1:5">
      <c r="A292" s="1">
        <v>293</v>
      </c>
      <c r="B292" s="2" t="s">
        <v>610</v>
      </c>
      <c r="C292" s="2" t="s">
        <v>523</v>
      </c>
      <c r="D292" s="2" t="s">
        <v>17</v>
      </c>
      <c r="E292" s="2" t="s">
        <v>18</v>
      </c>
    </row>
    <row r="293" spans="1:5">
      <c r="A293" s="1">
        <v>294</v>
      </c>
      <c r="B293" s="2" t="s">
        <v>610</v>
      </c>
      <c r="C293" s="2" t="s">
        <v>1</v>
      </c>
      <c r="D293" s="2" t="s">
        <v>17</v>
      </c>
      <c r="E293" s="2" t="s">
        <v>18</v>
      </c>
    </row>
    <row r="294" spans="1:5">
      <c r="A294" s="1">
        <v>295</v>
      </c>
      <c r="B294" s="2" t="s">
        <v>611</v>
      </c>
      <c r="C294" s="2" t="s">
        <v>612</v>
      </c>
      <c r="D294" s="2" t="s">
        <v>17</v>
      </c>
      <c r="E294" s="2" t="s">
        <v>18</v>
      </c>
    </row>
    <row r="295" spans="1:5">
      <c r="A295" s="1">
        <v>296</v>
      </c>
      <c r="B295" s="2" t="s">
        <v>613</v>
      </c>
      <c r="C295" s="2" t="s">
        <v>614</v>
      </c>
      <c r="D295" s="2" t="s">
        <v>17</v>
      </c>
      <c r="E295" s="2" t="s">
        <v>18</v>
      </c>
    </row>
    <row r="296" spans="1:5">
      <c r="A296" s="1">
        <v>297</v>
      </c>
      <c r="B296" s="2" t="s">
        <v>615</v>
      </c>
      <c r="C296" s="2" t="s">
        <v>616</v>
      </c>
      <c r="D296" s="2" t="s">
        <v>17</v>
      </c>
      <c r="E296" s="2" t="s">
        <v>18</v>
      </c>
    </row>
    <row r="297" spans="1:5">
      <c r="A297" s="1">
        <v>298</v>
      </c>
      <c r="B297" s="2" t="s">
        <v>617</v>
      </c>
      <c r="C297" s="2" t="s">
        <v>618</v>
      </c>
      <c r="D297" s="2" t="s">
        <v>17</v>
      </c>
      <c r="E297" s="2" t="s">
        <v>18</v>
      </c>
    </row>
    <row r="298" spans="1:5">
      <c r="A298" s="1">
        <v>299</v>
      </c>
      <c r="B298" s="2" t="s">
        <v>619</v>
      </c>
      <c r="C298" s="2" t="s">
        <v>620</v>
      </c>
      <c r="D298" s="2" t="s">
        <v>17</v>
      </c>
      <c r="E298" s="2" t="s">
        <v>18</v>
      </c>
    </row>
    <row r="299" spans="1:5">
      <c r="A299" s="1">
        <v>300</v>
      </c>
      <c r="B299" s="2" t="s">
        <v>387</v>
      </c>
      <c r="C299" s="2" t="s">
        <v>621</v>
      </c>
      <c r="D299" s="2" t="s">
        <v>17</v>
      </c>
      <c r="E299" s="2" t="s">
        <v>18</v>
      </c>
    </row>
    <row r="300" spans="1:5">
      <c r="A300" s="1">
        <v>301</v>
      </c>
      <c r="B300" s="2" t="s">
        <v>622</v>
      </c>
      <c r="C300" s="2" t="s">
        <v>623</v>
      </c>
      <c r="D300" s="2" t="s">
        <v>17</v>
      </c>
      <c r="E300" s="2" t="s">
        <v>18</v>
      </c>
    </row>
    <row r="301" spans="1:5">
      <c r="A301" s="1">
        <v>302</v>
      </c>
      <c r="B301" s="2" t="s">
        <v>624</v>
      </c>
      <c r="C301" s="2" t="s">
        <v>625</v>
      </c>
      <c r="D301" s="2" t="s">
        <v>17</v>
      </c>
      <c r="E301" s="2" t="s">
        <v>18</v>
      </c>
    </row>
    <row r="302" spans="1:5">
      <c r="A302" s="1">
        <v>303</v>
      </c>
      <c r="B302" s="2" t="s">
        <v>626</v>
      </c>
      <c r="C302" s="2" t="s">
        <v>627</v>
      </c>
      <c r="D302" s="2" t="s">
        <v>17</v>
      </c>
      <c r="E302" s="2" t="s">
        <v>18</v>
      </c>
    </row>
    <row r="303" spans="1:5">
      <c r="A303" s="1">
        <v>304</v>
      </c>
      <c r="B303" s="2" t="s">
        <v>628</v>
      </c>
      <c r="C303" s="2" t="s">
        <v>629</v>
      </c>
      <c r="D303" s="2" t="s">
        <v>17</v>
      </c>
      <c r="E303" s="2" t="s">
        <v>18</v>
      </c>
    </row>
    <row r="304" spans="1:5">
      <c r="A304" s="1">
        <v>305</v>
      </c>
      <c r="B304" s="2" t="s">
        <v>630</v>
      </c>
      <c r="C304" s="2" t="s">
        <v>578</v>
      </c>
      <c r="D304" s="2" t="s">
        <v>17</v>
      </c>
      <c r="E304" s="2" t="s">
        <v>18</v>
      </c>
    </row>
    <row r="305" spans="1:5">
      <c r="A305" s="1">
        <v>306</v>
      </c>
      <c r="B305" s="2" t="s">
        <v>631</v>
      </c>
      <c r="C305" s="2" t="s">
        <v>632</v>
      </c>
      <c r="D305" s="2" t="s">
        <v>17</v>
      </c>
      <c r="E305" s="2" t="s">
        <v>18</v>
      </c>
    </row>
    <row r="306" spans="1:5">
      <c r="A306" s="1">
        <v>307</v>
      </c>
      <c r="B306" s="2" t="s">
        <v>633</v>
      </c>
      <c r="C306" s="2" t="s">
        <v>157</v>
      </c>
      <c r="D306" s="2" t="s">
        <v>17</v>
      </c>
      <c r="E306" s="2" t="s">
        <v>18</v>
      </c>
    </row>
    <row r="307" spans="1:5">
      <c r="A307" s="1">
        <v>308</v>
      </c>
      <c r="B307" s="2" t="s">
        <v>634</v>
      </c>
      <c r="C307" s="2" t="s">
        <v>635</v>
      </c>
      <c r="D307" s="2" t="s">
        <v>17</v>
      </c>
      <c r="E307" s="2" t="s">
        <v>18</v>
      </c>
    </row>
    <row r="308" spans="1:5">
      <c r="A308" s="1">
        <v>309</v>
      </c>
      <c r="B308" s="2" t="s">
        <v>636</v>
      </c>
      <c r="C308" s="2" t="s">
        <v>637</v>
      </c>
      <c r="D308" s="2" t="s">
        <v>17</v>
      </c>
      <c r="E308" s="2" t="s">
        <v>18</v>
      </c>
    </row>
    <row r="309" spans="1:5">
      <c r="A309" s="1">
        <v>310</v>
      </c>
      <c r="B309" s="2" t="s">
        <v>636</v>
      </c>
      <c r="C309" s="2" t="s">
        <v>638</v>
      </c>
      <c r="D309" s="2" t="s">
        <v>17</v>
      </c>
      <c r="E309" s="2" t="s">
        <v>18</v>
      </c>
    </row>
    <row r="310" spans="1:5">
      <c r="A310" s="1">
        <v>311</v>
      </c>
      <c r="B310" s="2" t="s">
        <v>639</v>
      </c>
      <c r="C310" s="2" t="s">
        <v>640</v>
      </c>
      <c r="D310" s="2" t="s">
        <v>17</v>
      </c>
      <c r="E310" s="2" t="s">
        <v>18</v>
      </c>
    </row>
    <row r="311" spans="1:5">
      <c r="A311" s="1">
        <v>312</v>
      </c>
      <c r="B311" s="2" t="s">
        <v>641</v>
      </c>
      <c r="C311" s="2" t="s">
        <v>642</v>
      </c>
      <c r="D311" s="2" t="s">
        <v>17</v>
      </c>
      <c r="E311" s="2" t="s">
        <v>18</v>
      </c>
    </row>
    <row r="312" spans="1:5">
      <c r="A312" s="1">
        <v>313</v>
      </c>
      <c r="B312" s="2" t="s">
        <v>643</v>
      </c>
      <c r="C312" s="2" t="s">
        <v>644</v>
      </c>
      <c r="D312" s="2" t="s">
        <v>17</v>
      </c>
      <c r="E312" s="2" t="s">
        <v>18</v>
      </c>
    </row>
    <row r="313" spans="1:5">
      <c r="A313" s="1">
        <v>314</v>
      </c>
      <c r="B313" s="2" t="s">
        <v>645</v>
      </c>
      <c r="C313" s="2" t="s">
        <v>646</v>
      </c>
      <c r="D313" s="2" t="s">
        <v>17</v>
      </c>
      <c r="E313" s="2" t="s">
        <v>18</v>
      </c>
    </row>
    <row r="314" spans="1:5">
      <c r="A314" s="1">
        <v>315</v>
      </c>
      <c r="B314" s="2" t="s">
        <v>647</v>
      </c>
      <c r="C314" s="2" t="s">
        <v>460</v>
      </c>
      <c r="D314" s="2" t="s">
        <v>17</v>
      </c>
      <c r="E314" s="2" t="s">
        <v>18</v>
      </c>
    </row>
    <row r="315" spans="1:5">
      <c r="A315" s="1">
        <v>316</v>
      </c>
      <c r="B315" s="2" t="s">
        <v>180</v>
      </c>
      <c r="C315" s="2" t="s">
        <v>648</v>
      </c>
      <c r="D315" s="2" t="s">
        <v>17</v>
      </c>
      <c r="E315" s="2" t="s">
        <v>18</v>
      </c>
    </row>
    <row r="316" spans="1:5">
      <c r="A316" s="1">
        <v>317</v>
      </c>
      <c r="B316" s="2" t="s">
        <v>649</v>
      </c>
      <c r="C316" s="2" t="s">
        <v>275</v>
      </c>
      <c r="D316" s="2" t="s">
        <v>17</v>
      </c>
      <c r="E316" s="2" t="s">
        <v>18</v>
      </c>
    </row>
    <row r="317" spans="1:5">
      <c r="A317" s="1">
        <v>318</v>
      </c>
      <c r="B317" s="2" t="s">
        <v>650</v>
      </c>
      <c r="C317" s="2" t="s">
        <v>651</v>
      </c>
      <c r="D317" s="2" t="s">
        <v>17</v>
      </c>
      <c r="E317" s="2" t="s">
        <v>18</v>
      </c>
    </row>
    <row r="318" spans="1:5">
      <c r="A318" s="1">
        <v>319</v>
      </c>
      <c r="B318" s="2" t="s">
        <v>652</v>
      </c>
      <c r="C318" s="2" t="s">
        <v>653</v>
      </c>
      <c r="D318" s="2" t="s">
        <v>17</v>
      </c>
      <c r="E318" s="2" t="s">
        <v>18</v>
      </c>
    </row>
    <row r="319" spans="1:5">
      <c r="A319" s="1">
        <v>320</v>
      </c>
      <c r="B319" s="2" t="s">
        <v>654</v>
      </c>
      <c r="C319" s="2" t="s">
        <v>655</v>
      </c>
      <c r="D319" s="2" t="s">
        <v>17</v>
      </c>
      <c r="E319" s="2" t="s">
        <v>18</v>
      </c>
    </row>
    <row r="320" spans="1:5">
      <c r="A320" s="1">
        <v>321</v>
      </c>
      <c r="B320" s="2" t="s">
        <v>469</v>
      </c>
      <c r="C320" s="2" t="s">
        <v>656</v>
      </c>
      <c r="D320" s="2" t="s">
        <v>54</v>
      </c>
      <c r="E320" s="2" t="s">
        <v>55</v>
      </c>
    </row>
    <row r="321" spans="1:6">
      <c r="A321" s="1">
        <v>322</v>
      </c>
      <c r="B321" s="2" t="s">
        <v>657</v>
      </c>
      <c r="C321" s="2" t="s">
        <v>658</v>
      </c>
      <c r="D321" s="2" t="s">
        <v>17</v>
      </c>
      <c r="E321" s="2" t="s">
        <v>18</v>
      </c>
    </row>
    <row r="322" spans="1:6">
      <c r="A322" s="1">
        <v>323</v>
      </c>
      <c r="B322" s="2" t="s">
        <v>659</v>
      </c>
      <c r="C322" s="2" t="s">
        <v>71</v>
      </c>
      <c r="D322" s="2" t="s">
        <v>17</v>
      </c>
      <c r="E322" s="2" t="s">
        <v>18</v>
      </c>
    </row>
    <row r="323" spans="1:6">
      <c r="A323" s="1">
        <v>324</v>
      </c>
      <c r="B323" s="2" t="s">
        <v>660</v>
      </c>
      <c r="C323" s="2" t="s">
        <v>661</v>
      </c>
      <c r="D323" s="2" t="s">
        <v>17</v>
      </c>
      <c r="E323" s="2" t="s">
        <v>18</v>
      </c>
    </row>
    <row r="324" spans="1:6">
      <c r="A324" s="1">
        <v>325</v>
      </c>
      <c r="B324" s="2" t="s">
        <v>553</v>
      </c>
      <c r="C324" s="2" t="s">
        <v>14</v>
      </c>
      <c r="D324" s="2" t="s">
        <v>17</v>
      </c>
      <c r="E324" s="2" t="s">
        <v>18</v>
      </c>
    </row>
    <row r="325" spans="1:6">
      <c r="A325" s="1">
        <v>326</v>
      </c>
      <c r="B325" s="2" t="s">
        <v>399</v>
      </c>
      <c r="C325" s="2" t="s">
        <v>460</v>
      </c>
      <c r="D325" s="2" t="s">
        <v>17</v>
      </c>
      <c r="E325" s="2" t="s">
        <v>18</v>
      </c>
    </row>
    <row r="326" spans="1:6">
      <c r="A326" s="1">
        <v>327</v>
      </c>
      <c r="B326" s="2" t="s">
        <v>662</v>
      </c>
      <c r="C326" s="2" t="s">
        <v>663</v>
      </c>
      <c r="D326" s="2" t="s">
        <v>17</v>
      </c>
      <c r="E326" s="2" t="s">
        <v>18</v>
      </c>
    </row>
    <row r="327" spans="1:6">
      <c r="A327" s="1">
        <v>328</v>
      </c>
      <c r="B327" s="2" t="s">
        <v>664</v>
      </c>
      <c r="C327" s="2" t="s">
        <v>665</v>
      </c>
      <c r="D327" s="2" t="s">
        <v>200</v>
      </c>
      <c r="E327" s="2" t="s">
        <v>666</v>
      </c>
    </row>
    <row r="328" spans="1:6">
      <c r="A328" s="2" t="s">
        <v>667</v>
      </c>
      <c r="B328" s="2" t="s">
        <v>668</v>
      </c>
      <c r="C328" s="2" t="s">
        <v>669</v>
      </c>
      <c r="D328" s="2" t="s">
        <v>670</v>
      </c>
      <c r="E328" s="2" t="s">
        <v>671</v>
      </c>
      <c r="F328" s="3" t="s">
        <v>672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9"/>
  <sheetViews>
    <sheetView topLeftCell="A34" workbookViewId="0">
      <selection activeCell="A34" sqref="A1:XFD1048576"/>
    </sheetView>
  </sheetViews>
  <sheetFormatPr defaultColWidth="14.42578125" defaultRowHeight="15.75" customHeight="1"/>
  <sheetData>
    <row r="1" spans="1:15" ht="15">
      <c r="A1" s="9">
        <v>1</v>
      </c>
      <c r="B1" t="str">
        <f ca="1">IFERROR(__xludf.DUMMYFUNCTION((TRANSPOSE(ImportHTML("http://spending.data.al/sq/moneypower/view/id/1/year/2014",  "table", 0)))),"*Kategoria*")</f>
        <v>*Kategoria*</v>
      </c>
      <c r="C1" t="s">
        <v>673</v>
      </c>
      <c r="D1" t="s">
        <v>674</v>
      </c>
      <c r="E1" t="s">
        <v>675</v>
      </c>
      <c r="F1" t="s">
        <v>676</v>
      </c>
      <c r="G1" t="s">
        <v>677</v>
      </c>
      <c r="H1" t="s">
        <v>678</v>
      </c>
      <c r="I1" t="s">
        <v>679</v>
      </c>
      <c r="J1" t="s">
        <v>680</v>
      </c>
      <c r="K1" t="s">
        <v>681</v>
      </c>
      <c r="L1" t="s">
        <v>682</v>
      </c>
      <c r="M1" t="s">
        <v>683</v>
      </c>
      <c r="N1" t="s">
        <v>684</v>
      </c>
      <c r="O1" t="s">
        <v>685</v>
      </c>
    </row>
    <row r="2" spans="1:15" ht="15">
      <c r="A2" s="11"/>
      <c r="B2" t="s">
        <v>686</v>
      </c>
      <c r="C2" t="s">
        <v>729</v>
      </c>
      <c r="D2" t="s">
        <v>688</v>
      </c>
      <c r="E2" t="s">
        <v>688</v>
      </c>
      <c r="F2" t="s">
        <v>688</v>
      </c>
      <c r="G2" t="s">
        <v>688</v>
      </c>
      <c r="H2" t="s">
        <v>688</v>
      </c>
      <c r="I2" t="s">
        <v>688</v>
      </c>
      <c r="J2" t="s">
        <v>730</v>
      </c>
      <c r="K2" t="s">
        <v>688</v>
      </c>
      <c r="L2" t="s">
        <v>731</v>
      </c>
      <c r="M2" t="s">
        <v>688</v>
      </c>
      <c r="O2" t="s">
        <v>732</v>
      </c>
    </row>
    <row r="3" spans="1:15" ht="15">
      <c r="A3" s="9">
        <v>2</v>
      </c>
      <c r="B3" t="str">
        <f ca="1">IFERROR(__xludf.DUMMYFUNCTION((TRANSPOSE(ImportHTML("http://spending.data.al/sq/moneypower/view/id/2/year/2014",  "table", 0)))),"*Kategoria*")</f>
        <v>*Kategoria*</v>
      </c>
      <c r="C3" t="s">
        <v>673</v>
      </c>
      <c r="D3" t="s">
        <v>674</v>
      </c>
      <c r="E3" t="s">
        <v>675</v>
      </c>
      <c r="F3" t="s">
        <v>676</v>
      </c>
      <c r="G3" t="s">
        <v>677</v>
      </c>
      <c r="H3" t="s">
        <v>678</v>
      </c>
      <c r="I3" t="s">
        <v>679</v>
      </c>
      <c r="J3" t="s">
        <v>680</v>
      </c>
      <c r="K3" t="s">
        <v>681</v>
      </c>
      <c r="L3" t="s">
        <v>682</v>
      </c>
      <c r="M3" t="s">
        <v>683</v>
      </c>
      <c r="N3" t="s">
        <v>684</v>
      </c>
      <c r="O3" t="s">
        <v>685</v>
      </c>
    </row>
    <row r="4" spans="1:15" ht="15">
      <c r="A4" s="11"/>
      <c r="B4" t="s">
        <v>686</v>
      </c>
      <c r="C4" t="s">
        <v>733</v>
      </c>
      <c r="D4" t="s">
        <v>688</v>
      </c>
      <c r="E4" t="s">
        <v>734</v>
      </c>
      <c r="F4" t="s">
        <v>688</v>
      </c>
      <c r="G4" t="s">
        <v>688</v>
      </c>
      <c r="H4" t="s">
        <v>688</v>
      </c>
      <c r="I4" t="s">
        <v>688</v>
      </c>
      <c r="J4" t="s">
        <v>688</v>
      </c>
      <c r="K4" t="s">
        <v>688</v>
      </c>
      <c r="L4" t="s">
        <v>735</v>
      </c>
      <c r="M4" t="s">
        <v>688</v>
      </c>
      <c r="O4" t="s">
        <v>736</v>
      </c>
    </row>
    <row r="5" spans="1:15" ht="15">
      <c r="A5" s="9">
        <v>3</v>
      </c>
      <c r="B5" t="str">
        <f ca="1">IFERROR(__xludf.DUMMYFUNCTION((TRANSPOSE(ImportHTML("http://spending.data.al/sq/moneypower/view/id/3/year/2014",  "table", 0)))),"*Kategoria*")</f>
        <v>*Kategoria*</v>
      </c>
      <c r="C5" t="s">
        <v>673</v>
      </c>
      <c r="D5" t="s">
        <v>674</v>
      </c>
      <c r="E5" t="s">
        <v>675</v>
      </c>
      <c r="F5" t="s">
        <v>676</v>
      </c>
      <c r="G5" t="s">
        <v>677</v>
      </c>
      <c r="H5" t="s">
        <v>678</v>
      </c>
      <c r="I5" t="s">
        <v>679</v>
      </c>
      <c r="J5" t="s">
        <v>680</v>
      </c>
      <c r="K5" t="s">
        <v>681</v>
      </c>
      <c r="L5" t="s">
        <v>682</v>
      </c>
      <c r="M5" t="s">
        <v>683</v>
      </c>
      <c r="N5" t="s">
        <v>684</v>
      </c>
      <c r="O5" t="s">
        <v>685</v>
      </c>
    </row>
    <row r="6" spans="1:15" ht="15">
      <c r="A6" s="11"/>
      <c r="B6" t="s">
        <v>686</v>
      </c>
      <c r="C6" t="s">
        <v>737</v>
      </c>
      <c r="D6" t="s">
        <v>688</v>
      </c>
      <c r="E6" t="s">
        <v>688</v>
      </c>
      <c r="F6" t="s">
        <v>738</v>
      </c>
      <c r="G6" t="s">
        <v>688</v>
      </c>
      <c r="H6" t="s">
        <v>688</v>
      </c>
      <c r="I6" t="s">
        <v>688</v>
      </c>
      <c r="J6" t="s">
        <v>688</v>
      </c>
      <c r="K6" t="s">
        <v>688</v>
      </c>
      <c r="L6" t="s">
        <v>739</v>
      </c>
      <c r="M6" t="s">
        <v>740</v>
      </c>
      <c r="O6" t="s">
        <v>688</v>
      </c>
    </row>
    <row r="7" spans="1:15" ht="15">
      <c r="A7" s="9">
        <v>4</v>
      </c>
      <c r="B7" t="str">
        <f ca="1">IFERROR(__xludf.DUMMYFUNCTION((TRANSPOSE(ImportHTML("http://spending.data.al/sq/moneypower/view/id/4/year/2014",  "table", 0)))),"*Kategoria*")</f>
        <v>*Kategoria*</v>
      </c>
      <c r="C7" t="s">
        <v>673</v>
      </c>
      <c r="D7" t="s">
        <v>674</v>
      </c>
      <c r="E7" t="s">
        <v>675</v>
      </c>
      <c r="F7" t="s">
        <v>676</v>
      </c>
      <c r="G7" t="s">
        <v>677</v>
      </c>
      <c r="H7" t="s">
        <v>678</v>
      </c>
      <c r="I7" t="s">
        <v>679</v>
      </c>
      <c r="J7" t="s">
        <v>680</v>
      </c>
      <c r="K7" t="s">
        <v>681</v>
      </c>
      <c r="L7" t="s">
        <v>682</v>
      </c>
      <c r="M7" t="s">
        <v>683</v>
      </c>
      <c r="N7" t="s">
        <v>684</v>
      </c>
      <c r="O7" t="s">
        <v>685</v>
      </c>
    </row>
    <row r="8" spans="1:15" ht="15">
      <c r="A8" s="11"/>
      <c r="B8" t="s">
        <v>686</v>
      </c>
      <c r="C8" t="s">
        <v>741</v>
      </c>
      <c r="D8" t="s">
        <v>688</v>
      </c>
      <c r="E8" t="s">
        <v>688</v>
      </c>
      <c r="F8" t="s">
        <v>742</v>
      </c>
      <c r="G8" t="s">
        <v>688</v>
      </c>
      <c r="H8" t="s">
        <v>688</v>
      </c>
      <c r="I8" t="s">
        <v>688</v>
      </c>
      <c r="J8" t="s">
        <v>688</v>
      </c>
      <c r="K8" t="s">
        <v>688</v>
      </c>
      <c r="L8" t="s">
        <v>743</v>
      </c>
      <c r="M8" t="s">
        <v>744</v>
      </c>
      <c r="O8" t="s">
        <v>745</v>
      </c>
    </row>
    <row r="9" spans="1:15" ht="15">
      <c r="A9" s="9">
        <v>5</v>
      </c>
      <c r="B9" t="str">
        <f ca="1">IFERROR(__xludf.DUMMYFUNCTION((TRANSPOSE(ImportHTML("http://spending.data.al/sq/moneypower/view/id/5/year/2014",  "table", 0)))),"*Kategoria*")</f>
        <v>*Kategoria*</v>
      </c>
      <c r="C9" t="s">
        <v>673</v>
      </c>
      <c r="D9" t="s">
        <v>674</v>
      </c>
      <c r="E9" t="s">
        <v>675</v>
      </c>
      <c r="F9" t="s">
        <v>676</v>
      </c>
      <c r="G9" t="s">
        <v>677</v>
      </c>
      <c r="H9" t="s">
        <v>678</v>
      </c>
      <c r="I9" t="s">
        <v>679</v>
      </c>
      <c r="J9" t="s">
        <v>680</v>
      </c>
      <c r="K9" t="s">
        <v>681</v>
      </c>
      <c r="L9" t="s">
        <v>682</v>
      </c>
      <c r="M9" t="s">
        <v>683</v>
      </c>
      <c r="N9" t="s">
        <v>684</v>
      </c>
      <c r="O9" t="s">
        <v>685</v>
      </c>
    </row>
    <row r="10" spans="1:15" ht="15">
      <c r="A10" s="11"/>
      <c r="B10" t="s">
        <v>686</v>
      </c>
      <c r="C10" t="s">
        <v>746</v>
      </c>
      <c r="D10" t="s">
        <v>688</v>
      </c>
      <c r="E10" t="s">
        <v>688</v>
      </c>
      <c r="F10" t="s">
        <v>688</v>
      </c>
      <c r="G10" t="s">
        <v>688</v>
      </c>
      <c r="H10" t="s">
        <v>688</v>
      </c>
      <c r="I10" t="s">
        <v>688</v>
      </c>
      <c r="J10" t="s">
        <v>688</v>
      </c>
      <c r="K10" t="s">
        <v>688</v>
      </c>
      <c r="L10" t="s">
        <v>747</v>
      </c>
      <c r="M10" t="s">
        <v>688</v>
      </c>
      <c r="O10" t="s">
        <v>748</v>
      </c>
    </row>
    <row r="11" spans="1:15" ht="15">
      <c r="A11" s="9">
        <v>6</v>
      </c>
      <c r="B11" t="str">
        <f ca="1">IFERROR(__xludf.DUMMYFUNCTION((TRANSPOSE(ImportHTML("http://spending.data.al/sq/moneypower/view/id/6/year/2014",  "table", 0)))),"*Kategoria*")</f>
        <v>*Kategoria*</v>
      </c>
      <c r="C11" t="s">
        <v>673</v>
      </c>
      <c r="D11" t="s">
        <v>674</v>
      </c>
      <c r="E11" t="s">
        <v>675</v>
      </c>
      <c r="F11" t="s">
        <v>676</v>
      </c>
      <c r="G11" t="s">
        <v>677</v>
      </c>
      <c r="H11" t="s">
        <v>678</v>
      </c>
      <c r="I11" t="s">
        <v>679</v>
      </c>
      <c r="J11" t="s">
        <v>680</v>
      </c>
      <c r="K11" t="s">
        <v>681</v>
      </c>
      <c r="L11" t="s">
        <v>682</v>
      </c>
      <c r="M11" t="s">
        <v>683</v>
      </c>
      <c r="N11" t="s">
        <v>684</v>
      </c>
      <c r="O11" t="s">
        <v>685</v>
      </c>
    </row>
    <row r="12" spans="1:15" ht="15">
      <c r="A12" s="11"/>
      <c r="B12" t="s">
        <v>686</v>
      </c>
      <c r="C12" t="s">
        <v>749</v>
      </c>
      <c r="D12" t="s">
        <v>750</v>
      </c>
      <c r="E12" t="s">
        <v>751</v>
      </c>
      <c r="F12" t="s">
        <v>688</v>
      </c>
      <c r="G12" t="s">
        <v>752</v>
      </c>
      <c r="H12" t="s">
        <v>688</v>
      </c>
      <c r="I12" t="s">
        <v>688</v>
      </c>
      <c r="J12" t="s">
        <v>688</v>
      </c>
      <c r="K12" t="s">
        <v>688</v>
      </c>
      <c r="L12" t="s">
        <v>688</v>
      </c>
      <c r="M12" t="s">
        <v>688</v>
      </c>
      <c r="O12" t="s">
        <v>753</v>
      </c>
    </row>
    <row r="13" spans="1:15" ht="15">
      <c r="A13" s="9">
        <v>7</v>
      </c>
      <c r="B13" t="str">
        <f ca="1">IFERROR(__xludf.DUMMYFUNCTION((TRANSPOSE(ImportHTML("http://spending.data.al/sq/moneypower/view/id/7/year/2014",  "table", 0)))),"*Kategoria*")</f>
        <v>*Kategoria*</v>
      </c>
      <c r="C13" t="s">
        <v>673</v>
      </c>
      <c r="D13" t="s">
        <v>674</v>
      </c>
      <c r="E13" t="s">
        <v>675</v>
      </c>
      <c r="F13" t="s">
        <v>676</v>
      </c>
      <c r="G13" t="s">
        <v>677</v>
      </c>
      <c r="H13" t="s">
        <v>678</v>
      </c>
      <c r="I13" t="s">
        <v>679</v>
      </c>
      <c r="J13" t="s">
        <v>680</v>
      </c>
      <c r="K13" t="s">
        <v>681</v>
      </c>
      <c r="L13" t="s">
        <v>682</v>
      </c>
      <c r="M13" t="s">
        <v>683</v>
      </c>
      <c r="N13" t="s">
        <v>684</v>
      </c>
      <c r="O13" t="s">
        <v>685</v>
      </c>
    </row>
    <row r="14" spans="1:15" ht="15">
      <c r="A14" s="11"/>
      <c r="B14" t="s">
        <v>686</v>
      </c>
      <c r="C14" t="s">
        <v>754</v>
      </c>
      <c r="D14" t="s">
        <v>688</v>
      </c>
      <c r="E14" t="s">
        <v>688</v>
      </c>
      <c r="F14" t="s">
        <v>688</v>
      </c>
      <c r="G14" t="s">
        <v>688</v>
      </c>
      <c r="H14" t="s">
        <v>688</v>
      </c>
      <c r="I14" t="s">
        <v>688</v>
      </c>
      <c r="J14" t="s">
        <v>688</v>
      </c>
      <c r="K14" t="s">
        <v>688</v>
      </c>
      <c r="L14" t="s">
        <v>755</v>
      </c>
      <c r="M14" t="s">
        <v>688</v>
      </c>
      <c r="O14" t="s">
        <v>756</v>
      </c>
    </row>
    <row r="15" spans="1:15" ht="15">
      <c r="A15" s="9">
        <v>8</v>
      </c>
      <c r="B15" t="str">
        <f ca="1">IFERROR(__xludf.DUMMYFUNCTION((TRANSPOSE(ImportHTML("http://spending.data.al/sq/moneypower/view/id/8/year/2014",  "table", 0)))),"*Kategoria*")</f>
        <v>*Kategoria*</v>
      </c>
      <c r="C15" t="s">
        <v>673</v>
      </c>
      <c r="D15" t="s">
        <v>674</v>
      </c>
      <c r="E15" t="s">
        <v>675</v>
      </c>
      <c r="F15" t="s">
        <v>676</v>
      </c>
      <c r="G15" t="s">
        <v>677</v>
      </c>
      <c r="H15" t="s">
        <v>678</v>
      </c>
      <c r="I15" t="s">
        <v>679</v>
      </c>
      <c r="J15" t="s">
        <v>680</v>
      </c>
      <c r="K15" t="s">
        <v>681</v>
      </c>
      <c r="L15" t="s">
        <v>682</v>
      </c>
      <c r="M15" t="s">
        <v>683</v>
      </c>
      <c r="N15" t="s">
        <v>684</v>
      </c>
      <c r="O15" t="s">
        <v>685</v>
      </c>
    </row>
    <row r="16" spans="1:15" ht="15">
      <c r="A16" s="11"/>
      <c r="B16" t="s">
        <v>686</v>
      </c>
      <c r="C16" t="s">
        <v>757</v>
      </c>
      <c r="D16" t="s">
        <v>688</v>
      </c>
      <c r="E16" t="s">
        <v>758</v>
      </c>
      <c r="F16" t="s">
        <v>688</v>
      </c>
      <c r="G16" t="s">
        <v>688</v>
      </c>
      <c r="H16" t="s">
        <v>688</v>
      </c>
      <c r="I16" t="s">
        <v>688</v>
      </c>
      <c r="J16" t="s">
        <v>688</v>
      </c>
      <c r="K16" t="s">
        <v>688</v>
      </c>
      <c r="L16" t="s">
        <v>759</v>
      </c>
      <c r="M16" t="s">
        <v>688</v>
      </c>
      <c r="O16" t="s">
        <v>760</v>
      </c>
    </row>
    <row r="17" spans="1:15" ht="15">
      <c r="A17" s="9">
        <v>9</v>
      </c>
      <c r="B17" t="str">
        <f ca="1">IFERROR(__xludf.DUMMYFUNCTION((TRANSPOSE(ImportHTML("http://spending.data.al/sq/moneypower/view/id/9/year/2014",  "table", 0)))),"*Kategoria*")</f>
        <v>*Kategoria*</v>
      </c>
      <c r="C17" t="s">
        <v>673</v>
      </c>
      <c r="D17" t="s">
        <v>674</v>
      </c>
      <c r="E17" t="s">
        <v>675</v>
      </c>
      <c r="F17" t="s">
        <v>676</v>
      </c>
      <c r="G17" t="s">
        <v>677</v>
      </c>
      <c r="H17" t="s">
        <v>678</v>
      </c>
      <c r="I17" t="s">
        <v>679</v>
      </c>
      <c r="J17" t="s">
        <v>680</v>
      </c>
      <c r="K17" t="s">
        <v>681</v>
      </c>
      <c r="L17" t="s">
        <v>682</v>
      </c>
      <c r="M17" t="s">
        <v>683</v>
      </c>
      <c r="N17" t="s">
        <v>684</v>
      </c>
      <c r="O17" t="s">
        <v>685</v>
      </c>
    </row>
    <row r="18" spans="1:15" ht="15">
      <c r="A18" s="11"/>
      <c r="B18" t="s">
        <v>686</v>
      </c>
      <c r="C18" t="s">
        <v>761</v>
      </c>
      <c r="D18" t="s">
        <v>688</v>
      </c>
      <c r="E18" t="s">
        <v>688</v>
      </c>
      <c r="F18" t="s">
        <v>688</v>
      </c>
      <c r="G18" t="s">
        <v>688</v>
      </c>
      <c r="H18" t="s">
        <v>688</v>
      </c>
      <c r="I18" t="s">
        <v>688</v>
      </c>
      <c r="J18" t="s">
        <v>688</v>
      </c>
      <c r="K18" t="s">
        <v>688</v>
      </c>
      <c r="L18" t="s">
        <v>762</v>
      </c>
      <c r="M18" t="s">
        <v>688</v>
      </c>
      <c r="O18" t="s">
        <v>763</v>
      </c>
    </row>
    <row r="19" spans="1:15" ht="15">
      <c r="A19" s="9">
        <v>10</v>
      </c>
      <c r="B19" t="str">
        <f ca="1">IFERROR(__xludf.DUMMYFUNCTION((TRANSPOSE(ImportHTML("http://spending.data.al/sq/moneypower/view/id/10/year/2014",  "table", 0)))),"*Kategoria*")</f>
        <v>*Kategoria*</v>
      </c>
      <c r="C19" t="s">
        <v>673</v>
      </c>
      <c r="D19" t="s">
        <v>674</v>
      </c>
      <c r="E19" t="s">
        <v>675</v>
      </c>
      <c r="F19" t="s">
        <v>676</v>
      </c>
      <c r="G19" t="s">
        <v>677</v>
      </c>
      <c r="H19" t="s">
        <v>678</v>
      </c>
      <c r="I19" t="s">
        <v>679</v>
      </c>
      <c r="J19" t="s">
        <v>680</v>
      </c>
      <c r="K19" t="s">
        <v>681</v>
      </c>
      <c r="L19" t="s">
        <v>682</v>
      </c>
      <c r="M19" t="s">
        <v>683</v>
      </c>
      <c r="N19" t="s">
        <v>684</v>
      </c>
      <c r="O19" t="s">
        <v>685</v>
      </c>
    </row>
    <row r="20" spans="1:15" ht="15">
      <c r="A20" s="11"/>
      <c r="B20" t="s">
        <v>686</v>
      </c>
      <c r="C20" t="s">
        <v>764</v>
      </c>
      <c r="D20" t="s">
        <v>688</v>
      </c>
      <c r="E20" t="s">
        <v>765</v>
      </c>
      <c r="F20" t="s">
        <v>688</v>
      </c>
      <c r="G20" t="s">
        <v>766</v>
      </c>
      <c r="H20" t="s">
        <v>688</v>
      </c>
      <c r="I20" t="s">
        <v>767</v>
      </c>
      <c r="J20" t="s">
        <v>688</v>
      </c>
      <c r="K20" t="s">
        <v>688</v>
      </c>
      <c r="L20" t="s">
        <v>768</v>
      </c>
      <c r="M20" t="s">
        <v>688</v>
      </c>
      <c r="O20" t="s">
        <v>769</v>
      </c>
    </row>
    <row r="21" spans="1:15" ht="15">
      <c r="A21" s="9">
        <v>11</v>
      </c>
      <c r="B21" t="str">
        <f ca="1">IFERROR(__xludf.DUMMYFUNCTION((TRANSPOSE(ImportHTML("http://spending.data.al/sq/moneypower/view/id/11/year/2014",  "table", 0)))),"*Kategoria*")</f>
        <v>*Kategoria*</v>
      </c>
      <c r="C21" t="s">
        <v>673</v>
      </c>
      <c r="D21" t="s">
        <v>674</v>
      </c>
      <c r="E21" t="s">
        <v>675</v>
      </c>
      <c r="F21" t="s">
        <v>676</v>
      </c>
      <c r="G21" t="s">
        <v>677</v>
      </c>
      <c r="H21" t="s">
        <v>678</v>
      </c>
      <c r="I21" t="s">
        <v>679</v>
      </c>
      <c r="J21" t="s">
        <v>680</v>
      </c>
      <c r="K21" t="s">
        <v>681</v>
      </c>
      <c r="L21" t="s">
        <v>682</v>
      </c>
      <c r="M21" t="s">
        <v>683</v>
      </c>
      <c r="N21" t="s">
        <v>684</v>
      </c>
      <c r="O21" t="s">
        <v>685</v>
      </c>
    </row>
    <row r="22" spans="1:15" ht="15">
      <c r="A22" s="11"/>
      <c r="B22" t="s">
        <v>686</v>
      </c>
      <c r="C22" t="s">
        <v>770</v>
      </c>
      <c r="D22" t="s">
        <v>688</v>
      </c>
      <c r="E22" t="s">
        <v>771</v>
      </c>
      <c r="F22" t="s">
        <v>688</v>
      </c>
      <c r="G22" t="s">
        <v>688</v>
      </c>
      <c r="H22" t="s">
        <v>688</v>
      </c>
      <c r="I22" t="s">
        <v>688</v>
      </c>
      <c r="J22" t="s">
        <v>688</v>
      </c>
      <c r="K22" t="s">
        <v>688</v>
      </c>
      <c r="L22" t="s">
        <v>772</v>
      </c>
      <c r="M22" t="s">
        <v>688</v>
      </c>
      <c r="O22" t="s">
        <v>773</v>
      </c>
    </row>
    <row r="23" spans="1:15" ht="15">
      <c r="A23" s="9">
        <v>12</v>
      </c>
      <c r="B23" t="str">
        <f ca="1">IFERROR(__xludf.DUMMYFUNCTION((TRANSPOSE(ImportHTML("http://spending.data.al/sq/moneypower/view/id/12/year/2014",  "table", 0)))),"*Kategoria*")</f>
        <v>*Kategoria*</v>
      </c>
      <c r="C23" t="s">
        <v>673</v>
      </c>
      <c r="D23" t="s">
        <v>674</v>
      </c>
      <c r="E23" t="s">
        <v>675</v>
      </c>
      <c r="F23" t="s">
        <v>676</v>
      </c>
      <c r="G23" t="s">
        <v>677</v>
      </c>
      <c r="H23" t="s">
        <v>678</v>
      </c>
      <c r="I23" t="s">
        <v>679</v>
      </c>
      <c r="J23" t="s">
        <v>680</v>
      </c>
      <c r="K23" t="s">
        <v>681</v>
      </c>
      <c r="L23" t="s">
        <v>682</v>
      </c>
      <c r="M23" t="s">
        <v>683</v>
      </c>
      <c r="N23" t="s">
        <v>684</v>
      </c>
      <c r="O23" t="s">
        <v>685</v>
      </c>
    </row>
    <row r="24" spans="1:15" ht="15">
      <c r="A24" s="11"/>
      <c r="B24" t="s">
        <v>686</v>
      </c>
      <c r="C24" t="s">
        <v>774</v>
      </c>
      <c r="D24" t="s">
        <v>688</v>
      </c>
      <c r="E24" t="s">
        <v>688</v>
      </c>
      <c r="F24" t="s">
        <v>688</v>
      </c>
      <c r="G24" t="s">
        <v>775</v>
      </c>
      <c r="H24" t="s">
        <v>688</v>
      </c>
      <c r="I24" t="s">
        <v>688</v>
      </c>
      <c r="J24" t="s">
        <v>688</v>
      </c>
      <c r="K24" t="s">
        <v>688</v>
      </c>
      <c r="L24" t="s">
        <v>776</v>
      </c>
      <c r="M24" t="s">
        <v>688</v>
      </c>
      <c r="O24" t="s">
        <v>777</v>
      </c>
    </row>
    <row r="25" spans="1:15" ht="15">
      <c r="A25" s="9">
        <v>13</v>
      </c>
      <c r="B25" t="str">
        <f ca="1">IFERROR(__xludf.DUMMYFUNCTION((TRANSPOSE(ImportHTML("http://spending.data.al/sq/moneypower/view/id/13/year/2014",  "table", 0)))),"*Kategoria*")</f>
        <v>*Kategoria*</v>
      </c>
      <c r="C25" t="s">
        <v>673</v>
      </c>
      <c r="D25" t="s">
        <v>674</v>
      </c>
      <c r="E25" t="s">
        <v>675</v>
      </c>
      <c r="F25" t="s">
        <v>676</v>
      </c>
      <c r="G25" t="s">
        <v>677</v>
      </c>
      <c r="H25" t="s">
        <v>678</v>
      </c>
      <c r="I25" t="s">
        <v>679</v>
      </c>
      <c r="J25" t="s">
        <v>680</v>
      </c>
      <c r="K25" t="s">
        <v>681</v>
      </c>
      <c r="L25" t="s">
        <v>682</v>
      </c>
      <c r="M25" t="s">
        <v>683</v>
      </c>
      <c r="N25" t="s">
        <v>684</v>
      </c>
      <c r="O25" t="s">
        <v>685</v>
      </c>
    </row>
    <row r="26" spans="1:15" ht="15">
      <c r="A26" s="11"/>
      <c r="B26" t="s">
        <v>686</v>
      </c>
      <c r="C26" t="s">
        <v>778</v>
      </c>
      <c r="D26" t="s">
        <v>688</v>
      </c>
      <c r="E26" t="s">
        <v>779</v>
      </c>
      <c r="F26" t="s">
        <v>688</v>
      </c>
      <c r="G26" t="s">
        <v>688</v>
      </c>
      <c r="H26" t="s">
        <v>688</v>
      </c>
      <c r="I26" t="s">
        <v>688</v>
      </c>
      <c r="J26" t="s">
        <v>688</v>
      </c>
      <c r="K26" t="s">
        <v>688</v>
      </c>
      <c r="L26" t="s">
        <v>780</v>
      </c>
      <c r="M26" t="s">
        <v>688</v>
      </c>
      <c r="O26" t="s">
        <v>781</v>
      </c>
    </row>
    <row r="27" spans="1:15" ht="15">
      <c r="A27" s="9">
        <v>14</v>
      </c>
      <c r="B27" t="str">
        <f ca="1">IFERROR(__xludf.DUMMYFUNCTION((TRANSPOSE(ImportHTML("http://spending.data.al/sq/moneypower/view/id/14/year/2014",  "table", 0)))),"*Kategoria*")</f>
        <v>*Kategoria*</v>
      </c>
      <c r="C27" t="s">
        <v>673</v>
      </c>
      <c r="D27" t="s">
        <v>674</v>
      </c>
      <c r="E27" t="s">
        <v>675</v>
      </c>
      <c r="F27" t="s">
        <v>676</v>
      </c>
      <c r="G27" t="s">
        <v>677</v>
      </c>
      <c r="H27" t="s">
        <v>678</v>
      </c>
      <c r="I27" t="s">
        <v>679</v>
      </c>
      <c r="J27" t="s">
        <v>680</v>
      </c>
      <c r="K27" t="s">
        <v>681</v>
      </c>
      <c r="L27" t="s">
        <v>682</v>
      </c>
      <c r="M27" t="s">
        <v>683</v>
      </c>
      <c r="N27" t="s">
        <v>684</v>
      </c>
      <c r="O27" t="s">
        <v>685</v>
      </c>
    </row>
    <row r="28" spans="1:15" ht="15">
      <c r="A28" s="11"/>
      <c r="B28" t="s">
        <v>686</v>
      </c>
      <c r="C28" t="s">
        <v>782</v>
      </c>
      <c r="D28" t="s">
        <v>688</v>
      </c>
      <c r="E28" t="s">
        <v>688</v>
      </c>
      <c r="F28" t="s">
        <v>688</v>
      </c>
      <c r="G28" t="s">
        <v>783</v>
      </c>
      <c r="H28" t="s">
        <v>784</v>
      </c>
      <c r="I28" t="s">
        <v>688</v>
      </c>
      <c r="J28" t="s">
        <v>688</v>
      </c>
      <c r="K28" t="s">
        <v>688</v>
      </c>
      <c r="L28" t="s">
        <v>785</v>
      </c>
      <c r="M28" t="s">
        <v>688</v>
      </c>
      <c r="O28" t="s">
        <v>786</v>
      </c>
    </row>
    <row r="29" spans="1:15" ht="15">
      <c r="A29" s="9">
        <v>15</v>
      </c>
      <c r="B29" t="str">
        <f ca="1">IFERROR(__xludf.DUMMYFUNCTION((TRANSPOSE(ImportHTML("http://spending.data.al/sq/moneypower/view/id/15/year/2014",  "table", 0)))),"*Kategoria*")</f>
        <v>*Kategoria*</v>
      </c>
      <c r="C29" t="s">
        <v>673</v>
      </c>
      <c r="D29" t="s">
        <v>674</v>
      </c>
      <c r="E29" t="s">
        <v>675</v>
      </c>
      <c r="F29" t="s">
        <v>676</v>
      </c>
      <c r="G29" t="s">
        <v>677</v>
      </c>
      <c r="H29" t="s">
        <v>678</v>
      </c>
      <c r="I29" t="s">
        <v>679</v>
      </c>
      <c r="J29" t="s">
        <v>680</v>
      </c>
      <c r="K29" t="s">
        <v>681</v>
      </c>
      <c r="L29" t="s">
        <v>682</v>
      </c>
      <c r="M29" t="s">
        <v>683</v>
      </c>
      <c r="N29" t="s">
        <v>684</v>
      </c>
      <c r="O29" t="s">
        <v>685</v>
      </c>
    </row>
    <row r="30" spans="1:15" ht="15">
      <c r="A30" s="11"/>
      <c r="B30" t="s">
        <v>686</v>
      </c>
      <c r="C30" t="s">
        <v>787</v>
      </c>
      <c r="D30" t="s">
        <v>688</v>
      </c>
      <c r="E30" t="s">
        <v>688</v>
      </c>
      <c r="F30" t="s">
        <v>688</v>
      </c>
      <c r="G30" t="s">
        <v>688</v>
      </c>
      <c r="H30" t="s">
        <v>688</v>
      </c>
      <c r="I30" t="s">
        <v>688</v>
      </c>
      <c r="J30" t="s">
        <v>688</v>
      </c>
      <c r="K30" t="s">
        <v>688</v>
      </c>
      <c r="L30" t="s">
        <v>788</v>
      </c>
      <c r="M30" t="s">
        <v>789</v>
      </c>
      <c r="O30" t="s">
        <v>790</v>
      </c>
    </row>
    <row r="31" spans="1:15" ht="15">
      <c r="A31" s="9">
        <v>16</v>
      </c>
      <c r="B31" t="str">
        <f ca="1">IFERROR(__xludf.DUMMYFUNCTION((TRANSPOSE(ImportHTML("http://spending.data.al/sq/moneypower/view/id/16/year/2014",  "table", 0)))),"*Kategoria*")</f>
        <v>*Kategoria*</v>
      </c>
      <c r="C31" t="s">
        <v>673</v>
      </c>
      <c r="D31" t="s">
        <v>674</v>
      </c>
      <c r="E31" t="s">
        <v>675</v>
      </c>
      <c r="F31" t="s">
        <v>676</v>
      </c>
      <c r="G31" t="s">
        <v>677</v>
      </c>
      <c r="H31" t="s">
        <v>678</v>
      </c>
      <c r="I31" t="s">
        <v>679</v>
      </c>
      <c r="J31" t="s">
        <v>680</v>
      </c>
      <c r="K31" t="s">
        <v>681</v>
      </c>
      <c r="L31" t="s">
        <v>682</v>
      </c>
      <c r="M31" t="s">
        <v>683</v>
      </c>
      <c r="N31" t="s">
        <v>684</v>
      </c>
      <c r="O31" t="s">
        <v>685</v>
      </c>
    </row>
    <row r="32" spans="1:15" ht="15">
      <c r="A32" s="11"/>
      <c r="B32" t="s">
        <v>686</v>
      </c>
      <c r="C32" t="s">
        <v>791</v>
      </c>
      <c r="D32" t="s">
        <v>792</v>
      </c>
      <c r="E32" t="s">
        <v>688</v>
      </c>
      <c r="F32" t="s">
        <v>793</v>
      </c>
      <c r="G32" t="s">
        <v>794</v>
      </c>
      <c r="H32" t="s">
        <v>688</v>
      </c>
      <c r="I32" t="s">
        <v>688</v>
      </c>
      <c r="J32" t="s">
        <v>688</v>
      </c>
      <c r="K32" t="s">
        <v>688</v>
      </c>
      <c r="L32" t="s">
        <v>795</v>
      </c>
      <c r="M32" t="s">
        <v>688</v>
      </c>
      <c r="O32" t="s">
        <v>796</v>
      </c>
    </row>
    <row r="33" spans="1:15" ht="15">
      <c r="A33" s="9">
        <v>17</v>
      </c>
      <c r="B33" t="str">
        <f ca="1">IFERROR(__xludf.DUMMYFUNCTION((TRANSPOSE(ImportHTML("http://spending.data.al/sq/moneypower/view/id/17/year/2014",  "table", 0)))),"*Kategoria*")</f>
        <v>*Kategoria*</v>
      </c>
      <c r="C33" t="s">
        <v>673</v>
      </c>
      <c r="D33" t="s">
        <v>674</v>
      </c>
      <c r="E33" t="s">
        <v>675</v>
      </c>
      <c r="F33" t="s">
        <v>676</v>
      </c>
      <c r="G33" t="s">
        <v>677</v>
      </c>
      <c r="H33" t="s">
        <v>678</v>
      </c>
      <c r="I33" t="s">
        <v>679</v>
      </c>
      <c r="J33" t="s">
        <v>680</v>
      </c>
      <c r="K33" t="s">
        <v>681</v>
      </c>
      <c r="L33" t="s">
        <v>682</v>
      </c>
      <c r="M33" t="s">
        <v>683</v>
      </c>
      <c r="N33" t="s">
        <v>684</v>
      </c>
      <c r="O33" t="s">
        <v>685</v>
      </c>
    </row>
    <row r="34" spans="1:15" ht="15">
      <c r="A34" s="11"/>
      <c r="B34" t="s">
        <v>686</v>
      </c>
      <c r="C34" t="s">
        <v>797</v>
      </c>
      <c r="D34" t="s">
        <v>688</v>
      </c>
      <c r="E34" t="s">
        <v>798</v>
      </c>
      <c r="F34" t="s">
        <v>688</v>
      </c>
      <c r="G34" t="s">
        <v>688</v>
      </c>
      <c r="H34" t="s">
        <v>688</v>
      </c>
      <c r="I34" t="s">
        <v>688</v>
      </c>
      <c r="J34" t="s">
        <v>688</v>
      </c>
      <c r="K34" t="s">
        <v>688</v>
      </c>
      <c r="L34" t="s">
        <v>799</v>
      </c>
      <c r="M34" t="s">
        <v>688</v>
      </c>
      <c r="O34" t="s">
        <v>800</v>
      </c>
    </row>
    <row r="35" spans="1:15" ht="15">
      <c r="A35" s="9">
        <v>18</v>
      </c>
      <c r="B35" t="str">
        <f ca="1">IFERROR(__xludf.DUMMYFUNCTION((TRANSPOSE(ImportHTML("http://spending.data.al/sq/moneypower/view/id/18/year/2014",  "table", 0)))),"*Kategoria*")</f>
        <v>*Kategoria*</v>
      </c>
      <c r="C35" t="s">
        <v>673</v>
      </c>
      <c r="D35" t="s">
        <v>674</v>
      </c>
      <c r="E35" t="s">
        <v>675</v>
      </c>
      <c r="F35" t="s">
        <v>676</v>
      </c>
      <c r="G35" t="s">
        <v>677</v>
      </c>
      <c r="H35" t="s">
        <v>678</v>
      </c>
      <c r="I35" t="s">
        <v>679</v>
      </c>
      <c r="J35" t="s">
        <v>680</v>
      </c>
      <c r="K35" t="s">
        <v>681</v>
      </c>
      <c r="L35" t="s">
        <v>682</v>
      </c>
      <c r="M35" t="s">
        <v>683</v>
      </c>
      <c r="N35" t="s">
        <v>684</v>
      </c>
      <c r="O35" t="s">
        <v>685</v>
      </c>
    </row>
    <row r="36" spans="1:15" ht="15">
      <c r="A36" s="11"/>
      <c r="B36" t="s">
        <v>686</v>
      </c>
      <c r="C36" t="s">
        <v>801</v>
      </c>
      <c r="D36" t="s">
        <v>688</v>
      </c>
      <c r="E36" t="s">
        <v>802</v>
      </c>
      <c r="F36" t="s">
        <v>803</v>
      </c>
      <c r="G36" t="s">
        <v>688</v>
      </c>
      <c r="H36" t="s">
        <v>688</v>
      </c>
      <c r="I36" t="s">
        <v>688</v>
      </c>
      <c r="J36" t="s">
        <v>688</v>
      </c>
      <c r="K36" t="s">
        <v>688</v>
      </c>
      <c r="L36" t="s">
        <v>804</v>
      </c>
      <c r="M36" t="s">
        <v>688</v>
      </c>
      <c r="O36" t="s">
        <v>805</v>
      </c>
    </row>
    <row r="37" spans="1:15" ht="15">
      <c r="A37" s="9">
        <v>19</v>
      </c>
      <c r="B37" t="str">
        <f ca="1">IFERROR(__xludf.DUMMYFUNCTION((TRANSPOSE(ImportHTML("http://spending.data.al/sq/moneypower/view/id/19/year/2014",  "table", 0)))),"*Kategoria*")</f>
        <v>*Kategoria*</v>
      </c>
      <c r="C37" t="s">
        <v>673</v>
      </c>
      <c r="D37" t="s">
        <v>674</v>
      </c>
      <c r="E37" t="s">
        <v>675</v>
      </c>
      <c r="F37" t="s">
        <v>676</v>
      </c>
      <c r="G37" t="s">
        <v>677</v>
      </c>
      <c r="H37" t="s">
        <v>678</v>
      </c>
      <c r="I37" t="s">
        <v>679</v>
      </c>
      <c r="J37" t="s">
        <v>680</v>
      </c>
      <c r="K37" t="s">
        <v>681</v>
      </c>
      <c r="L37" t="s">
        <v>682</v>
      </c>
      <c r="M37" t="s">
        <v>683</v>
      </c>
      <c r="N37" t="s">
        <v>684</v>
      </c>
      <c r="O37" t="s">
        <v>685</v>
      </c>
    </row>
    <row r="38" spans="1:15" ht="15">
      <c r="A38" s="11"/>
      <c r="B38" t="s">
        <v>686</v>
      </c>
      <c r="C38" t="s">
        <v>806</v>
      </c>
      <c r="D38" t="s">
        <v>688</v>
      </c>
      <c r="E38" t="s">
        <v>807</v>
      </c>
      <c r="F38" t="s">
        <v>688</v>
      </c>
      <c r="G38" t="s">
        <v>688</v>
      </c>
      <c r="H38" t="s">
        <v>688</v>
      </c>
      <c r="I38" t="s">
        <v>688</v>
      </c>
      <c r="J38" t="s">
        <v>688</v>
      </c>
      <c r="K38" t="s">
        <v>688</v>
      </c>
      <c r="L38" t="s">
        <v>808</v>
      </c>
      <c r="M38" t="s">
        <v>688</v>
      </c>
      <c r="O38" t="s">
        <v>809</v>
      </c>
    </row>
    <row r="39" spans="1:15" ht="15">
      <c r="A39" s="9">
        <v>20</v>
      </c>
      <c r="B39" t="str">
        <f ca="1">IFERROR(__xludf.DUMMYFUNCTION((TRANSPOSE(ImportHTML("http://spending.data.al/sq/moneypower/view/id/20/year/2014",  "table", 0)))),"*Kategoria*")</f>
        <v>*Kategoria*</v>
      </c>
      <c r="C39" t="s">
        <v>673</v>
      </c>
      <c r="D39" t="s">
        <v>674</v>
      </c>
      <c r="E39" t="s">
        <v>675</v>
      </c>
      <c r="F39" t="s">
        <v>676</v>
      </c>
      <c r="G39" t="s">
        <v>677</v>
      </c>
      <c r="H39" t="s">
        <v>678</v>
      </c>
      <c r="I39" t="s">
        <v>679</v>
      </c>
      <c r="J39" t="s">
        <v>680</v>
      </c>
      <c r="K39" t="s">
        <v>681</v>
      </c>
      <c r="L39" t="s">
        <v>682</v>
      </c>
      <c r="M39" t="s">
        <v>683</v>
      </c>
      <c r="N39" t="s">
        <v>684</v>
      </c>
      <c r="O39" t="s">
        <v>685</v>
      </c>
    </row>
    <row r="40" spans="1:15" ht="15">
      <c r="A40" s="11"/>
      <c r="B40" t="s">
        <v>686</v>
      </c>
      <c r="C40" t="s">
        <v>810</v>
      </c>
      <c r="D40" t="s">
        <v>811</v>
      </c>
      <c r="E40" t="s">
        <v>688</v>
      </c>
      <c r="F40" t="s">
        <v>812</v>
      </c>
      <c r="H40" t="s">
        <v>688</v>
      </c>
      <c r="I40" t="s">
        <v>688</v>
      </c>
      <c r="J40" t="s">
        <v>688</v>
      </c>
      <c r="K40" t="s">
        <v>688</v>
      </c>
      <c r="L40" t="s">
        <v>813</v>
      </c>
      <c r="M40" t="s">
        <v>688</v>
      </c>
      <c r="O40" t="s">
        <v>814</v>
      </c>
    </row>
    <row r="41" spans="1:15" ht="15">
      <c r="A41" s="9">
        <v>21</v>
      </c>
      <c r="B41" t="str">
        <f ca="1">IFERROR(__xludf.DUMMYFUNCTION((TRANSPOSE(ImportHTML("http://spending.data.al/sq/moneypower/view/id/21/year/2014",  "table", 0)))),"*Emër Subjekti*")</f>
        <v>*Emër Subjekti*</v>
      </c>
      <c r="C41" t="s">
        <v>698</v>
      </c>
      <c r="D41" t="s">
        <v>699</v>
      </c>
      <c r="E41" t="s">
        <v>700</v>
      </c>
      <c r="F41" t="s">
        <v>701</v>
      </c>
      <c r="G41" t="s">
        <v>702</v>
      </c>
    </row>
    <row r="42" spans="1:15" ht="15">
      <c r="A42" s="11"/>
      <c r="B42" t="s">
        <v>1891</v>
      </c>
      <c r="C42" t="s">
        <v>1892</v>
      </c>
      <c r="D42" s="12">
        <v>39846</v>
      </c>
      <c r="E42" t="s">
        <v>1893</v>
      </c>
      <c r="F42" t="s">
        <v>1894</v>
      </c>
      <c r="G42" t="s">
        <v>1895</v>
      </c>
    </row>
    <row r="43" spans="1:15" ht="15">
      <c r="A43" s="9">
        <v>22</v>
      </c>
      <c r="B43" t="str">
        <f ca="1">IFERROR(__xludf.DUMMYFUNCTION((TRANSPOSE(ImportHTML("http://spending.data.al/sq/moneypower/view/id/22/year/2014",  "table", 0)))),"*Emër Subjekti*")</f>
        <v>*Emër Subjekti*</v>
      </c>
      <c r="C43" t="s">
        <v>698</v>
      </c>
      <c r="D43" t="s">
        <v>699</v>
      </c>
      <c r="E43" t="s">
        <v>700</v>
      </c>
      <c r="F43" t="s">
        <v>701</v>
      </c>
      <c r="G43" t="s">
        <v>702</v>
      </c>
    </row>
    <row r="44" spans="1:15" ht="15">
      <c r="A44" s="11"/>
      <c r="B44" t="s">
        <v>1896</v>
      </c>
      <c r="C44" t="s">
        <v>1892</v>
      </c>
      <c r="D44" s="12">
        <v>41381</v>
      </c>
      <c r="E44" t="s">
        <v>1897</v>
      </c>
      <c r="F44" t="s">
        <v>1898</v>
      </c>
      <c r="G44" t="s">
        <v>1899</v>
      </c>
    </row>
    <row r="45" spans="1:15" ht="15">
      <c r="A45" s="9">
        <v>23</v>
      </c>
      <c r="B45" t="str">
        <f ca="1">IFERROR(__xludf.DUMMYFUNCTION((TRANSPOSE(ImportHTML("http://spending.data.al/sq/moneypower/view/id/23/year/2014",  "table", 0)))),"*Emër Subjekti*")</f>
        <v>*Emër Subjekti*</v>
      </c>
      <c r="C45" t="s">
        <v>698</v>
      </c>
      <c r="D45" t="s">
        <v>699</v>
      </c>
      <c r="E45" t="s">
        <v>700</v>
      </c>
      <c r="F45" t="s">
        <v>701</v>
      </c>
      <c r="G45" t="s">
        <v>702</v>
      </c>
    </row>
    <row r="46" spans="1:15" ht="15">
      <c r="A46" s="11"/>
      <c r="B46" t="s">
        <v>1900</v>
      </c>
      <c r="C46" t="s">
        <v>1892</v>
      </c>
      <c r="D46" s="12">
        <v>41200</v>
      </c>
      <c r="E46" t="s">
        <v>1875</v>
      </c>
      <c r="F46" t="s">
        <v>1901</v>
      </c>
      <c r="G46" t="s">
        <v>707</v>
      </c>
    </row>
    <row r="47" spans="1:15" ht="15">
      <c r="A47" s="9">
        <v>24</v>
      </c>
      <c r="B47" t="str">
        <f ca="1">IFERROR(__xludf.DUMMYFUNCTION((TRANSPOSE(ImportHTML("http://spending.data.al/sq/moneypower/view/id/24/year/2014",  "table", 0)))),"*Emër Subjekti*")</f>
        <v>*Emër Subjekti*</v>
      </c>
      <c r="C47" t="s">
        <v>698</v>
      </c>
      <c r="D47" t="s">
        <v>699</v>
      </c>
      <c r="E47" t="s">
        <v>700</v>
      </c>
      <c r="F47" t="s">
        <v>701</v>
      </c>
      <c r="G47" t="s">
        <v>702</v>
      </c>
    </row>
    <row r="48" spans="1:15" ht="15">
      <c r="A48" s="11"/>
      <c r="B48" t="s">
        <v>1902</v>
      </c>
      <c r="C48" t="s">
        <v>1892</v>
      </c>
      <c r="D48" s="12">
        <v>39846</v>
      </c>
      <c r="E48" t="s">
        <v>1893</v>
      </c>
      <c r="F48" t="s">
        <v>1903</v>
      </c>
      <c r="G48" t="s">
        <v>707</v>
      </c>
    </row>
    <row r="49" spans="1:7" ht="15">
      <c r="A49" s="9">
        <v>25</v>
      </c>
      <c r="B49" t="str">
        <f ca="1">IFERROR(__xludf.DUMMYFUNCTION((TRANSPOSE(ImportHTML("http://spending.data.al/sq/moneypower/view/id/25/year/2014",  "table", 0)))),"*Emër Subjekti*")</f>
        <v>*Emër Subjekti*</v>
      </c>
      <c r="C49" t="s">
        <v>698</v>
      </c>
      <c r="D49" t="s">
        <v>699</v>
      </c>
      <c r="E49" t="s">
        <v>700</v>
      </c>
      <c r="F49" t="s">
        <v>701</v>
      </c>
      <c r="G49" t="s">
        <v>702</v>
      </c>
    </row>
    <row r="50" spans="1:7" ht="15">
      <c r="A50" s="11"/>
      <c r="B50" t="s">
        <v>703</v>
      </c>
      <c r="C50" t="s">
        <v>704</v>
      </c>
      <c r="D50" t="s">
        <v>705</v>
      </c>
      <c r="E50" t="s">
        <v>706</v>
      </c>
      <c r="F50" t="s">
        <v>707</v>
      </c>
      <c r="G50" t="s">
        <v>708</v>
      </c>
    </row>
    <row r="51" spans="1:7" ht="15">
      <c r="A51" s="9">
        <v>26</v>
      </c>
      <c r="B51" t="str">
        <f ca="1">IFERROR(__xludf.DUMMYFUNCTION((TRANSPOSE(ImportHTML("http://spending.data.al/sq/moneypower/view/id/26/year/2014",  "table", 0)))),"*Emër Subjekti*")</f>
        <v>*Emër Subjekti*</v>
      </c>
      <c r="C51" t="s">
        <v>698</v>
      </c>
      <c r="D51" t="s">
        <v>699</v>
      </c>
      <c r="E51" t="s">
        <v>700</v>
      </c>
      <c r="F51" t="s">
        <v>701</v>
      </c>
      <c r="G51" t="s">
        <v>702</v>
      </c>
    </row>
    <row r="52" spans="1:7" ht="15">
      <c r="A52" s="11"/>
      <c r="B52" t="s">
        <v>4291</v>
      </c>
      <c r="C52" t="s">
        <v>4292</v>
      </c>
      <c r="D52" t="s">
        <v>705</v>
      </c>
      <c r="E52" t="s">
        <v>706</v>
      </c>
      <c r="F52" t="s">
        <v>707</v>
      </c>
      <c r="G52" t="s">
        <v>1918</v>
      </c>
    </row>
    <row r="53" spans="1:7" ht="15">
      <c r="A53" s="9">
        <v>27</v>
      </c>
      <c r="B53" t="str">
        <f ca="1">IFERROR(__xludf.DUMMYFUNCTION((TRANSPOSE(ImportHTML("http://spending.data.al/sq/moneypower/view/id/27/year/2014",  "table", 0)))),"*Emër Subjekti*")</f>
        <v>*Emër Subjekti*</v>
      </c>
      <c r="C53" t="s">
        <v>698</v>
      </c>
      <c r="D53" t="s">
        <v>699</v>
      </c>
      <c r="E53" t="s">
        <v>700</v>
      </c>
      <c r="F53" t="s">
        <v>701</v>
      </c>
      <c r="G53" t="s">
        <v>702</v>
      </c>
    </row>
    <row r="54" spans="1:7" ht="15">
      <c r="A54" s="11"/>
      <c r="B54" t="s">
        <v>1908</v>
      </c>
      <c r="C54" t="s">
        <v>1909</v>
      </c>
      <c r="D54" t="s">
        <v>1910</v>
      </c>
      <c r="E54" t="s">
        <v>706</v>
      </c>
      <c r="F54" t="s">
        <v>707</v>
      </c>
      <c r="G54" t="s">
        <v>1911</v>
      </c>
    </row>
    <row r="55" spans="1:7" ht="15">
      <c r="A55" s="9">
        <v>28</v>
      </c>
      <c r="B55" t="str">
        <f ca="1">IFERROR(__xludf.DUMMYFUNCTION((TRANSPOSE(ImportHTML("http://spending.data.al/sq/moneypower/view/id/28/year/2014",  "table", 0)))),"*Emër Subjekti*")</f>
        <v>*Emër Subjekti*</v>
      </c>
      <c r="C55" t="s">
        <v>698</v>
      </c>
      <c r="D55" t="s">
        <v>699</v>
      </c>
      <c r="E55" t="s">
        <v>700</v>
      </c>
      <c r="F55" t="s">
        <v>701</v>
      </c>
      <c r="G55" t="s">
        <v>702</v>
      </c>
    </row>
    <row r="56" spans="1:7" ht="15">
      <c r="A56" s="11"/>
      <c r="B56" t="s">
        <v>1912</v>
      </c>
      <c r="C56" t="s">
        <v>1913</v>
      </c>
      <c r="D56" t="s">
        <v>705</v>
      </c>
      <c r="E56" t="s">
        <v>1914</v>
      </c>
      <c r="F56" t="s">
        <v>707</v>
      </c>
      <c r="G56" t="s">
        <v>707</v>
      </c>
    </row>
    <row r="57" spans="1:7" ht="15">
      <c r="A57" s="9">
        <v>29</v>
      </c>
      <c r="B57" t="str">
        <f ca="1">IFERROR(__xludf.DUMMYFUNCTION((TRANSPOSE(ImportHTML("http://spending.data.al/sq/moneypower/view/id/29/year/2014",  "table", 0)))),"*Emër Subjekti*")</f>
        <v>*Emër Subjekti*</v>
      </c>
      <c r="C57" t="s">
        <v>698</v>
      </c>
      <c r="D57" t="s">
        <v>699</v>
      </c>
      <c r="E57" t="s">
        <v>700</v>
      </c>
      <c r="F57" t="s">
        <v>701</v>
      </c>
      <c r="G57" t="s">
        <v>702</v>
      </c>
    </row>
    <row r="58" spans="1:7" ht="15">
      <c r="A58" s="11"/>
      <c r="B58" t="s">
        <v>1915</v>
      </c>
      <c r="C58" t="s">
        <v>1916</v>
      </c>
      <c r="D58" t="s">
        <v>1917</v>
      </c>
      <c r="E58" t="s">
        <v>706</v>
      </c>
      <c r="F58" t="s">
        <v>707</v>
      </c>
      <c r="G58" t="s">
        <v>1918</v>
      </c>
    </row>
    <row r="59" spans="1:7" ht="15">
      <c r="A59" s="9">
        <v>30</v>
      </c>
      <c r="B59" t="str">
        <f ca="1">IFERROR(__xludf.DUMMYFUNCTION((TRANSPOSE(ImportHTML("http://spending.data.al/sq/moneypower/view/id/30/year/2014",  "table", 0)))),"*Emër Subjekti*")</f>
        <v>*Emër Subjekti*</v>
      </c>
      <c r="C59" t="s">
        <v>698</v>
      </c>
      <c r="D59" t="s">
        <v>699</v>
      </c>
      <c r="E59" t="s">
        <v>700</v>
      </c>
      <c r="F59" t="s">
        <v>701</v>
      </c>
      <c r="G59" t="s">
        <v>702</v>
      </c>
    </row>
    <row r="60" spans="1:7" ht="15">
      <c r="A60" s="11"/>
      <c r="B60" t="s">
        <v>1919</v>
      </c>
      <c r="C60" t="s">
        <v>1920</v>
      </c>
      <c r="D60" t="s">
        <v>705</v>
      </c>
      <c r="E60" t="s">
        <v>706</v>
      </c>
      <c r="F60" t="s">
        <v>707</v>
      </c>
      <c r="G60" t="s">
        <v>688</v>
      </c>
    </row>
    <row r="61" spans="1:7" ht="15">
      <c r="A61" s="9">
        <v>31</v>
      </c>
      <c r="B61" t="str">
        <f ca="1">IFERROR(__xludf.DUMMYFUNCTION((TRANSPOSE(ImportHTML("http://spending.data.al/sq/moneypower/view/id/31/year/2014",  "table", 0)))),"*Emër Subjekti*")</f>
        <v>*Emër Subjekti*</v>
      </c>
      <c r="C61" t="s">
        <v>698</v>
      </c>
      <c r="D61" t="s">
        <v>699</v>
      </c>
      <c r="E61" t="s">
        <v>700</v>
      </c>
      <c r="F61" t="s">
        <v>701</v>
      </c>
      <c r="G61" t="s">
        <v>702</v>
      </c>
    </row>
    <row r="62" spans="1:7" ht="15">
      <c r="A62" s="11"/>
      <c r="B62" t="s">
        <v>4293</v>
      </c>
      <c r="C62" t="s">
        <v>4294</v>
      </c>
      <c r="D62" t="s">
        <v>1917</v>
      </c>
      <c r="E62" t="s">
        <v>706</v>
      </c>
      <c r="F62" t="s">
        <v>707</v>
      </c>
      <c r="G62" t="s">
        <v>4295</v>
      </c>
    </row>
    <row r="63" spans="1:7" ht="15">
      <c r="A63" s="9">
        <v>32</v>
      </c>
      <c r="B63" t="str">
        <f ca="1">IFERROR(__xludf.DUMMYFUNCTION((TRANSPOSE(ImportHTML("http://spending.data.al/sq/moneypower/view/id/32/year/2014",  "table", 0)))),"*Emër Subjekti*")</f>
        <v>*Emër Subjekti*</v>
      </c>
      <c r="C63" t="s">
        <v>698</v>
      </c>
      <c r="D63" t="s">
        <v>699</v>
      </c>
      <c r="E63" t="s">
        <v>700</v>
      </c>
      <c r="F63" t="s">
        <v>701</v>
      </c>
      <c r="G63" t="s">
        <v>702</v>
      </c>
    </row>
    <row r="64" spans="1:7" ht="15">
      <c r="A64" s="11"/>
      <c r="B64" t="s">
        <v>4296</v>
      </c>
      <c r="C64" t="s">
        <v>4297</v>
      </c>
      <c r="D64" t="s">
        <v>705</v>
      </c>
      <c r="E64" t="s">
        <v>706</v>
      </c>
      <c r="F64" t="s">
        <v>707</v>
      </c>
      <c r="G64" t="s">
        <v>688</v>
      </c>
    </row>
    <row r="65" spans="1:7" ht="15">
      <c r="A65" s="9">
        <v>33</v>
      </c>
      <c r="B65" t="str">
        <f ca="1">IFERROR(__xludf.DUMMYFUNCTION((TRANSPOSE(ImportHTML("http://spending.data.al/sq/moneypower/view/id/33/year/2014",  "table", 0)))),"*Emër Subjekti*")</f>
        <v>*Emër Subjekti*</v>
      </c>
      <c r="C65" t="s">
        <v>700</v>
      </c>
      <c r="D65" t="s">
        <v>701</v>
      </c>
      <c r="E65" t="s">
        <v>702</v>
      </c>
    </row>
    <row r="66" spans="1:7" ht="15">
      <c r="A66" s="11"/>
      <c r="C66" t="s">
        <v>707</v>
      </c>
      <c r="D66" t="s">
        <v>707</v>
      </c>
      <c r="E66" t="s">
        <v>707</v>
      </c>
    </row>
    <row r="67" spans="1:7" ht="15">
      <c r="A67" s="11">
        <v>34</v>
      </c>
      <c r="B67" t="str">
        <f ca="1">IFERROR(__xludf.DUMMYFUNCTION((TRANSPOSE(ImportHTML("http://spending.data.al/sq/moneypower/view/id/34/year/2014",  "table", 0)))),"*Emër Subjekti*")</f>
        <v>*Emër Subjekti*</v>
      </c>
      <c r="C67" t="s">
        <v>698</v>
      </c>
      <c r="D67" t="s">
        <v>699</v>
      </c>
      <c r="E67" t="s">
        <v>700</v>
      </c>
      <c r="F67" t="s">
        <v>701</v>
      </c>
      <c r="G67" t="s">
        <v>702</v>
      </c>
    </row>
    <row r="68" spans="1:7" ht="15">
      <c r="A68" s="11"/>
      <c r="B68" t="s">
        <v>1926</v>
      </c>
      <c r="C68" t="s">
        <v>1927</v>
      </c>
      <c r="D68" t="s">
        <v>705</v>
      </c>
      <c r="E68" t="s">
        <v>706</v>
      </c>
      <c r="F68" t="s">
        <v>707</v>
      </c>
      <c r="G68" t="s">
        <v>1918</v>
      </c>
    </row>
    <row r="69" spans="1:7" ht="15">
      <c r="A69" s="9">
        <v>35</v>
      </c>
      <c r="B69" t="str">
        <f ca="1">IFERROR(__xludf.DUMMYFUNCTION((TRANSPOSE(ImportHTML("http://spending.data.al/sq/moneypower/view/id/35/year/2014",  "table", 0)))),"*Emër Subjekti*")</f>
        <v>*Emër Subjekti*</v>
      </c>
      <c r="C69" t="s">
        <v>698</v>
      </c>
      <c r="D69" t="s">
        <v>699</v>
      </c>
      <c r="E69" t="s">
        <v>700</v>
      </c>
      <c r="F69" t="s">
        <v>701</v>
      </c>
      <c r="G69" t="s">
        <v>702</v>
      </c>
    </row>
    <row r="70" spans="1:7" ht="15">
      <c r="A70" s="11"/>
      <c r="B70" t="s">
        <v>1928</v>
      </c>
      <c r="C70" t="s">
        <v>1929</v>
      </c>
      <c r="D70" t="s">
        <v>705</v>
      </c>
      <c r="E70" t="s">
        <v>1914</v>
      </c>
      <c r="F70" t="s">
        <v>707</v>
      </c>
      <c r="G70" t="s">
        <v>1930</v>
      </c>
    </row>
    <row r="71" spans="1:7" ht="15">
      <c r="A71" s="9">
        <v>36</v>
      </c>
      <c r="B71" t="str">
        <f ca="1">IFERROR(__xludf.DUMMYFUNCTION((TRANSPOSE(ImportHTML("http://spending.data.al/sq/moneypower/view/id/36/year/2014",  "table", 0)))),"*Emër Subjekti*")</f>
        <v>*Emër Subjekti*</v>
      </c>
      <c r="C71" t="s">
        <v>698</v>
      </c>
      <c r="D71" t="s">
        <v>699</v>
      </c>
      <c r="E71" t="s">
        <v>700</v>
      </c>
      <c r="F71" t="s">
        <v>701</v>
      </c>
      <c r="G71" t="s">
        <v>702</v>
      </c>
    </row>
    <row r="72" spans="1:7" ht="15">
      <c r="A72" s="11"/>
      <c r="B72" t="s">
        <v>1931</v>
      </c>
      <c r="C72" t="s">
        <v>1932</v>
      </c>
      <c r="D72" t="s">
        <v>1917</v>
      </c>
      <c r="E72" t="s">
        <v>1914</v>
      </c>
      <c r="F72" t="s">
        <v>707</v>
      </c>
      <c r="G72" t="s">
        <v>1930</v>
      </c>
    </row>
    <row r="73" spans="1:7" ht="15">
      <c r="A73" s="9">
        <v>37</v>
      </c>
      <c r="B73" t="str">
        <f ca="1">IFERROR(__xludf.DUMMYFUNCTION((TRANSPOSE(ImportHTML("http://spending.data.al/sq/moneypower/view/id/37/year/2014",  "table", 0)))),"*Emër Subjekti*")</f>
        <v>*Emër Subjekti*</v>
      </c>
      <c r="C73" t="s">
        <v>698</v>
      </c>
      <c r="D73" t="s">
        <v>699</v>
      </c>
      <c r="E73" t="s">
        <v>700</v>
      </c>
      <c r="F73" t="s">
        <v>701</v>
      </c>
      <c r="G73" t="s">
        <v>702</v>
      </c>
    </row>
    <row r="74" spans="1:7" ht="15">
      <c r="A74" s="11"/>
      <c r="B74" t="s">
        <v>4298</v>
      </c>
      <c r="C74" t="s">
        <v>4299</v>
      </c>
      <c r="D74" t="s">
        <v>1910</v>
      </c>
      <c r="E74" t="s">
        <v>1914</v>
      </c>
      <c r="F74" t="s">
        <v>707</v>
      </c>
      <c r="G74" t="s">
        <v>1918</v>
      </c>
    </row>
    <row r="75" spans="1:7" ht="15">
      <c r="A75" s="9">
        <v>38</v>
      </c>
      <c r="B75" t="str">
        <f ca="1">IFERROR(__xludf.DUMMYFUNCTION((TRANSPOSE(ImportHTML("http://spending.data.al/sq/moneypower/view/id/38/year/2014",  "table", 0)))),"*Emër Subjekti*")</f>
        <v>*Emër Subjekti*</v>
      </c>
      <c r="C75" t="s">
        <v>698</v>
      </c>
      <c r="D75" t="s">
        <v>699</v>
      </c>
      <c r="E75" t="s">
        <v>700</v>
      </c>
      <c r="F75" t="s">
        <v>701</v>
      </c>
      <c r="G75" t="s">
        <v>702</v>
      </c>
    </row>
    <row r="76" spans="1:7" ht="15">
      <c r="A76" s="11"/>
      <c r="B76" t="s">
        <v>4300</v>
      </c>
      <c r="C76" t="s">
        <v>4301</v>
      </c>
      <c r="D76" t="s">
        <v>705</v>
      </c>
      <c r="E76" t="s">
        <v>706</v>
      </c>
      <c r="F76" t="s">
        <v>707</v>
      </c>
      <c r="G76" t="s">
        <v>1918</v>
      </c>
    </row>
    <row r="77" spans="1:7" ht="15">
      <c r="A77" s="9">
        <v>39</v>
      </c>
      <c r="B77" t="str">
        <f ca="1">IFERROR(__xludf.DUMMYFUNCTION((TRANSPOSE(ImportHTML("http://spending.data.al/sq/moneypower/view/id/39/year/2014",  "table", 0)))),"*Emër Subjekti*")</f>
        <v>*Emër Subjekti*</v>
      </c>
      <c r="C77" t="s">
        <v>698</v>
      </c>
      <c r="D77" t="s">
        <v>699</v>
      </c>
      <c r="E77" t="s">
        <v>700</v>
      </c>
      <c r="F77" t="s">
        <v>701</v>
      </c>
      <c r="G77" t="s">
        <v>702</v>
      </c>
    </row>
    <row r="78" spans="1:7" ht="15">
      <c r="A78" s="11"/>
      <c r="B78" t="s">
        <v>4302</v>
      </c>
      <c r="C78" t="s">
        <v>4303</v>
      </c>
      <c r="D78" t="s">
        <v>705</v>
      </c>
      <c r="E78" t="s">
        <v>706</v>
      </c>
      <c r="F78" t="s">
        <v>707</v>
      </c>
      <c r="G78" t="s">
        <v>4304</v>
      </c>
    </row>
    <row r="79" spans="1:7" ht="15">
      <c r="A79" s="9">
        <v>40</v>
      </c>
      <c r="B79" t="str">
        <f ca="1">IFERROR(__xludf.DUMMYFUNCTION((TRANSPOSE(ImportHTML("http://spending.data.al/sq/moneypower/view/id/40/year/2014",  "table", 0)))),"*Emër Subjekti*")</f>
        <v>*Emër Subjekti*</v>
      </c>
      <c r="C79" t="s">
        <v>698</v>
      </c>
      <c r="D79" t="s">
        <v>699</v>
      </c>
      <c r="E79" t="s">
        <v>700</v>
      </c>
      <c r="F79" t="s">
        <v>701</v>
      </c>
      <c r="G79" t="s">
        <v>702</v>
      </c>
    </row>
    <row r="80" spans="1:7" ht="15">
      <c r="A80" s="11"/>
      <c r="B80" t="s">
        <v>4305</v>
      </c>
      <c r="C80" t="s">
        <v>4306</v>
      </c>
      <c r="D80" t="s">
        <v>1917</v>
      </c>
      <c r="E80" t="s">
        <v>706</v>
      </c>
      <c r="F80" t="s">
        <v>707</v>
      </c>
      <c r="G80" t="s">
        <v>1918</v>
      </c>
    </row>
    <row r="81" spans="1:15" ht="15">
      <c r="A81" s="9">
        <v>41</v>
      </c>
      <c r="B81" t="str">
        <f ca="1">IFERROR(__xludf.DUMMYFUNCTION((TRANSPOSE(ImportHTML("http://spending.data.al/sq/moneypower/view/id/41/year/2014",  "table", 0)))),"*Emër Subjekti*")</f>
        <v>*Emër Subjekti*</v>
      </c>
      <c r="C81" t="s">
        <v>698</v>
      </c>
      <c r="D81" t="s">
        <v>699</v>
      </c>
      <c r="E81" t="s">
        <v>700</v>
      </c>
      <c r="F81" t="s">
        <v>701</v>
      </c>
      <c r="G81" t="s">
        <v>702</v>
      </c>
    </row>
    <row r="82" spans="1:15" ht="15">
      <c r="A82" s="11"/>
      <c r="B82" t="s">
        <v>1946</v>
      </c>
      <c r="C82" t="s">
        <v>1947</v>
      </c>
      <c r="D82" t="s">
        <v>1917</v>
      </c>
      <c r="E82" t="s">
        <v>1914</v>
      </c>
      <c r="F82" t="s">
        <v>707</v>
      </c>
      <c r="G82" t="s">
        <v>688</v>
      </c>
    </row>
    <row r="83" spans="1:15" ht="15">
      <c r="A83" s="9">
        <v>42</v>
      </c>
      <c r="B83" t="str">
        <f ca="1">IFERROR(__xludf.DUMMYFUNCTION((TRANSPOSE(ImportHTML("http://spending.data.al/sq/moneypower/view/id/42/year/2014",  "table", 0)))),"*Emër Subjekti*")</f>
        <v>*Emër Subjekti*</v>
      </c>
      <c r="C83" t="s">
        <v>698</v>
      </c>
      <c r="D83" t="s">
        <v>699</v>
      </c>
      <c r="E83" t="s">
        <v>700</v>
      </c>
      <c r="F83" t="s">
        <v>701</v>
      </c>
      <c r="G83" t="s">
        <v>702</v>
      </c>
    </row>
    <row r="84" spans="1:15" ht="15">
      <c r="A84" s="11"/>
      <c r="B84" t="s">
        <v>4307</v>
      </c>
      <c r="C84" t="s">
        <v>4308</v>
      </c>
      <c r="D84" t="s">
        <v>705</v>
      </c>
      <c r="E84" t="s">
        <v>706</v>
      </c>
      <c r="F84" t="s">
        <v>707</v>
      </c>
      <c r="G84" t="s">
        <v>1918</v>
      </c>
    </row>
    <row r="85" spans="1:15" ht="15">
      <c r="A85" s="9">
        <v>43</v>
      </c>
      <c r="B85" t="str">
        <f ca="1">IFERROR(__xludf.DUMMYFUNCTION((TRANSPOSE(ImportHTML("http://spending.data.al/sq/moneypower/view/id/43/year/2014",  "table", 0)))),"*Emër Subjekti*")</f>
        <v>*Emër Subjekti*</v>
      </c>
      <c r="C85" t="s">
        <v>698</v>
      </c>
      <c r="D85" t="s">
        <v>699</v>
      </c>
      <c r="E85" t="s">
        <v>700</v>
      </c>
      <c r="F85" t="s">
        <v>701</v>
      </c>
      <c r="G85" t="s">
        <v>702</v>
      </c>
    </row>
    <row r="86" spans="1:15" ht="15">
      <c r="A86" s="11"/>
      <c r="B86" t="s">
        <v>4309</v>
      </c>
      <c r="C86" t="s">
        <v>4310</v>
      </c>
      <c r="D86" t="s">
        <v>1917</v>
      </c>
      <c r="E86" t="s">
        <v>1914</v>
      </c>
      <c r="F86" t="s">
        <v>707</v>
      </c>
      <c r="G86" t="s">
        <v>1918</v>
      </c>
    </row>
    <row r="87" spans="1:15" ht="15">
      <c r="A87" s="9">
        <v>44</v>
      </c>
      <c r="B87" t="str">
        <f ca="1">IFERROR(__xludf.DUMMYFUNCTION((TRANSPOSE(ImportHTML("http://spending.data.al/sq/moneypower/view/id/44/year/2014",  "table", 0)))),"*Emër Subjekti*")</f>
        <v>*Emër Subjekti*</v>
      </c>
      <c r="C87" t="s">
        <v>698</v>
      </c>
      <c r="D87" t="s">
        <v>699</v>
      </c>
      <c r="E87" t="s">
        <v>700</v>
      </c>
      <c r="F87" t="s">
        <v>701</v>
      </c>
      <c r="G87" t="s">
        <v>702</v>
      </c>
    </row>
    <row r="88" spans="1:15" ht="15">
      <c r="A88" s="11"/>
      <c r="B88" t="s">
        <v>4311</v>
      </c>
      <c r="C88" t="s">
        <v>4312</v>
      </c>
      <c r="D88" t="s">
        <v>1917</v>
      </c>
      <c r="E88" t="s">
        <v>706</v>
      </c>
      <c r="F88" t="s">
        <v>707</v>
      </c>
      <c r="G88" t="s">
        <v>1918</v>
      </c>
    </row>
    <row r="89" spans="1:15" ht="15">
      <c r="A89" s="9">
        <v>45</v>
      </c>
      <c r="B89" t="str">
        <f ca="1">IFERROR(__xludf.DUMMYFUNCTION((TRANSPOSE(ImportHTML("http://spending.data.al/sq/moneypower/view/id/45/year/2014",  "table", 0)))),"*Emër Subjekti*")</f>
        <v>*Emër Subjekti*</v>
      </c>
      <c r="C89" t="s">
        <v>698</v>
      </c>
      <c r="D89" t="s">
        <v>699</v>
      </c>
      <c r="E89" t="s">
        <v>700</v>
      </c>
      <c r="F89" t="s">
        <v>701</v>
      </c>
      <c r="G89" t="s">
        <v>702</v>
      </c>
    </row>
    <row r="90" spans="1:15" ht="15">
      <c r="A90" s="11"/>
      <c r="B90" t="s">
        <v>4313</v>
      </c>
      <c r="C90" t="s">
        <v>4314</v>
      </c>
      <c r="D90" t="s">
        <v>705</v>
      </c>
      <c r="E90" t="s">
        <v>706</v>
      </c>
      <c r="F90" t="s">
        <v>707</v>
      </c>
      <c r="G90" t="s">
        <v>1918</v>
      </c>
    </row>
    <row r="91" spans="1:15" ht="15">
      <c r="A91" s="9">
        <v>46</v>
      </c>
      <c r="B91" t="str">
        <f ca="1">IFERROR(__xludf.DUMMYFUNCTION((TRANSPOSE(ImportHTML("http://spending.data.al/sq/moneypower/view/id/46/year/2014",  "table", 0)))),"*Emër Subjekti*")</f>
        <v>*Emër Subjekti*</v>
      </c>
      <c r="C91" t="s">
        <v>698</v>
      </c>
      <c r="D91" t="s">
        <v>699</v>
      </c>
      <c r="E91" t="s">
        <v>700</v>
      </c>
      <c r="F91" t="s">
        <v>701</v>
      </c>
      <c r="G91" t="s">
        <v>702</v>
      </c>
    </row>
    <row r="92" spans="1:15" ht="15">
      <c r="A92" s="11"/>
      <c r="B92" t="s">
        <v>4315</v>
      </c>
      <c r="C92" t="s">
        <v>4316</v>
      </c>
      <c r="D92" t="s">
        <v>705</v>
      </c>
      <c r="E92" t="s">
        <v>706</v>
      </c>
      <c r="F92" t="s">
        <v>707</v>
      </c>
      <c r="G92" t="s">
        <v>1918</v>
      </c>
    </row>
    <row r="93" spans="1:15" ht="15">
      <c r="A93" s="9">
        <v>47</v>
      </c>
      <c r="B93" t="str">
        <f ca="1">IFERROR(__xludf.DUMMYFUNCTION((TRANSPOSE(ImportHTML("http://spending.data.al/sq/moneypower/view/id/47/year/2014",  "table", 0)))),"*Kategoria*")</f>
        <v>*Kategoria*</v>
      </c>
      <c r="C93" t="s">
        <v>673</v>
      </c>
      <c r="D93" t="s">
        <v>674</v>
      </c>
      <c r="E93" t="s">
        <v>675</v>
      </c>
      <c r="F93" t="s">
        <v>676</v>
      </c>
      <c r="G93" t="s">
        <v>677</v>
      </c>
      <c r="H93" t="s">
        <v>678</v>
      </c>
      <c r="I93" t="s">
        <v>679</v>
      </c>
      <c r="J93" t="s">
        <v>680</v>
      </c>
      <c r="K93" t="s">
        <v>681</v>
      </c>
      <c r="L93" t="s">
        <v>682</v>
      </c>
      <c r="M93" t="s">
        <v>683</v>
      </c>
      <c r="N93" t="s">
        <v>684</v>
      </c>
      <c r="O93" t="s">
        <v>685</v>
      </c>
    </row>
    <row r="94" spans="1:15" ht="15">
      <c r="A94" s="11"/>
      <c r="B94" t="s">
        <v>686</v>
      </c>
      <c r="C94" t="s">
        <v>896</v>
      </c>
      <c r="D94" t="s">
        <v>688</v>
      </c>
      <c r="E94" t="s">
        <v>897</v>
      </c>
      <c r="F94" t="s">
        <v>688</v>
      </c>
      <c r="G94" t="s">
        <v>688</v>
      </c>
      <c r="H94" t="s">
        <v>688</v>
      </c>
      <c r="I94" t="s">
        <v>688</v>
      </c>
      <c r="J94" t="s">
        <v>688</v>
      </c>
      <c r="K94" t="s">
        <v>688</v>
      </c>
      <c r="L94" t="s">
        <v>898</v>
      </c>
      <c r="M94" t="s">
        <v>688</v>
      </c>
      <c r="O94" t="s">
        <v>899</v>
      </c>
    </row>
    <row r="95" spans="1:15" ht="15">
      <c r="A95" s="9">
        <v>48</v>
      </c>
      <c r="B95" t="str">
        <f ca="1">IFERROR(__xludf.DUMMYFUNCTION((TRANSPOSE(ImportHTML("http://spending.data.al/sq/moneypower/view/id/48/year/2014",  "table", 0)))),"*Emër Subjekti*")</f>
        <v>*Emër Subjekti*</v>
      </c>
      <c r="C95" t="s">
        <v>698</v>
      </c>
      <c r="D95" t="s">
        <v>699</v>
      </c>
      <c r="E95" t="s">
        <v>700</v>
      </c>
      <c r="F95" t="s">
        <v>701</v>
      </c>
      <c r="G95" t="s">
        <v>702</v>
      </c>
    </row>
    <row r="96" spans="1:15" ht="15">
      <c r="A96" s="11"/>
      <c r="B96" t="s">
        <v>4317</v>
      </c>
      <c r="C96" t="s">
        <v>4318</v>
      </c>
      <c r="D96" t="s">
        <v>705</v>
      </c>
      <c r="E96" t="s">
        <v>706</v>
      </c>
      <c r="F96" t="s">
        <v>707</v>
      </c>
      <c r="G96" t="s">
        <v>1918</v>
      </c>
    </row>
    <row r="97" spans="1:15" ht="15">
      <c r="A97" s="9">
        <v>49</v>
      </c>
      <c r="B97" t="str">
        <f ca="1">IFERROR(__xludf.DUMMYFUNCTION((TRANSPOSE(ImportHTML("http://spending.data.al/sq/moneypower/view/id/49/year/2014",  "table", 0)))),"*Kategoria*")</f>
        <v>*Kategoria*</v>
      </c>
      <c r="C97" t="s">
        <v>673</v>
      </c>
      <c r="D97" t="s">
        <v>674</v>
      </c>
      <c r="E97" t="s">
        <v>675</v>
      </c>
      <c r="F97" t="s">
        <v>676</v>
      </c>
      <c r="G97" t="s">
        <v>677</v>
      </c>
      <c r="H97" t="s">
        <v>678</v>
      </c>
      <c r="I97" t="s">
        <v>679</v>
      </c>
      <c r="J97" t="s">
        <v>680</v>
      </c>
      <c r="K97" t="s">
        <v>681</v>
      </c>
      <c r="L97" t="s">
        <v>682</v>
      </c>
      <c r="M97" t="s">
        <v>683</v>
      </c>
      <c r="N97" t="s">
        <v>684</v>
      </c>
      <c r="O97" t="s">
        <v>685</v>
      </c>
    </row>
    <row r="98" spans="1:15" ht="15">
      <c r="A98" s="11"/>
      <c r="B98" t="s">
        <v>686</v>
      </c>
      <c r="C98" t="s">
        <v>905</v>
      </c>
      <c r="D98" t="s">
        <v>688</v>
      </c>
      <c r="E98" t="s">
        <v>906</v>
      </c>
      <c r="F98" t="s">
        <v>688</v>
      </c>
      <c r="G98" t="s">
        <v>688</v>
      </c>
      <c r="H98" t="s">
        <v>688</v>
      </c>
      <c r="I98" t="s">
        <v>688</v>
      </c>
      <c r="J98" t="s">
        <v>688</v>
      </c>
      <c r="K98" t="s">
        <v>688</v>
      </c>
      <c r="L98" t="s">
        <v>907</v>
      </c>
      <c r="M98" t="s">
        <v>688</v>
      </c>
      <c r="O98" t="s">
        <v>908</v>
      </c>
    </row>
    <row r="99" spans="1:15" ht="15">
      <c r="A99" s="9">
        <v>50</v>
      </c>
      <c r="B99" t="str">
        <f ca="1">IFERROR(__xludf.DUMMYFUNCTION((TRANSPOSE(ImportHTML("http://spending.data.al/sq/moneypower/view/id/50/year/2014",  "table", 0)))),"*Emër Subjekti*")</f>
        <v>*Emër Subjekti*</v>
      </c>
      <c r="C99" t="s">
        <v>698</v>
      </c>
      <c r="D99" t="s">
        <v>699</v>
      </c>
      <c r="E99" t="s">
        <v>700</v>
      </c>
      <c r="F99" t="s">
        <v>701</v>
      </c>
      <c r="G99" t="s">
        <v>702</v>
      </c>
    </row>
    <row r="100" spans="1:15" ht="15">
      <c r="A100" s="11"/>
      <c r="B100" t="s">
        <v>4319</v>
      </c>
      <c r="C100" t="s">
        <v>4320</v>
      </c>
      <c r="D100" t="s">
        <v>705</v>
      </c>
      <c r="E100" t="s">
        <v>706</v>
      </c>
      <c r="F100" t="s">
        <v>707</v>
      </c>
      <c r="G100" t="s">
        <v>1918</v>
      </c>
    </row>
    <row r="101" spans="1:15" ht="15">
      <c r="A101" s="9">
        <v>51</v>
      </c>
      <c r="B101" t="str">
        <f ca="1">IFERROR(__xludf.DUMMYFUNCTION((TRANSPOSE(ImportHTML("http://spending.data.al/sq/moneypower/view/id/51/year/2014",  "table", 0)))),"*Emër Subjekti*")</f>
        <v>*Emër Subjekti*</v>
      </c>
      <c r="C101" t="s">
        <v>698</v>
      </c>
      <c r="D101" t="s">
        <v>699</v>
      </c>
      <c r="E101" t="s">
        <v>700</v>
      </c>
      <c r="F101" t="s">
        <v>701</v>
      </c>
      <c r="G101" t="s">
        <v>702</v>
      </c>
    </row>
    <row r="102" spans="1:15" ht="15">
      <c r="A102" s="11"/>
      <c r="B102" t="s">
        <v>4321</v>
      </c>
      <c r="C102" t="s">
        <v>4322</v>
      </c>
      <c r="D102" t="s">
        <v>1917</v>
      </c>
      <c r="E102" t="s">
        <v>1914</v>
      </c>
      <c r="F102" t="s">
        <v>707</v>
      </c>
      <c r="G102" t="s">
        <v>1918</v>
      </c>
    </row>
    <row r="103" spans="1:15" ht="15">
      <c r="A103" s="9">
        <v>52</v>
      </c>
      <c r="B103" t="str">
        <f ca="1">IFERROR(__xludf.DUMMYFUNCTION((TRANSPOSE(ImportHTML("http://spending.data.al/sq/moneypower/view/id/52/year/2014",  "table", 0)))),"*Emër Subjekti*")</f>
        <v>*Emër Subjekti*</v>
      </c>
      <c r="C103" t="s">
        <v>698</v>
      </c>
      <c r="D103" t="s">
        <v>699</v>
      </c>
      <c r="E103" t="s">
        <v>700</v>
      </c>
      <c r="F103" t="s">
        <v>701</v>
      </c>
      <c r="G103" t="s">
        <v>702</v>
      </c>
    </row>
    <row r="104" spans="1:15" ht="15">
      <c r="A104" s="11"/>
      <c r="B104" t="s">
        <v>4323</v>
      </c>
      <c r="C104" t="s">
        <v>4324</v>
      </c>
      <c r="D104" t="s">
        <v>1910</v>
      </c>
      <c r="E104" t="s">
        <v>1914</v>
      </c>
      <c r="F104" t="s">
        <v>707</v>
      </c>
      <c r="G104" t="s">
        <v>1918</v>
      </c>
    </row>
    <row r="105" spans="1:15" ht="15">
      <c r="A105" s="9">
        <v>53</v>
      </c>
      <c r="B105" t="str">
        <f ca="1">IFERROR(__xludf.DUMMYFUNCTION((TRANSPOSE(ImportHTML("http://spending.data.al/sq/moneypower/view/id/53/year/2014",  "table", 0)))),"*Emër Subjekti*")</f>
        <v>*Emër Subjekti*</v>
      </c>
      <c r="C105" t="s">
        <v>698</v>
      </c>
      <c r="D105" t="s">
        <v>699</v>
      </c>
      <c r="E105" t="s">
        <v>700</v>
      </c>
      <c r="F105" t="s">
        <v>701</v>
      </c>
      <c r="G105" t="s">
        <v>702</v>
      </c>
    </row>
    <row r="106" spans="1:15" ht="15">
      <c r="A106" s="11"/>
      <c r="B106" t="s">
        <v>4325</v>
      </c>
      <c r="C106" t="s">
        <v>4326</v>
      </c>
      <c r="D106" t="s">
        <v>705</v>
      </c>
      <c r="E106" t="s">
        <v>706</v>
      </c>
      <c r="F106" t="s">
        <v>707</v>
      </c>
      <c r="G106" t="s">
        <v>1918</v>
      </c>
    </row>
    <row r="107" spans="1:15" ht="15">
      <c r="A107" s="9">
        <v>54</v>
      </c>
      <c r="B107" t="str">
        <f ca="1">IFERROR(__xludf.DUMMYFUNCTION((TRANSPOSE(ImportHTML("http://spending.data.al/sq/moneypower/view/id/54/year/2014",  "table", 0)))),"*Emër Subjekti*")</f>
        <v>*Emër Subjekti*</v>
      </c>
      <c r="C107" t="s">
        <v>698</v>
      </c>
      <c r="D107" t="s">
        <v>699</v>
      </c>
      <c r="E107" t="s">
        <v>700</v>
      </c>
      <c r="F107" t="s">
        <v>701</v>
      </c>
      <c r="G107" t="s">
        <v>702</v>
      </c>
    </row>
    <row r="108" spans="1:15" ht="15">
      <c r="A108" s="11"/>
      <c r="B108" t="s">
        <v>1992</v>
      </c>
      <c r="C108" t="s">
        <v>1993</v>
      </c>
      <c r="D108" t="s">
        <v>1910</v>
      </c>
      <c r="E108" t="s">
        <v>706</v>
      </c>
      <c r="F108" t="s">
        <v>707</v>
      </c>
      <c r="G108" t="s">
        <v>1918</v>
      </c>
    </row>
    <row r="109" spans="1:15" ht="15">
      <c r="A109" s="9">
        <v>55</v>
      </c>
      <c r="B109" t="str">
        <f ca="1">IFERROR(__xludf.DUMMYFUNCTION((TRANSPOSE(ImportHTML("http://spending.data.al/sq/moneypower/view/id/55/year/2014",  "table", 0)))),"*Emër Subjekti*")</f>
        <v>*Emër Subjekti*</v>
      </c>
      <c r="C109" t="s">
        <v>698</v>
      </c>
      <c r="D109" t="s">
        <v>699</v>
      </c>
      <c r="E109" t="s">
        <v>700</v>
      </c>
      <c r="F109" t="s">
        <v>701</v>
      </c>
      <c r="G109" t="s">
        <v>702</v>
      </c>
    </row>
    <row r="110" spans="1:15" ht="15">
      <c r="A110" s="11"/>
      <c r="B110" t="s">
        <v>4327</v>
      </c>
      <c r="C110" t="s">
        <v>4328</v>
      </c>
      <c r="D110" t="s">
        <v>705</v>
      </c>
      <c r="E110" t="s">
        <v>706</v>
      </c>
      <c r="F110" t="s">
        <v>707</v>
      </c>
      <c r="G110" t="s">
        <v>688</v>
      </c>
    </row>
    <row r="111" spans="1:15" ht="15">
      <c r="A111" s="9">
        <v>56</v>
      </c>
      <c r="B111" t="str">
        <f ca="1">IFERROR(__xludf.DUMMYFUNCTION((TRANSPOSE(ImportHTML("http://spending.data.al/sq/moneypower/view/id/56/year/2014",  "table", 0)))),"*Emër Subjekti*")</f>
        <v>*Emër Subjekti*</v>
      </c>
      <c r="C111" t="s">
        <v>698</v>
      </c>
      <c r="D111" t="s">
        <v>699</v>
      </c>
      <c r="E111" t="s">
        <v>700</v>
      </c>
      <c r="F111" t="s">
        <v>701</v>
      </c>
      <c r="G111" t="s">
        <v>702</v>
      </c>
    </row>
    <row r="112" spans="1:15" ht="15">
      <c r="A112" s="11"/>
      <c r="B112" t="s">
        <v>4329</v>
      </c>
      <c r="C112" t="s">
        <v>4330</v>
      </c>
      <c r="D112" t="s">
        <v>1910</v>
      </c>
      <c r="E112" t="s">
        <v>1914</v>
      </c>
      <c r="F112" t="s">
        <v>707</v>
      </c>
      <c r="G112" t="s">
        <v>1918</v>
      </c>
    </row>
    <row r="113" spans="1:15" ht="15">
      <c r="A113" s="9">
        <v>57</v>
      </c>
      <c r="B113" t="str">
        <f ca="1">IFERROR(__xludf.DUMMYFUNCTION((TRANSPOSE(ImportHTML("http://spending.data.al/sq/moneypower/view/id/57/year/2014",  "table", 0)))),"*Emër Subjekti*")</f>
        <v>*Emër Subjekti*</v>
      </c>
      <c r="C113" t="s">
        <v>698</v>
      </c>
      <c r="D113" t="s">
        <v>699</v>
      </c>
      <c r="E113" t="s">
        <v>700</v>
      </c>
      <c r="F113" t="s">
        <v>701</v>
      </c>
      <c r="G113" t="s">
        <v>702</v>
      </c>
    </row>
    <row r="114" spans="1:15" ht="15">
      <c r="A114" s="11"/>
      <c r="B114" t="s">
        <v>4331</v>
      </c>
      <c r="C114" t="s">
        <v>4332</v>
      </c>
      <c r="D114" t="s">
        <v>705</v>
      </c>
      <c r="E114" t="s">
        <v>1914</v>
      </c>
      <c r="F114" t="s">
        <v>707</v>
      </c>
      <c r="G114" t="s">
        <v>4333</v>
      </c>
    </row>
    <row r="115" spans="1:15" ht="15">
      <c r="A115" s="9">
        <v>58</v>
      </c>
      <c r="B115" t="str">
        <f ca="1">IFERROR(__xludf.DUMMYFUNCTION((TRANSPOSE(ImportHTML("http://spending.data.al/sq/moneypower/view/id/58/year/2014",  "table", 0)))),"*Emër Subjekti*")</f>
        <v>*Emër Subjekti*</v>
      </c>
      <c r="C115" t="s">
        <v>698</v>
      </c>
      <c r="D115" t="s">
        <v>699</v>
      </c>
      <c r="E115" t="s">
        <v>700</v>
      </c>
      <c r="F115" t="s">
        <v>701</v>
      </c>
      <c r="G115" t="s">
        <v>702</v>
      </c>
    </row>
    <row r="116" spans="1:15" ht="15">
      <c r="A116" s="11"/>
      <c r="B116" t="s">
        <v>2005</v>
      </c>
      <c r="C116" t="s">
        <v>2006</v>
      </c>
      <c r="D116" t="s">
        <v>705</v>
      </c>
      <c r="E116" t="s">
        <v>706</v>
      </c>
      <c r="F116" t="s">
        <v>707</v>
      </c>
      <c r="G116" t="s">
        <v>2007</v>
      </c>
    </row>
    <row r="117" spans="1:15" ht="15">
      <c r="A117" s="9">
        <v>59</v>
      </c>
      <c r="B117" t="str">
        <f ca="1">IFERROR(__xludf.DUMMYFUNCTION((TRANSPOSE(ImportHTML("http://spending.data.al/sq/moneypower/view/id/59/year/2014",  "table", 0)))),"*Emër Subjekti*")</f>
        <v>*Emër Subjekti*</v>
      </c>
      <c r="C117" t="s">
        <v>698</v>
      </c>
      <c r="D117" t="s">
        <v>699</v>
      </c>
      <c r="E117" t="s">
        <v>700</v>
      </c>
      <c r="F117" t="s">
        <v>701</v>
      </c>
      <c r="G117" t="s">
        <v>702</v>
      </c>
    </row>
    <row r="118" spans="1:15" ht="15">
      <c r="A118" s="11"/>
      <c r="B118" t="s">
        <v>4334</v>
      </c>
      <c r="C118" t="s">
        <v>4335</v>
      </c>
      <c r="D118" t="s">
        <v>705</v>
      </c>
      <c r="E118" t="s">
        <v>1914</v>
      </c>
      <c r="F118" t="s">
        <v>707</v>
      </c>
      <c r="G118" t="s">
        <v>4336</v>
      </c>
    </row>
    <row r="119" spans="1:15" ht="15">
      <c r="A119" s="9">
        <v>60</v>
      </c>
      <c r="B119" t="str">
        <f ca="1">IFERROR(__xludf.DUMMYFUNCTION((TRANSPOSE(ImportHTML("http://spending.data.al/sq/moneypower/view/id/60/year/2014",  "table", 0)))),"*Kategoria*")</f>
        <v>*Kategoria*</v>
      </c>
      <c r="C119" t="s">
        <v>673</v>
      </c>
      <c r="D119" t="s">
        <v>674</v>
      </c>
      <c r="E119" t="s">
        <v>675</v>
      </c>
      <c r="F119" t="s">
        <v>676</v>
      </c>
      <c r="G119" t="s">
        <v>677</v>
      </c>
      <c r="H119" t="s">
        <v>678</v>
      </c>
      <c r="I119" t="s">
        <v>679</v>
      </c>
      <c r="J119" t="s">
        <v>680</v>
      </c>
      <c r="K119" t="s">
        <v>681</v>
      </c>
      <c r="L119" t="s">
        <v>682</v>
      </c>
      <c r="M119" t="s">
        <v>683</v>
      </c>
      <c r="N119" t="s">
        <v>684</v>
      </c>
      <c r="O119" t="s">
        <v>685</v>
      </c>
    </row>
    <row r="120" spans="1:15" ht="15">
      <c r="A120" s="11"/>
      <c r="B120" t="s">
        <v>686</v>
      </c>
      <c r="C120" t="s">
        <v>942</v>
      </c>
      <c r="D120" t="s">
        <v>688</v>
      </c>
      <c r="E120" t="s">
        <v>943</v>
      </c>
      <c r="G120" t="s">
        <v>944</v>
      </c>
      <c r="H120" t="s">
        <v>688</v>
      </c>
      <c r="I120" t="s">
        <v>945</v>
      </c>
      <c r="J120" t="s">
        <v>688</v>
      </c>
      <c r="K120" t="s">
        <v>688</v>
      </c>
      <c r="L120" t="s">
        <v>946</v>
      </c>
      <c r="M120" t="s">
        <v>688</v>
      </c>
      <c r="O120" t="s">
        <v>947</v>
      </c>
    </row>
    <row r="121" spans="1:15" ht="15">
      <c r="A121" s="9">
        <v>61</v>
      </c>
      <c r="B121" t="str">
        <f ca="1">IFERROR(__xludf.DUMMYFUNCTION((TRANSPOSE(ImportHTML("http://spending.data.al/sq/moneypower/view/id/61/year/2014",  "table", 0)))),"Loading...")</f>
        <v>Loading...</v>
      </c>
    </row>
    <row r="122" spans="1:15" ht="15">
      <c r="A122" s="9">
        <v>62</v>
      </c>
      <c r="B122" t="str">
        <f ca="1">IFERROR(__xludf.DUMMYFUNCTION((TRANSPOSE(ImportHTML("http://spending.data.al/sq/moneypower/view/id/62/year/2014",  "table", 0)))),"Loading...")</f>
        <v>Loading...</v>
      </c>
    </row>
    <row r="123" spans="1:15" ht="15">
      <c r="A123" s="9">
        <v>63</v>
      </c>
      <c r="B123" t="str">
        <f ca="1">IFERROR(__xludf.DUMMYFUNCTION((TRANSPOSE(ImportHTML("http://spending.data.al/sq/moneypower/view/id/63/year/2014",  "table", 0)))),"Loading...")</f>
        <v>Loading...</v>
      </c>
    </row>
    <row r="124" spans="1:15" ht="15">
      <c r="A124" s="9">
        <v>64</v>
      </c>
      <c r="B124" t="str">
        <f ca="1">IFERROR(__xludf.DUMMYFUNCTION((TRANSPOSE(ImportHTML("http://spending.data.al/sq/moneypower/view/id/64/year/2014",  "table", 0)))),"Loading...")</f>
        <v>Loading...</v>
      </c>
    </row>
    <row r="125" spans="1:15" ht="15">
      <c r="A125" s="9">
        <v>65</v>
      </c>
      <c r="B125" t="str">
        <f ca="1">IFERROR(__xludf.DUMMYFUNCTION((TRANSPOSE(ImportHTML("http://spending.data.al/sq/moneypower/view/id/65/year/2014",  "table", 0)))),"Loading...")</f>
        <v>Loading...</v>
      </c>
    </row>
    <row r="126" spans="1:15" ht="15">
      <c r="A126" s="9">
        <v>66</v>
      </c>
      <c r="B126" t="str">
        <f ca="1">IFERROR(__xludf.DUMMYFUNCTION((TRANSPOSE(ImportHTML("http://spending.data.al/sq/moneypower/view/id/66/year/2014",  "table", 0)))),"Loading...")</f>
        <v>Loading...</v>
      </c>
    </row>
    <row r="127" spans="1:15" ht="15">
      <c r="A127" s="9">
        <v>67</v>
      </c>
      <c r="B127" t="str">
        <f ca="1">IFERROR(__xludf.DUMMYFUNCTION((TRANSPOSE(ImportHTML("http://spending.data.al/sq/moneypower/view/id/67/year/2014",  "table", 0)))),"Loading...")</f>
        <v>Loading...</v>
      </c>
    </row>
    <row r="128" spans="1:15" ht="15">
      <c r="A128" s="9">
        <v>68</v>
      </c>
      <c r="B128" t="str">
        <f ca="1">IFERROR(__xludf.DUMMYFUNCTION((TRANSPOSE(ImportHTML("http://spending.data.al/sq/moneypower/view/id/68/year/2014",  "table", 0)))),"Loading...")</f>
        <v>Loading...</v>
      </c>
    </row>
    <row r="129" spans="1:15" ht="15">
      <c r="A129" s="9">
        <v>69</v>
      </c>
      <c r="B129" t="str">
        <f ca="1">IFERROR(__xludf.DUMMYFUNCTION((TRANSPOSE(ImportHTML("http://spending.data.al/sq/moneypower/view/id/69/year/2014",  "table", 0)))),"*Kategoria*")</f>
        <v>*Kategoria*</v>
      </c>
      <c r="C129" t="s">
        <v>673</v>
      </c>
      <c r="D129" t="s">
        <v>674</v>
      </c>
      <c r="E129" t="s">
        <v>675</v>
      </c>
      <c r="F129" t="s">
        <v>676</v>
      </c>
      <c r="G129" t="s">
        <v>677</v>
      </c>
      <c r="H129" t="s">
        <v>678</v>
      </c>
      <c r="I129" t="s">
        <v>679</v>
      </c>
      <c r="J129" t="s">
        <v>680</v>
      </c>
      <c r="K129" t="s">
        <v>681</v>
      </c>
      <c r="L129" t="s">
        <v>682</v>
      </c>
      <c r="M129" t="s">
        <v>683</v>
      </c>
      <c r="N129" t="s">
        <v>684</v>
      </c>
      <c r="O129" t="s">
        <v>685</v>
      </c>
    </row>
    <row r="130" spans="1:15" ht="15">
      <c r="A130" s="11"/>
      <c r="B130" t="s">
        <v>686</v>
      </c>
      <c r="C130" t="s">
        <v>971</v>
      </c>
      <c r="D130" t="s">
        <v>688</v>
      </c>
      <c r="E130" t="s">
        <v>972</v>
      </c>
      <c r="F130" t="s">
        <v>688</v>
      </c>
      <c r="G130" t="s">
        <v>688</v>
      </c>
      <c r="H130" t="s">
        <v>688</v>
      </c>
      <c r="I130" t="s">
        <v>688</v>
      </c>
      <c r="J130" t="s">
        <v>688</v>
      </c>
      <c r="K130" t="s">
        <v>688</v>
      </c>
      <c r="L130" t="s">
        <v>973</v>
      </c>
      <c r="M130" t="s">
        <v>688</v>
      </c>
      <c r="O130" t="s">
        <v>974</v>
      </c>
    </row>
    <row r="131" spans="1:15" ht="15">
      <c r="A131" s="9">
        <v>70</v>
      </c>
      <c r="B131" t="str">
        <f ca="1">IFERROR(__xludf.DUMMYFUNCTION((TRANSPOSE(ImportHTML("http://spending.data.al/sq/moneypower/view/id/70/year/2014",  "table", 0)))),"*Kategoria*")</f>
        <v>*Kategoria*</v>
      </c>
      <c r="C131" t="s">
        <v>673</v>
      </c>
      <c r="D131" t="s">
        <v>674</v>
      </c>
      <c r="E131" t="s">
        <v>675</v>
      </c>
      <c r="F131" t="s">
        <v>676</v>
      </c>
      <c r="G131" t="s">
        <v>677</v>
      </c>
      <c r="H131" t="s">
        <v>678</v>
      </c>
      <c r="I131" t="s">
        <v>679</v>
      </c>
      <c r="J131" t="s">
        <v>680</v>
      </c>
      <c r="K131" t="s">
        <v>681</v>
      </c>
      <c r="L131" t="s">
        <v>682</v>
      </c>
      <c r="M131" t="s">
        <v>683</v>
      </c>
      <c r="N131" t="s">
        <v>684</v>
      </c>
      <c r="O131" t="s">
        <v>685</v>
      </c>
    </row>
    <row r="132" spans="1:15" ht="15">
      <c r="A132" s="11"/>
      <c r="B132" t="s">
        <v>686</v>
      </c>
      <c r="C132" t="s">
        <v>975</v>
      </c>
      <c r="D132" t="s">
        <v>976</v>
      </c>
      <c r="E132" t="s">
        <v>972</v>
      </c>
      <c r="F132" t="s">
        <v>977</v>
      </c>
      <c r="G132" t="s">
        <v>688</v>
      </c>
      <c r="H132" t="s">
        <v>688</v>
      </c>
      <c r="I132" t="s">
        <v>688</v>
      </c>
      <c r="J132" t="s">
        <v>688</v>
      </c>
      <c r="K132" t="s">
        <v>688</v>
      </c>
      <c r="L132" t="s">
        <v>978</v>
      </c>
      <c r="M132" t="s">
        <v>688</v>
      </c>
      <c r="O132" t="s">
        <v>979</v>
      </c>
    </row>
    <row r="133" spans="1:15" ht="15">
      <c r="A133" s="9">
        <v>71</v>
      </c>
      <c r="B133" t="str">
        <f ca="1">IFERROR(__xludf.DUMMYFUNCTION((TRANSPOSE(ImportHTML("http://spending.data.al/sq/moneypower/view/id/71/year/2014",  "table", 0)))),"Loading...")</f>
        <v>Loading...</v>
      </c>
    </row>
    <row r="134" spans="1:15" ht="15">
      <c r="A134" s="9">
        <v>72</v>
      </c>
      <c r="B134" t="str">
        <f ca="1">IFERROR(__xludf.DUMMYFUNCTION((TRANSPOSE(ImportHTML("http://spending.data.al/sq/moneypower/view/id/72/year/2014",  "table", 0)))),"Loading...")</f>
        <v>Loading...</v>
      </c>
    </row>
    <row r="135" spans="1:15" ht="15">
      <c r="A135" s="9">
        <v>73</v>
      </c>
      <c r="B135" t="str">
        <f ca="1">IFERROR(__xludf.DUMMYFUNCTION((TRANSPOSE(ImportHTML("http://spending.data.al/sq/moneypower/view/id/73/year/2014",  "table", 0)))),"*Kategoria*")</f>
        <v>*Kategoria*</v>
      </c>
      <c r="C135" t="s">
        <v>673</v>
      </c>
      <c r="D135" t="s">
        <v>674</v>
      </c>
      <c r="E135" t="s">
        <v>675</v>
      </c>
      <c r="F135" t="s">
        <v>676</v>
      </c>
      <c r="G135" t="s">
        <v>677</v>
      </c>
      <c r="H135" t="s">
        <v>678</v>
      </c>
      <c r="I135" t="s">
        <v>679</v>
      </c>
      <c r="J135" t="s">
        <v>680</v>
      </c>
      <c r="K135" t="s">
        <v>681</v>
      </c>
      <c r="L135" t="s">
        <v>682</v>
      </c>
      <c r="M135" t="s">
        <v>683</v>
      </c>
      <c r="N135" t="s">
        <v>684</v>
      </c>
      <c r="O135" t="s">
        <v>685</v>
      </c>
    </row>
    <row r="136" spans="1:15" ht="15">
      <c r="A136" s="11"/>
      <c r="B136" t="s">
        <v>686</v>
      </c>
      <c r="C136" t="s">
        <v>988</v>
      </c>
      <c r="D136" t="s">
        <v>688</v>
      </c>
      <c r="E136" t="s">
        <v>688</v>
      </c>
      <c r="F136" t="s">
        <v>989</v>
      </c>
      <c r="G136" t="s">
        <v>688</v>
      </c>
      <c r="H136" t="s">
        <v>688</v>
      </c>
      <c r="I136" t="s">
        <v>688</v>
      </c>
      <c r="J136" t="s">
        <v>688</v>
      </c>
      <c r="K136" t="s">
        <v>688</v>
      </c>
      <c r="L136" t="s">
        <v>990</v>
      </c>
      <c r="M136" t="s">
        <v>688</v>
      </c>
      <c r="O136" t="s">
        <v>991</v>
      </c>
    </row>
    <row r="137" spans="1:15" ht="15">
      <c r="A137" s="9">
        <v>74</v>
      </c>
      <c r="B137" t="str">
        <f ca="1">IFERROR(__xludf.DUMMYFUNCTION((TRANSPOSE(ImportHTML("http://spending.data.al/sq/moneypower/view/id/74/year/2014",  "table", 0)))),"*Kategoria*")</f>
        <v>*Kategoria*</v>
      </c>
      <c r="C137" t="s">
        <v>673</v>
      </c>
      <c r="D137" t="s">
        <v>674</v>
      </c>
      <c r="E137" t="s">
        <v>675</v>
      </c>
      <c r="F137" t="s">
        <v>676</v>
      </c>
      <c r="G137" t="s">
        <v>677</v>
      </c>
      <c r="H137" t="s">
        <v>678</v>
      </c>
      <c r="I137" t="s">
        <v>679</v>
      </c>
      <c r="J137" t="s">
        <v>680</v>
      </c>
      <c r="K137" t="s">
        <v>681</v>
      </c>
      <c r="L137" t="s">
        <v>682</v>
      </c>
      <c r="M137" t="s">
        <v>683</v>
      </c>
      <c r="N137" t="s">
        <v>684</v>
      </c>
      <c r="O137" t="s">
        <v>685</v>
      </c>
    </row>
    <row r="138" spans="1:15" ht="15">
      <c r="A138" s="11"/>
      <c r="B138" t="s">
        <v>686</v>
      </c>
      <c r="C138" t="s">
        <v>992</v>
      </c>
      <c r="D138" t="s">
        <v>688</v>
      </c>
      <c r="E138" t="s">
        <v>688</v>
      </c>
      <c r="F138" t="s">
        <v>993</v>
      </c>
      <c r="G138" t="s">
        <v>994</v>
      </c>
      <c r="H138" t="s">
        <v>688</v>
      </c>
      <c r="I138" t="s">
        <v>688</v>
      </c>
      <c r="J138" t="s">
        <v>688</v>
      </c>
      <c r="K138" t="s">
        <v>688</v>
      </c>
      <c r="L138" t="s">
        <v>995</v>
      </c>
      <c r="M138" t="s">
        <v>688</v>
      </c>
      <c r="O138" t="s">
        <v>996</v>
      </c>
    </row>
    <row r="139" spans="1:15" ht="15">
      <c r="A139" s="9">
        <v>75</v>
      </c>
      <c r="B139" t="str">
        <f ca="1">IFERROR(__xludf.DUMMYFUNCTION((TRANSPOSE(ImportHTML("http://spending.data.al/sq/moneypower/view/id/75/year/2014",  "table", 0)))),"*Kategoria*")</f>
        <v>*Kategoria*</v>
      </c>
      <c r="C139" t="s">
        <v>673</v>
      </c>
      <c r="D139" t="s">
        <v>674</v>
      </c>
      <c r="E139" t="s">
        <v>675</v>
      </c>
      <c r="F139" t="s">
        <v>676</v>
      </c>
      <c r="G139" t="s">
        <v>677</v>
      </c>
      <c r="H139" t="s">
        <v>678</v>
      </c>
      <c r="I139" t="s">
        <v>679</v>
      </c>
      <c r="J139" t="s">
        <v>680</v>
      </c>
      <c r="K139" t="s">
        <v>681</v>
      </c>
      <c r="L139" t="s">
        <v>682</v>
      </c>
      <c r="M139" t="s">
        <v>683</v>
      </c>
      <c r="N139" t="s">
        <v>684</v>
      </c>
      <c r="O139" t="s">
        <v>685</v>
      </c>
    </row>
    <row r="140" spans="1:15" ht="15">
      <c r="A140" s="11"/>
      <c r="B140" t="s">
        <v>686</v>
      </c>
      <c r="C140" t="s">
        <v>992</v>
      </c>
      <c r="D140" t="s">
        <v>688</v>
      </c>
      <c r="E140" t="s">
        <v>688</v>
      </c>
      <c r="F140" t="s">
        <v>688</v>
      </c>
      <c r="G140" t="s">
        <v>688</v>
      </c>
      <c r="H140" t="s">
        <v>688</v>
      </c>
      <c r="I140" t="s">
        <v>688</v>
      </c>
      <c r="J140" t="s">
        <v>688</v>
      </c>
      <c r="K140" t="s">
        <v>688</v>
      </c>
      <c r="L140" t="s">
        <v>688</v>
      </c>
      <c r="M140" t="s">
        <v>688</v>
      </c>
      <c r="O140" t="s">
        <v>997</v>
      </c>
    </row>
    <row r="141" spans="1:15" ht="15">
      <c r="A141" s="9">
        <v>76</v>
      </c>
      <c r="B141" t="str">
        <f ca="1">IFERROR(__xludf.DUMMYFUNCTION((TRANSPOSE(ImportHTML("http://spending.data.al/sq/moneypower/view/id/76/year/2014",  "table", 0)))),"*Kategoria*")</f>
        <v>*Kategoria*</v>
      </c>
      <c r="C141" t="s">
        <v>673</v>
      </c>
      <c r="D141" t="s">
        <v>674</v>
      </c>
      <c r="E141" t="s">
        <v>675</v>
      </c>
      <c r="F141" t="s">
        <v>676</v>
      </c>
      <c r="G141" t="s">
        <v>677</v>
      </c>
      <c r="H141" t="s">
        <v>678</v>
      </c>
      <c r="I141" t="s">
        <v>679</v>
      </c>
      <c r="J141" t="s">
        <v>680</v>
      </c>
      <c r="K141" t="s">
        <v>681</v>
      </c>
      <c r="L141" t="s">
        <v>682</v>
      </c>
      <c r="M141" t="s">
        <v>683</v>
      </c>
      <c r="N141" t="s">
        <v>684</v>
      </c>
      <c r="O141" t="s">
        <v>685</v>
      </c>
    </row>
    <row r="142" spans="1:15" ht="15">
      <c r="A142" s="11"/>
      <c r="B142" t="s">
        <v>686</v>
      </c>
      <c r="C142" t="s">
        <v>998</v>
      </c>
      <c r="D142" t="s">
        <v>688</v>
      </c>
      <c r="E142" t="s">
        <v>688</v>
      </c>
      <c r="F142" t="s">
        <v>688</v>
      </c>
      <c r="G142" t="s">
        <v>688</v>
      </c>
      <c r="H142" t="s">
        <v>688</v>
      </c>
      <c r="I142" t="s">
        <v>688</v>
      </c>
      <c r="J142" t="s">
        <v>688</v>
      </c>
      <c r="K142" t="s">
        <v>688</v>
      </c>
      <c r="L142" t="s">
        <v>999</v>
      </c>
      <c r="M142" t="s">
        <v>688</v>
      </c>
      <c r="O142" t="s">
        <v>1000</v>
      </c>
    </row>
    <row r="143" spans="1:15" ht="15">
      <c r="A143" s="9">
        <v>77</v>
      </c>
      <c r="B143" t="str">
        <f ca="1">IFERROR(__xludf.DUMMYFUNCTION((TRANSPOSE(ImportHTML("http://spending.data.al/sq/moneypower/view/id/77/year/2014",  "table", 0)))),"*Kategoria*")</f>
        <v>*Kategoria*</v>
      </c>
      <c r="C143" t="s">
        <v>673</v>
      </c>
      <c r="D143" t="s">
        <v>674</v>
      </c>
      <c r="E143" t="s">
        <v>675</v>
      </c>
      <c r="F143" t="s">
        <v>676</v>
      </c>
      <c r="G143" t="s">
        <v>677</v>
      </c>
      <c r="H143" t="s">
        <v>678</v>
      </c>
      <c r="I143" t="s">
        <v>679</v>
      </c>
      <c r="J143" t="s">
        <v>680</v>
      </c>
      <c r="K143" t="s">
        <v>681</v>
      </c>
      <c r="L143" t="s">
        <v>682</v>
      </c>
      <c r="M143" t="s">
        <v>683</v>
      </c>
      <c r="N143" t="s">
        <v>684</v>
      </c>
      <c r="O143" t="s">
        <v>685</v>
      </c>
    </row>
    <row r="144" spans="1:15" ht="15">
      <c r="A144" s="11"/>
      <c r="B144" t="s">
        <v>686</v>
      </c>
      <c r="C144" t="s">
        <v>1001</v>
      </c>
      <c r="D144" t="s">
        <v>1002</v>
      </c>
      <c r="E144" t="s">
        <v>1003</v>
      </c>
      <c r="F144" t="s">
        <v>688</v>
      </c>
      <c r="G144" t="s">
        <v>1004</v>
      </c>
      <c r="H144" t="s">
        <v>688</v>
      </c>
      <c r="I144" t="s">
        <v>688</v>
      </c>
      <c r="J144" t="s">
        <v>688</v>
      </c>
      <c r="K144" t="s">
        <v>688</v>
      </c>
      <c r="L144" t="s">
        <v>688</v>
      </c>
      <c r="M144" t="s">
        <v>688</v>
      </c>
      <c r="O144" t="s">
        <v>1005</v>
      </c>
    </row>
    <row r="145" spans="1:15" ht="15">
      <c r="A145" s="9">
        <v>78</v>
      </c>
      <c r="B145" t="str">
        <f ca="1">IFERROR(__xludf.DUMMYFUNCTION((TRANSPOSE(ImportHTML("http://spending.data.al/sq/moneypower/view/id/78/year/2014",  "table", 0)))),"*Kategoria*")</f>
        <v>*Kategoria*</v>
      </c>
      <c r="C145" t="s">
        <v>673</v>
      </c>
      <c r="D145" t="s">
        <v>674</v>
      </c>
      <c r="E145" t="s">
        <v>675</v>
      </c>
      <c r="F145" t="s">
        <v>676</v>
      </c>
      <c r="G145" t="s">
        <v>677</v>
      </c>
      <c r="H145" t="s">
        <v>678</v>
      </c>
      <c r="I145" t="s">
        <v>679</v>
      </c>
      <c r="J145" t="s">
        <v>680</v>
      </c>
      <c r="K145" t="s">
        <v>681</v>
      </c>
      <c r="L145" t="s">
        <v>682</v>
      </c>
      <c r="M145" t="s">
        <v>683</v>
      </c>
      <c r="N145" t="s">
        <v>684</v>
      </c>
      <c r="O145" t="s">
        <v>685</v>
      </c>
    </row>
    <row r="146" spans="1:15" ht="15">
      <c r="A146" s="11"/>
      <c r="B146" t="s">
        <v>686</v>
      </c>
      <c r="C146" t="s">
        <v>1006</v>
      </c>
      <c r="D146" t="s">
        <v>688</v>
      </c>
      <c r="E146" t="s">
        <v>688</v>
      </c>
      <c r="F146" t="s">
        <v>1007</v>
      </c>
      <c r="G146" t="s">
        <v>1008</v>
      </c>
      <c r="H146" t="s">
        <v>688</v>
      </c>
      <c r="I146" t="s">
        <v>688</v>
      </c>
      <c r="J146" t="s">
        <v>688</v>
      </c>
      <c r="K146" t="s">
        <v>688</v>
      </c>
      <c r="L146" t="s">
        <v>1009</v>
      </c>
      <c r="M146" t="s">
        <v>688</v>
      </c>
      <c r="O146" t="s">
        <v>1010</v>
      </c>
    </row>
    <row r="147" spans="1:15" ht="15">
      <c r="A147" s="9">
        <v>79</v>
      </c>
      <c r="B147" t="str">
        <f ca="1">IFERROR(__xludf.DUMMYFUNCTION((TRANSPOSE(ImportHTML("http://spending.data.al/sq/moneypower/view/id/79/year/2014",  "table", 0)))),"*Kategoria*")</f>
        <v>*Kategoria*</v>
      </c>
      <c r="C147" t="s">
        <v>673</v>
      </c>
      <c r="D147" t="s">
        <v>674</v>
      </c>
      <c r="E147" t="s">
        <v>675</v>
      </c>
      <c r="F147" t="s">
        <v>676</v>
      </c>
      <c r="G147" t="s">
        <v>677</v>
      </c>
      <c r="H147" t="s">
        <v>678</v>
      </c>
      <c r="I147" t="s">
        <v>679</v>
      </c>
      <c r="J147" t="s">
        <v>680</v>
      </c>
      <c r="K147" t="s">
        <v>681</v>
      </c>
      <c r="L147" t="s">
        <v>682</v>
      </c>
      <c r="M147" t="s">
        <v>683</v>
      </c>
      <c r="N147" t="s">
        <v>684</v>
      </c>
      <c r="O147" t="s">
        <v>685</v>
      </c>
    </row>
    <row r="148" spans="1:15" ht="15">
      <c r="A148" s="11"/>
      <c r="B148" t="s">
        <v>686</v>
      </c>
      <c r="C148" t="s">
        <v>1011</v>
      </c>
      <c r="D148" t="s">
        <v>688</v>
      </c>
      <c r="E148" t="s">
        <v>688</v>
      </c>
      <c r="F148" t="s">
        <v>1012</v>
      </c>
      <c r="G148" t="s">
        <v>1013</v>
      </c>
      <c r="H148" t="s">
        <v>688</v>
      </c>
      <c r="I148" t="s">
        <v>688</v>
      </c>
      <c r="J148" t="s">
        <v>688</v>
      </c>
      <c r="K148" t="s">
        <v>688</v>
      </c>
      <c r="L148" t="s">
        <v>1014</v>
      </c>
      <c r="M148" t="s">
        <v>688</v>
      </c>
      <c r="O148" t="s">
        <v>1015</v>
      </c>
    </row>
    <row r="149" spans="1:15" ht="15">
      <c r="A149" s="9">
        <v>80</v>
      </c>
      <c r="B149" t="str">
        <f ca="1">IFERROR(__xludf.DUMMYFUNCTION((TRANSPOSE(ImportHTML("http://spending.data.al/sq/moneypower/view/id/80/year/2014",  "table", 0)))),"*Kategoria*")</f>
        <v>*Kategoria*</v>
      </c>
      <c r="C149" t="s">
        <v>673</v>
      </c>
      <c r="D149" t="s">
        <v>674</v>
      </c>
      <c r="E149" t="s">
        <v>675</v>
      </c>
      <c r="F149" t="s">
        <v>676</v>
      </c>
      <c r="G149" t="s">
        <v>677</v>
      </c>
      <c r="H149" t="s">
        <v>678</v>
      </c>
      <c r="I149" t="s">
        <v>679</v>
      </c>
      <c r="J149" t="s">
        <v>680</v>
      </c>
      <c r="K149" t="s">
        <v>681</v>
      </c>
      <c r="L149" t="s">
        <v>682</v>
      </c>
      <c r="M149" t="s">
        <v>683</v>
      </c>
      <c r="N149" t="s">
        <v>684</v>
      </c>
      <c r="O149" t="s">
        <v>685</v>
      </c>
    </row>
    <row r="150" spans="1:15" ht="15">
      <c r="A150" s="11"/>
      <c r="B150" t="s">
        <v>686</v>
      </c>
      <c r="C150" t="s">
        <v>1016</v>
      </c>
      <c r="D150" t="s">
        <v>688</v>
      </c>
      <c r="E150" t="s">
        <v>688</v>
      </c>
      <c r="F150" t="s">
        <v>688</v>
      </c>
      <c r="G150" t="s">
        <v>688</v>
      </c>
      <c r="H150" t="s">
        <v>688</v>
      </c>
      <c r="I150" t="s">
        <v>688</v>
      </c>
      <c r="J150" t="s">
        <v>688</v>
      </c>
      <c r="K150" t="s">
        <v>688</v>
      </c>
      <c r="L150" t="s">
        <v>1017</v>
      </c>
      <c r="M150" t="s">
        <v>688</v>
      </c>
      <c r="O150" t="s">
        <v>1018</v>
      </c>
    </row>
    <row r="151" spans="1:15" ht="15">
      <c r="A151" s="9">
        <v>81</v>
      </c>
      <c r="B151" t="str">
        <f ca="1">IFERROR(__xludf.DUMMYFUNCTION((TRANSPOSE(ImportHTML("http://spending.data.al/sq/moneypower/view/id/81/year/2014",  "table", 0)))),"*Kategoria*")</f>
        <v>*Kategoria*</v>
      </c>
      <c r="C151" t="s">
        <v>673</v>
      </c>
      <c r="D151" t="s">
        <v>674</v>
      </c>
      <c r="E151" t="s">
        <v>675</v>
      </c>
      <c r="F151" t="s">
        <v>676</v>
      </c>
      <c r="G151" t="s">
        <v>677</v>
      </c>
      <c r="H151" t="s">
        <v>678</v>
      </c>
      <c r="I151" t="s">
        <v>679</v>
      </c>
      <c r="J151" t="s">
        <v>680</v>
      </c>
      <c r="K151" t="s">
        <v>681</v>
      </c>
      <c r="L151" t="s">
        <v>682</v>
      </c>
      <c r="M151" t="s">
        <v>683</v>
      </c>
      <c r="N151" t="s">
        <v>684</v>
      </c>
      <c r="O151" t="s">
        <v>685</v>
      </c>
    </row>
    <row r="152" spans="1:15" ht="15">
      <c r="A152" s="11"/>
      <c r="B152" t="s">
        <v>686</v>
      </c>
      <c r="C152" t="s">
        <v>1019</v>
      </c>
      <c r="D152" t="s">
        <v>688</v>
      </c>
      <c r="E152" t="s">
        <v>688</v>
      </c>
      <c r="F152" t="s">
        <v>688</v>
      </c>
      <c r="G152" t="s">
        <v>688</v>
      </c>
      <c r="H152" t="s">
        <v>688</v>
      </c>
      <c r="I152" t="s">
        <v>688</v>
      </c>
      <c r="J152" t="s">
        <v>688</v>
      </c>
      <c r="K152" t="s">
        <v>688</v>
      </c>
      <c r="L152" t="s">
        <v>1020</v>
      </c>
      <c r="M152" t="s">
        <v>688</v>
      </c>
      <c r="O152" t="s">
        <v>1021</v>
      </c>
    </row>
    <row r="153" spans="1:15" ht="15">
      <c r="A153" s="9">
        <v>82</v>
      </c>
      <c r="B153" t="str">
        <f ca="1">IFERROR(__xludf.DUMMYFUNCTION((TRANSPOSE(ImportHTML("http://spending.data.al/sq/moneypower/view/id/82/year/2014",  "table", 0)))),"*Kategoria*")</f>
        <v>*Kategoria*</v>
      </c>
      <c r="C153" t="s">
        <v>673</v>
      </c>
      <c r="D153" t="s">
        <v>674</v>
      </c>
      <c r="E153" t="s">
        <v>675</v>
      </c>
      <c r="F153" t="s">
        <v>676</v>
      </c>
      <c r="G153" t="s">
        <v>677</v>
      </c>
      <c r="H153" t="s">
        <v>678</v>
      </c>
      <c r="I153" t="s">
        <v>679</v>
      </c>
      <c r="J153" t="s">
        <v>680</v>
      </c>
      <c r="K153" t="s">
        <v>681</v>
      </c>
      <c r="L153" t="s">
        <v>682</v>
      </c>
      <c r="M153" t="s">
        <v>683</v>
      </c>
      <c r="N153" t="s">
        <v>684</v>
      </c>
      <c r="O153" t="s">
        <v>685</v>
      </c>
    </row>
    <row r="154" spans="1:15" ht="15">
      <c r="A154" s="11"/>
      <c r="B154" t="s">
        <v>686</v>
      </c>
      <c r="C154" t="s">
        <v>1022</v>
      </c>
      <c r="D154" t="s">
        <v>688</v>
      </c>
      <c r="E154" t="s">
        <v>688</v>
      </c>
      <c r="F154" t="s">
        <v>1023</v>
      </c>
      <c r="G154" t="s">
        <v>1024</v>
      </c>
      <c r="H154" t="s">
        <v>688</v>
      </c>
      <c r="I154" t="s">
        <v>688</v>
      </c>
      <c r="J154" t="s">
        <v>688</v>
      </c>
      <c r="K154" t="s">
        <v>688</v>
      </c>
      <c r="L154" t="s">
        <v>688</v>
      </c>
      <c r="M154" t="s">
        <v>688</v>
      </c>
      <c r="O154" t="s">
        <v>1025</v>
      </c>
    </row>
    <row r="155" spans="1:15" ht="15">
      <c r="A155" s="9">
        <v>83</v>
      </c>
      <c r="B155" t="str">
        <f ca="1">IFERROR(__xludf.DUMMYFUNCTION((TRANSPOSE(ImportHTML("http://spending.data.al/sq/moneypower/view/id/83/year/2014",  "table", 0)))),"*Kategoria*")</f>
        <v>*Kategoria*</v>
      </c>
      <c r="C155" t="s">
        <v>673</v>
      </c>
      <c r="D155" t="s">
        <v>674</v>
      </c>
      <c r="E155" t="s">
        <v>675</v>
      </c>
      <c r="F155" t="s">
        <v>676</v>
      </c>
      <c r="G155" t="s">
        <v>677</v>
      </c>
      <c r="H155" t="s">
        <v>678</v>
      </c>
      <c r="I155" t="s">
        <v>679</v>
      </c>
      <c r="J155" t="s">
        <v>680</v>
      </c>
      <c r="K155" t="s">
        <v>681</v>
      </c>
      <c r="L155" t="s">
        <v>682</v>
      </c>
      <c r="M155" t="s">
        <v>683</v>
      </c>
      <c r="N155" t="s">
        <v>684</v>
      </c>
      <c r="O155" t="s">
        <v>685</v>
      </c>
    </row>
    <row r="156" spans="1:15" ht="15">
      <c r="A156" s="11"/>
      <c r="B156" t="s">
        <v>686</v>
      </c>
      <c r="C156" t="s">
        <v>1026</v>
      </c>
      <c r="D156" t="s">
        <v>688</v>
      </c>
      <c r="E156" t="s">
        <v>688</v>
      </c>
      <c r="F156" t="s">
        <v>688</v>
      </c>
      <c r="G156" t="s">
        <v>688</v>
      </c>
      <c r="H156" t="s">
        <v>688</v>
      </c>
      <c r="I156" t="s">
        <v>688</v>
      </c>
      <c r="J156" t="s">
        <v>688</v>
      </c>
      <c r="K156" t="s">
        <v>688</v>
      </c>
      <c r="L156" t="s">
        <v>1027</v>
      </c>
      <c r="M156" t="s">
        <v>688</v>
      </c>
      <c r="O156" t="s">
        <v>1028</v>
      </c>
    </row>
    <row r="157" spans="1:15" ht="15">
      <c r="A157" s="9">
        <v>84</v>
      </c>
      <c r="B157" t="str">
        <f ca="1">IFERROR(__xludf.DUMMYFUNCTION((TRANSPOSE(ImportHTML("http://spending.data.al/sq/moneypower/view/id/84/year/2014",  "table", 0)))),"*Kategoria*")</f>
        <v>*Kategoria*</v>
      </c>
      <c r="C157" t="s">
        <v>673</v>
      </c>
      <c r="D157" t="s">
        <v>674</v>
      </c>
      <c r="E157" t="s">
        <v>675</v>
      </c>
      <c r="F157" t="s">
        <v>676</v>
      </c>
      <c r="G157" t="s">
        <v>677</v>
      </c>
      <c r="H157" t="s">
        <v>678</v>
      </c>
      <c r="I157" t="s">
        <v>679</v>
      </c>
      <c r="J157" t="s">
        <v>680</v>
      </c>
      <c r="K157" t="s">
        <v>681</v>
      </c>
      <c r="L157" t="s">
        <v>682</v>
      </c>
      <c r="M157" t="s">
        <v>683</v>
      </c>
      <c r="N157" t="s">
        <v>684</v>
      </c>
      <c r="O157" t="s">
        <v>685</v>
      </c>
    </row>
    <row r="158" spans="1:15" ht="15">
      <c r="A158" s="11"/>
      <c r="B158" t="s">
        <v>686</v>
      </c>
      <c r="C158" t="s">
        <v>1029</v>
      </c>
      <c r="D158" t="s">
        <v>688</v>
      </c>
      <c r="E158" t="s">
        <v>688</v>
      </c>
      <c r="F158" t="s">
        <v>1030</v>
      </c>
      <c r="G158" t="s">
        <v>688</v>
      </c>
      <c r="H158" t="s">
        <v>688</v>
      </c>
      <c r="I158" t="s">
        <v>688</v>
      </c>
      <c r="J158" t="s">
        <v>688</v>
      </c>
      <c r="K158" t="s">
        <v>688</v>
      </c>
      <c r="L158" t="s">
        <v>1031</v>
      </c>
      <c r="M158" t="s">
        <v>688</v>
      </c>
      <c r="O158" t="s">
        <v>1032</v>
      </c>
    </row>
    <row r="159" spans="1:15" ht="15">
      <c r="A159" s="9">
        <v>85</v>
      </c>
      <c r="B159" t="str">
        <f ca="1">IFERROR(__xludf.DUMMYFUNCTION((TRANSPOSE(ImportHTML("http://spending.data.al/sq/moneypower/view/id/85/year/2014",  "table", 0)))),"*Kategoria*")</f>
        <v>*Kategoria*</v>
      </c>
      <c r="C159" t="s">
        <v>673</v>
      </c>
      <c r="D159" t="s">
        <v>674</v>
      </c>
      <c r="E159" t="s">
        <v>675</v>
      </c>
      <c r="F159" t="s">
        <v>676</v>
      </c>
      <c r="G159" t="s">
        <v>677</v>
      </c>
      <c r="H159" t="s">
        <v>678</v>
      </c>
      <c r="I159" t="s">
        <v>679</v>
      </c>
      <c r="J159" t="s">
        <v>680</v>
      </c>
      <c r="K159" t="s">
        <v>681</v>
      </c>
      <c r="L159" t="s">
        <v>682</v>
      </c>
      <c r="M159" t="s">
        <v>683</v>
      </c>
      <c r="N159" t="s">
        <v>684</v>
      </c>
      <c r="O159" t="s">
        <v>685</v>
      </c>
    </row>
    <row r="160" spans="1:15" ht="15">
      <c r="A160" s="11"/>
      <c r="B160" t="s">
        <v>686</v>
      </c>
      <c r="C160" t="s">
        <v>1033</v>
      </c>
      <c r="D160" t="s">
        <v>688</v>
      </c>
      <c r="E160" t="s">
        <v>688</v>
      </c>
      <c r="F160" t="s">
        <v>688</v>
      </c>
      <c r="G160" t="s">
        <v>688</v>
      </c>
      <c r="H160" t="s">
        <v>688</v>
      </c>
      <c r="I160" t="s">
        <v>688</v>
      </c>
      <c r="J160" t="s">
        <v>688</v>
      </c>
      <c r="K160" t="s">
        <v>688</v>
      </c>
      <c r="L160" t="s">
        <v>1034</v>
      </c>
      <c r="M160" t="s">
        <v>688</v>
      </c>
    </row>
    <row r="161" spans="1:15" ht="15">
      <c r="A161" s="9">
        <v>86</v>
      </c>
      <c r="B161" t="str">
        <f ca="1">IFERROR(__xludf.DUMMYFUNCTION((TRANSPOSE(ImportHTML("http://spending.data.al/sq/moneypower/view/id/86/year/2014",  "table", 0)))),"*Kategoria*")</f>
        <v>*Kategoria*</v>
      </c>
      <c r="C161" t="s">
        <v>673</v>
      </c>
      <c r="D161" t="s">
        <v>674</v>
      </c>
      <c r="E161" t="s">
        <v>675</v>
      </c>
      <c r="F161" t="s">
        <v>676</v>
      </c>
      <c r="G161" t="s">
        <v>677</v>
      </c>
      <c r="H161" t="s">
        <v>678</v>
      </c>
      <c r="I161" t="s">
        <v>679</v>
      </c>
      <c r="J161" t="s">
        <v>680</v>
      </c>
      <c r="K161" t="s">
        <v>681</v>
      </c>
      <c r="L161" t="s">
        <v>682</v>
      </c>
      <c r="M161" t="s">
        <v>683</v>
      </c>
      <c r="N161" t="s">
        <v>684</v>
      </c>
      <c r="O161" t="s">
        <v>685</v>
      </c>
    </row>
    <row r="162" spans="1:15" ht="15">
      <c r="A162" s="11"/>
      <c r="B162" t="s">
        <v>686</v>
      </c>
      <c r="C162" t="s">
        <v>1035</v>
      </c>
      <c r="D162" t="s">
        <v>688</v>
      </c>
      <c r="E162" t="s">
        <v>688</v>
      </c>
      <c r="F162" t="s">
        <v>1036</v>
      </c>
      <c r="G162" t="s">
        <v>688</v>
      </c>
      <c r="H162" t="s">
        <v>688</v>
      </c>
      <c r="I162" t="s">
        <v>688</v>
      </c>
      <c r="J162" t="s">
        <v>688</v>
      </c>
      <c r="K162" t="s">
        <v>688</v>
      </c>
      <c r="L162" t="s">
        <v>1037</v>
      </c>
      <c r="M162" t="s">
        <v>688</v>
      </c>
      <c r="O162" t="s">
        <v>1038</v>
      </c>
    </row>
    <row r="163" spans="1:15" ht="15">
      <c r="A163" s="9">
        <v>87</v>
      </c>
      <c r="B163" t="str">
        <f ca="1">IFERROR(__xludf.DUMMYFUNCTION((TRANSPOSE(ImportHTML("http://spending.data.al/sq/moneypower/view/id/87/year/2014",  "table", 0)))),"*Kategoria*")</f>
        <v>*Kategoria*</v>
      </c>
      <c r="C163" t="s">
        <v>673</v>
      </c>
      <c r="D163" t="s">
        <v>674</v>
      </c>
      <c r="E163" t="s">
        <v>675</v>
      </c>
      <c r="F163" t="s">
        <v>676</v>
      </c>
      <c r="G163" t="s">
        <v>677</v>
      </c>
      <c r="H163" t="s">
        <v>678</v>
      </c>
      <c r="I163" t="s">
        <v>679</v>
      </c>
      <c r="J163" t="s">
        <v>680</v>
      </c>
      <c r="K163" t="s">
        <v>681</v>
      </c>
      <c r="L163" t="s">
        <v>682</v>
      </c>
      <c r="M163" t="s">
        <v>683</v>
      </c>
      <c r="N163" t="s">
        <v>684</v>
      </c>
      <c r="O163" t="s">
        <v>685</v>
      </c>
    </row>
    <row r="164" spans="1:15" ht="15">
      <c r="A164" s="11"/>
      <c r="B164" t="s">
        <v>686</v>
      </c>
      <c r="C164" t="s">
        <v>1039</v>
      </c>
      <c r="D164" t="s">
        <v>688</v>
      </c>
      <c r="E164" t="s">
        <v>688</v>
      </c>
      <c r="F164" t="s">
        <v>688</v>
      </c>
      <c r="G164" t="s">
        <v>1040</v>
      </c>
      <c r="H164" t="s">
        <v>688</v>
      </c>
      <c r="I164" t="s">
        <v>688</v>
      </c>
      <c r="J164" t="s">
        <v>688</v>
      </c>
      <c r="K164" t="s">
        <v>688</v>
      </c>
      <c r="L164" t="s">
        <v>1041</v>
      </c>
      <c r="M164" t="s">
        <v>1042</v>
      </c>
      <c r="O164" t="s">
        <v>1043</v>
      </c>
    </row>
    <row r="165" spans="1:15" ht="15">
      <c r="A165" s="9">
        <v>88</v>
      </c>
      <c r="B165" t="str">
        <f ca="1">IFERROR(__xludf.DUMMYFUNCTION((TRANSPOSE(ImportHTML("http://spending.data.al/sq/moneypower/view/id/88/year/2014",  "table", 0)))),"*Kategoria*")</f>
        <v>*Kategoria*</v>
      </c>
      <c r="C165" t="s">
        <v>673</v>
      </c>
      <c r="D165" t="s">
        <v>674</v>
      </c>
      <c r="E165" t="s">
        <v>675</v>
      </c>
      <c r="F165" t="s">
        <v>676</v>
      </c>
      <c r="G165" t="s">
        <v>677</v>
      </c>
      <c r="H165" t="s">
        <v>678</v>
      </c>
      <c r="I165" t="s">
        <v>679</v>
      </c>
      <c r="J165" t="s">
        <v>680</v>
      </c>
      <c r="K165" t="s">
        <v>681</v>
      </c>
      <c r="L165" t="s">
        <v>682</v>
      </c>
      <c r="M165" t="s">
        <v>683</v>
      </c>
      <c r="N165" t="s">
        <v>684</v>
      </c>
      <c r="O165" t="s">
        <v>685</v>
      </c>
    </row>
    <row r="166" spans="1:15" ht="15">
      <c r="A166" s="11"/>
      <c r="B166" t="s">
        <v>686</v>
      </c>
      <c r="C166" t="s">
        <v>1044</v>
      </c>
      <c r="D166" t="s">
        <v>688</v>
      </c>
      <c r="E166" t="s">
        <v>688</v>
      </c>
      <c r="F166" t="s">
        <v>688</v>
      </c>
      <c r="G166" t="s">
        <v>688</v>
      </c>
      <c r="H166" t="s">
        <v>688</v>
      </c>
      <c r="I166" t="s">
        <v>688</v>
      </c>
      <c r="J166" t="s">
        <v>688</v>
      </c>
      <c r="K166" t="s">
        <v>688</v>
      </c>
      <c r="L166" t="s">
        <v>1045</v>
      </c>
      <c r="M166" t="s">
        <v>688</v>
      </c>
      <c r="O166" t="s">
        <v>1046</v>
      </c>
    </row>
    <row r="167" spans="1:15" ht="15">
      <c r="A167" s="9">
        <v>89</v>
      </c>
      <c r="B167" t="str">
        <f ca="1">IFERROR(__xludf.DUMMYFUNCTION((TRANSPOSE(ImportHTML("http://spending.data.al/sq/moneypower/view/id/89/year/2014",  "table", 0)))),"*Kategoria*")</f>
        <v>*Kategoria*</v>
      </c>
      <c r="C167" t="s">
        <v>673</v>
      </c>
      <c r="D167" t="s">
        <v>674</v>
      </c>
      <c r="E167" t="s">
        <v>675</v>
      </c>
      <c r="F167" t="s">
        <v>676</v>
      </c>
      <c r="G167" t="s">
        <v>677</v>
      </c>
      <c r="H167" t="s">
        <v>678</v>
      </c>
      <c r="I167" t="s">
        <v>679</v>
      </c>
      <c r="J167" t="s">
        <v>680</v>
      </c>
      <c r="K167" t="s">
        <v>681</v>
      </c>
      <c r="L167" t="s">
        <v>682</v>
      </c>
      <c r="M167" t="s">
        <v>683</v>
      </c>
      <c r="N167" t="s">
        <v>684</v>
      </c>
      <c r="O167" t="s">
        <v>685</v>
      </c>
    </row>
    <row r="168" spans="1:15" ht="15">
      <c r="A168" s="11"/>
      <c r="B168" t="s">
        <v>686</v>
      </c>
      <c r="C168" t="s">
        <v>1047</v>
      </c>
      <c r="D168" t="s">
        <v>688</v>
      </c>
      <c r="E168" t="s">
        <v>688</v>
      </c>
      <c r="F168" t="s">
        <v>1048</v>
      </c>
      <c r="G168" t="s">
        <v>1049</v>
      </c>
      <c r="H168" t="s">
        <v>688</v>
      </c>
      <c r="I168" t="s">
        <v>688</v>
      </c>
      <c r="J168" t="s">
        <v>1050</v>
      </c>
      <c r="K168" t="s">
        <v>688</v>
      </c>
      <c r="L168" t="s">
        <v>1051</v>
      </c>
      <c r="O168" t="s">
        <v>1052</v>
      </c>
    </row>
    <row r="169" spans="1:15" ht="15">
      <c r="A169" s="9">
        <v>90</v>
      </c>
      <c r="B169" t="str">
        <f ca="1">IFERROR(__xludf.DUMMYFUNCTION((TRANSPOSE(ImportHTML("http://spending.data.al/sq/moneypower/view/id/90/year/2014",  "table", 0)))),"*Kategoria*")</f>
        <v>*Kategoria*</v>
      </c>
      <c r="C169" t="s">
        <v>673</v>
      </c>
      <c r="D169" t="s">
        <v>674</v>
      </c>
      <c r="E169" t="s">
        <v>675</v>
      </c>
      <c r="F169" t="s">
        <v>676</v>
      </c>
      <c r="G169" t="s">
        <v>677</v>
      </c>
      <c r="H169" t="s">
        <v>678</v>
      </c>
      <c r="I169" t="s">
        <v>679</v>
      </c>
      <c r="J169" t="s">
        <v>680</v>
      </c>
      <c r="K169" t="s">
        <v>681</v>
      </c>
      <c r="L169" t="s">
        <v>682</v>
      </c>
      <c r="M169" t="s">
        <v>683</v>
      </c>
      <c r="N169" t="s">
        <v>684</v>
      </c>
      <c r="O169" t="s">
        <v>685</v>
      </c>
    </row>
    <row r="170" spans="1:15" ht="15">
      <c r="A170" s="11"/>
      <c r="B170" t="s">
        <v>686</v>
      </c>
      <c r="C170" t="s">
        <v>1053</v>
      </c>
      <c r="D170" t="s">
        <v>688</v>
      </c>
      <c r="E170" t="s">
        <v>688</v>
      </c>
      <c r="F170" t="s">
        <v>688</v>
      </c>
      <c r="G170" t="s">
        <v>1054</v>
      </c>
      <c r="H170" t="s">
        <v>688</v>
      </c>
      <c r="I170" t="s">
        <v>688</v>
      </c>
      <c r="J170" t="s">
        <v>688</v>
      </c>
      <c r="K170" t="s">
        <v>688</v>
      </c>
      <c r="L170" t="s">
        <v>1055</v>
      </c>
      <c r="M170" t="s">
        <v>688</v>
      </c>
      <c r="O170" t="s">
        <v>1056</v>
      </c>
    </row>
    <row r="171" spans="1:15" ht="15">
      <c r="A171" s="9">
        <v>91</v>
      </c>
      <c r="B171" t="str">
        <f ca="1">IFERROR(__xludf.DUMMYFUNCTION((TRANSPOSE(ImportHTML("http://spending.data.al/sq/moneypower/view/id/91/year/2014",  "table", 0)))),"*Emër Subjekti*")</f>
        <v>*Emër Subjekti*</v>
      </c>
      <c r="C171" t="s">
        <v>698</v>
      </c>
      <c r="D171" t="s">
        <v>699</v>
      </c>
      <c r="E171" t="s">
        <v>700</v>
      </c>
      <c r="F171" t="s">
        <v>701</v>
      </c>
      <c r="G171" t="s">
        <v>702</v>
      </c>
    </row>
    <row r="172" spans="1:15" ht="15">
      <c r="A172" s="11"/>
      <c r="B172" t="s">
        <v>2109</v>
      </c>
      <c r="C172" t="s">
        <v>2110</v>
      </c>
      <c r="D172" s="12">
        <v>41556</v>
      </c>
      <c r="E172" t="s">
        <v>707</v>
      </c>
      <c r="F172" t="s">
        <v>2111</v>
      </c>
      <c r="G172" t="s">
        <v>2112</v>
      </c>
    </row>
    <row r="173" spans="1:15" ht="15">
      <c r="A173" s="9">
        <v>92</v>
      </c>
      <c r="B173" t="str">
        <f ca="1">IFERROR(__xludf.DUMMYFUNCTION((TRANSPOSE(ImportHTML("http://spending.data.al/sq/moneypower/view/id/92/year/2014",  "table", 0)))),"*Emër Subjekti*")</f>
        <v>*Emër Subjekti*</v>
      </c>
      <c r="C173" t="s">
        <v>698</v>
      </c>
      <c r="D173" t="s">
        <v>699</v>
      </c>
      <c r="E173" t="s">
        <v>700</v>
      </c>
      <c r="F173" t="s">
        <v>701</v>
      </c>
      <c r="G173" t="s">
        <v>702</v>
      </c>
    </row>
    <row r="174" spans="1:15" ht="15">
      <c r="A174" s="11"/>
      <c r="B174" t="s">
        <v>2113</v>
      </c>
      <c r="C174" t="s">
        <v>2114</v>
      </c>
      <c r="D174" s="12">
        <v>41548</v>
      </c>
      <c r="E174" t="s">
        <v>707</v>
      </c>
      <c r="F174" t="s">
        <v>2115</v>
      </c>
      <c r="G174" t="s">
        <v>707</v>
      </c>
    </row>
    <row r="175" spans="1:15" ht="15">
      <c r="A175" s="9">
        <v>93</v>
      </c>
      <c r="B175" t="str">
        <f ca="1">IFERROR(__xludf.DUMMYFUNCTION((TRANSPOSE(ImportHTML("http://spending.data.al/sq/moneypower/view/id/93/year/2014",  "table", 0)))),"*Emër Subjekti*")</f>
        <v>*Emër Subjekti*</v>
      </c>
      <c r="C175" t="s">
        <v>698</v>
      </c>
      <c r="D175" t="s">
        <v>699</v>
      </c>
      <c r="E175" t="s">
        <v>700</v>
      </c>
      <c r="F175" t="s">
        <v>701</v>
      </c>
      <c r="G175" t="s">
        <v>702</v>
      </c>
    </row>
    <row r="176" spans="1:15" ht="15">
      <c r="A176" s="11"/>
      <c r="B176" t="s">
        <v>2116</v>
      </c>
      <c r="C176" t="s">
        <v>2117</v>
      </c>
      <c r="D176" s="12">
        <v>41548</v>
      </c>
      <c r="E176" t="s">
        <v>707</v>
      </c>
      <c r="F176" t="s">
        <v>2118</v>
      </c>
      <c r="G176" t="s">
        <v>707</v>
      </c>
    </row>
    <row r="177" spans="1:15" ht="15">
      <c r="A177" s="9">
        <v>94</v>
      </c>
      <c r="B177" t="str">
        <f ca="1">IFERROR(__xludf.DUMMYFUNCTION((TRANSPOSE(ImportHTML("http://spending.data.al/sq/moneypower/view/id/94/year/2014",  "table", 0)))),"*Emër Subjekti*")</f>
        <v>*Emër Subjekti*</v>
      </c>
      <c r="C177" t="s">
        <v>698</v>
      </c>
      <c r="D177" t="s">
        <v>699</v>
      </c>
      <c r="E177" t="s">
        <v>700</v>
      </c>
      <c r="F177" t="s">
        <v>701</v>
      </c>
      <c r="G177" t="s">
        <v>702</v>
      </c>
    </row>
    <row r="178" spans="1:15" ht="15">
      <c r="A178" s="11"/>
      <c r="B178" t="s">
        <v>2119</v>
      </c>
      <c r="C178" t="s">
        <v>2120</v>
      </c>
      <c r="D178" s="12">
        <v>40900</v>
      </c>
      <c r="E178" t="s">
        <v>707</v>
      </c>
      <c r="F178" t="s">
        <v>2121</v>
      </c>
      <c r="G178" t="s">
        <v>2122</v>
      </c>
    </row>
    <row r="179" spans="1:15" ht="15">
      <c r="A179" s="9">
        <v>95</v>
      </c>
      <c r="B179" t="str">
        <f ca="1">IFERROR(__xludf.DUMMYFUNCTION((TRANSPOSE(ImportHTML("http://spending.data.al/sq/moneypower/view/id/95/year/2014",  "table", 0)))),"*Kategoria*")</f>
        <v>*Kategoria*</v>
      </c>
      <c r="C179" t="s">
        <v>673</v>
      </c>
      <c r="D179" t="s">
        <v>674</v>
      </c>
      <c r="E179" t="s">
        <v>675</v>
      </c>
      <c r="F179" t="s">
        <v>676</v>
      </c>
      <c r="G179" t="s">
        <v>677</v>
      </c>
      <c r="H179" t="s">
        <v>678</v>
      </c>
      <c r="I179" t="s">
        <v>679</v>
      </c>
      <c r="J179" t="s">
        <v>680</v>
      </c>
      <c r="K179" t="s">
        <v>681</v>
      </c>
      <c r="L179" t="s">
        <v>682</v>
      </c>
      <c r="M179" t="s">
        <v>683</v>
      </c>
      <c r="N179" t="s">
        <v>684</v>
      </c>
      <c r="O179" t="s">
        <v>685</v>
      </c>
    </row>
    <row r="180" spans="1:15" ht="15">
      <c r="A180" s="11"/>
      <c r="B180" t="s">
        <v>686</v>
      </c>
      <c r="C180" t="s">
        <v>1068</v>
      </c>
      <c r="D180" t="s">
        <v>1069</v>
      </c>
      <c r="E180" t="s">
        <v>688</v>
      </c>
      <c r="F180" t="s">
        <v>1070</v>
      </c>
      <c r="G180" t="s">
        <v>1071</v>
      </c>
      <c r="H180" t="s">
        <v>688</v>
      </c>
      <c r="I180" t="s">
        <v>688</v>
      </c>
      <c r="J180" t="s">
        <v>688</v>
      </c>
      <c r="K180" t="s">
        <v>688</v>
      </c>
      <c r="L180" t="s">
        <v>1072</v>
      </c>
      <c r="M180" t="s">
        <v>688</v>
      </c>
      <c r="O180" t="s">
        <v>1073</v>
      </c>
    </row>
    <row r="181" spans="1:15" ht="15">
      <c r="A181" s="9">
        <v>96</v>
      </c>
      <c r="B181" t="str">
        <f ca="1">IFERROR(__xludf.DUMMYFUNCTION((TRANSPOSE(ImportHTML("http://spending.data.al/sq/moneypower/view/id/96/year/2014",  "table", 0)))),"Loading...")</f>
        <v>Loading...</v>
      </c>
    </row>
    <row r="182" spans="1:15" ht="15">
      <c r="A182" s="9">
        <v>97</v>
      </c>
      <c r="B182" t="str">
        <f ca="1">IFERROR(__xludf.DUMMYFUNCTION((TRANSPOSE(ImportHTML("http://spending.data.al/sq/moneypower/view/id/97/year/2014",  "table", 0)))),"Loading...")</f>
        <v>Loading...</v>
      </c>
    </row>
    <row r="183" spans="1:15" ht="15">
      <c r="A183" s="9">
        <v>98</v>
      </c>
      <c r="B183" t="str">
        <f ca="1">IFERROR(__xludf.DUMMYFUNCTION((TRANSPOSE(ImportHTML("http://spending.data.al/sq/moneypower/view/id/98/year/2014",  "table", 0)))),"Loading...")</f>
        <v>Loading...</v>
      </c>
    </row>
    <row r="184" spans="1:15" ht="15">
      <c r="A184" s="9">
        <v>99</v>
      </c>
      <c r="B184" t="str">
        <f ca="1">IFERROR(__xludf.DUMMYFUNCTION((TRANSPOSE(ImportHTML("http://spending.data.al/sq/moneypower/view/id/99/year/2014",  "table", 0)))),"*Kategoria*")</f>
        <v>*Kategoria*</v>
      </c>
      <c r="C184" t="s">
        <v>673</v>
      </c>
      <c r="D184" t="s">
        <v>674</v>
      </c>
      <c r="E184" t="s">
        <v>675</v>
      </c>
      <c r="F184" t="s">
        <v>676</v>
      </c>
      <c r="G184" t="s">
        <v>677</v>
      </c>
      <c r="H184" t="s">
        <v>678</v>
      </c>
      <c r="I184" t="s">
        <v>679</v>
      </c>
      <c r="J184" t="s">
        <v>680</v>
      </c>
      <c r="K184" t="s">
        <v>681</v>
      </c>
      <c r="L184" t="s">
        <v>682</v>
      </c>
      <c r="M184" t="s">
        <v>683</v>
      </c>
      <c r="N184" t="s">
        <v>684</v>
      </c>
      <c r="O184" t="s">
        <v>685</v>
      </c>
    </row>
    <row r="185" spans="1:15" ht="15">
      <c r="A185" s="11"/>
      <c r="B185" t="s">
        <v>686</v>
      </c>
      <c r="C185" t="s">
        <v>1084</v>
      </c>
      <c r="D185" t="s">
        <v>688</v>
      </c>
      <c r="E185" t="s">
        <v>688</v>
      </c>
      <c r="F185" t="s">
        <v>1085</v>
      </c>
      <c r="G185" t="s">
        <v>1086</v>
      </c>
      <c r="H185" t="s">
        <v>688</v>
      </c>
      <c r="I185" t="s">
        <v>688</v>
      </c>
      <c r="J185" t="s">
        <v>688</v>
      </c>
      <c r="K185" t="s">
        <v>688</v>
      </c>
      <c r="L185" t="s">
        <v>1087</v>
      </c>
      <c r="M185" t="s">
        <v>1088</v>
      </c>
      <c r="O185" t="s">
        <v>1089</v>
      </c>
    </row>
    <row r="186" spans="1:15" ht="15">
      <c r="A186" s="9">
        <v>100</v>
      </c>
      <c r="B186" t="str">
        <f ca="1">IFERROR(__xludf.DUMMYFUNCTION((TRANSPOSE(ImportHTML("http://spending.data.al/sq/moneypower/view/id/100/year/2014",  "table", 0)))),"*Kategoria*")</f>
        <v>*Kategoria*</v>
      </c>
      <c r="C186" t="s">
        <v>673</v>
      </c>
      <c r="D186" t="s">
        <v>674</v>
      </c>
      <c r="E186" t="s">
        <v>675</v>
      </c>
      <c r="F186" t="s">
        <v>676</v>
      </c>
      <c r="G186" t="s">
        <v>677</v>
      </c>
      <c r="H186" t="s">
        <v>678</v>
      </c>
      <c r="I186" t="s">
        <v>679</v>
      </c>
      <c r="J186" t="s">
        <v>680</v>
      </c>
      <c r="K186" t="s">
        <v>681</v>
      </c>
      <c r="L186" t="s">
        <v>682</v>
      </c>
      <c r="M186" t="s">
        <v>683</v>
      </c>
      <c r="N186" t="s">
        <v>684</v>
      </c>
      <c r="O186" t="s">
        <v>685</v>
      </c>
    </row>
    <row r="187" spans="1:15" ht="15">
      <c r="A187" s="11"/>
      <c r="B187" t="s">
        <v>686</v>
      </c>
      <c r="C187" t="s">
        <v>1090</v>
      </c>
      <c r="D187" t="s">
        <v>688</v>
      </c>
      <c r="E187" t="s">
        <v>1091</v>
      </c>
      <c r="F187" t="s">
        <v>688</v>
      </c>
      <c r="G187" t="s">
        <v>688</v>
      </c>
      <c r="H187" t="s">
        <v>688</v>
      </c>
      <c r="I187" t="s">
        <v>688</v>
      </c>
      <c r="J187" t="s">
        <v>688</v>
      </c>
      <c r="K187" t="s">
        <v>688</v>
      </c>
      <c r="L187" t="s">
        <v>1092</v>
      </c>
      <c r="M187" t="s">
        <v>688</v>
      </c>
      <c r="O187" t="s">
        <v>1093</v>
      </c>
    </row>
    <row r="188" spans="1:15" ht="15">
      <c r="A188" s="9">
        <v>101</v>
      </c>
      <c r="B188" t="str">
        <f ca="1">IFERROR(__xludf.DUMMYFUNCTION((TRANSPOSE(ImportHTML("http://spending.data.al/sq/moneypower/view/id/101/year/2014",  "table", 0)))),"Loading...")</f>
        <v>Loading...</v>
      </c>
    </row>
    <row r="189" spans="1:15" ht="15">
      <c r="A189" s="9">
        <v>102</v>
      </c>
      <c r="B189" t="str">
        <f ca="1">IFERROR(__xludf.DUMMYFUNCTION((TRANSPOSE(ImportHTML("http://spending.data.al/sq/moneypower/view/id/102/year/2014",  "table", 0)))),"Loading...")</f>
        <v>Loading...</v>
      </c>
    </row>
    <row r="190" spans="1:15" ht="15">
      <c r="A190" s="9">
        <v>103</v>
      </c>
      <c r="B190" t="str">
        <f ca="1">IFERROR(__xludf.DUMMYFUNCTION((TRANSPOSE(ImportHTML("http://spending.data.al/sq/moneypower/view/id/103/year/2014",  "table", 0)))),"*Kategoria*")</f>
        <v>*Kategoria*</v>
      </c>
      <c r="C190" t="s">
        <v>673</v>
      </c>
      <c r="D190" t="s">
        <v>674</v>
      </c>
      <c r="E190" t="s">
        <v>675</v>
      </c>
      <c r="F190" t="s">
        <v>676</v>
      </c>
      <c r="G190" t="s">
        <v>677</v>
      </c>
      <c r="H190" t="s">
        <v>678</v>
      </c>
      <c r="I190" t="s">
        <v>679</v>
      </c>
      <c r="J190" t="s">
        <v>680</v>
      </c>
      <c r="K190" t="s">
        <v>681</v>
      </c>
      <c r="L190" t="s">
        <v>682</v>
      </c>
      <c r="M190" t="s">
        <v>683</v>
      </c>
      <c r="N190" t="s">
        <v>684</v>
      </c>
      <c r="O190" t="s">
        <v>685</v>
      </c>
    </row>
    <row r="191" spans="1:15" ht="15">
      <c r="A191" s="11"/>
      <c r="B191" t="s">
        <v>686</v>
      </c>
      <c r="C191" t="s">
        <v>1101</v>
      </c>
      <c r="D191" t="s">
        <v>688</v>
      </c>
      <c r="E191" t="s">
        <v>688</v>
      </c>
      <c r="F191" t="s">
        <v>688</v>
      </c>
      <c r="H191" t="s">
        <v>688</v>
      </c>
      <c r="I191" t="s">
        <v>688</v>
      </c>
      <c r="J191" t="s">
        <v>688</v>
      </c>
      <c r="K191" t="s">
        <v>688</v>
      </c>
      <c r="L191" t="s">
        <v>1102</v>
      </c>
      <c r="O191" t="s">
        <v>1103</v>
      </c>
    </row>
    <row r="192" spans="1:15" ht="15">
      <c r="A192" s="9">
        <v>104</v>
      </c>
      <c r="B192" t="str">
        <f ca="1">IFERROR(__xludf.DUMMYFUNCTION((TRANSPOSE(ImportHTML("http://spending.data.al/sq/moneypower/view/id/104/year/2014",  "table", 0)))),"*Kategoria*")</f>
        <v>*Kategoria*</v>
      </c>
      <c r="C192" t="s">
        <v>673</v>
      </c>
      <c r="D192" t="s">
        <v>674</v>
      </c>
      <c r="E192" t="s">
        <v>675</v>
      </c>
      <c r="F192" t="s">
        <v>676</v>
      </c>
      <c r="G192" t="s">
        <v>677</v>
      </c>
      <c r="H192" t="s">
        <v>678</v>
      </c>
      <c r="I192" t="s">
        <v>679</v>
      </c>
      <c r="J192" t="s">
        <v>680</v>
      </c>
      <c r="K192" t="s">
        <v>681</v>
      </c>
      <c r="L192" t="s">
        <v>682</v>
      </c>
      <c r="M192" t="s">
        <v>683</v>
      </c>
      <c r="N192" t="s">
        <v>684</v>
      </c>
      <c r="O192" t="s">
        <v>685</v>
      </c>
    </row>
    <row r="193" spans="1:15" ht="15">
      <c r="A193" s="11"/>
      <c r="B193" t="s">
        <v>686</v>
      </c>
      <c r="C193" t="s">
        <v>1104</v>
      </c>
      <c r="D193" t="s">
        <v>688</v>
      </c>
      <c r="E193" t="s">
        <v>1105</v>
      </c>
      <c r="F193" t="s">
        <v>688</v>
      </c>
      <c r="G193" t="s">
        <v>1106</v>
      </c>
      <c r="H193" t="s">
        <v>688</v>
      </c>
      <c r="I193" t="s">
        <v>688</v>
      </c>
      <c r="J193" t="s">
        <v>688</v>
      </c>
      <c r="K193" t="s">
        <v>688</v>
      </c>
      <c r="L193" t="s">
        <v>1107</v>
      </c>
      <c r="M193" t="s">
        <v>688</v>
      </c>
      <c r="O193" t="s">
        <v>1108</v>
      </c>
    </row>
    <row r="194" spans="1:15" ht="15">
      <c r="A194" s="9">
        <v>105</v>
      </c>
      <c r="B194" t="str">
        <f ca="1">IFERROR(__xludf.DUMMYFUNCTION((TRANSPOSE(ImportHTML("http://spending.data.al/sq/moneypower/view/id/105/year/2014",  "table", 0)))),"*Kategoria*")</f>
        <v>*Kategoria*</v>
      </c>
      <c r="C194" t="s">
        <v>673</v>
      </c>
      <c r="D194" t="s">
        <v>674</v>
      </c>
      <c r="E194" t="s">
        <v>675</v>
      </c>
      <c r="F194" t="s">
        <v>676</v>
      </c>
      <c r="G194" t="s">
        <v>677</v>
      </c>
      <c r="H194" t="s">
        <v>678</v>
      </c>
      <c r="I194" t="s">
        <v>679</v>
      </c>
      <c r="J194" t="s">
        <v>680</v>
      </c>
      <c r="K194" t="s">
        <v>681</v>
      </c>
      <c r="L194" t="s">
        <v>682</v>
      </c>
      <c r="M194" t="s">
        <v>683</v>
      </c>
      <c r="N194" t="s">
        <v>684</v>
      </c>
      <c r="O194" t="s">
        <v>685</v>
      </c>
    </row>
    <row r="195" spans="1:15" ht="15">
      <c r="A195" s="11"/>
      <c r="B195" t="s">
        <v>686</v>
      </c>
      <c r="C195" t="s">
        <v>1109</v>
      </c>
      <c r="D195" t="s">
        <v>688</v>
      </c>
      <c r="E195" t="s">
        <v>688</v>
      </c>
      <c r="F195" t="s">
        <v>688</v>
      </c>
      <c r="G195" t="s">
        <v>688</v>
      </c>
      <c r="H195" t="s">
        <v>688</v>
      </c>
      <c r="I195" t="s">
        <v>688</v>
      </c>
      <c r="J195" t="s">
        <v>688</v>
      </c>
      <c r="K195" t="s">
        <v>688</v>
      </c>
      <c r="L195" t="s">
        <v>1110</v>
      </c>
      <c r="M195" t="s">
        <v>688</v>
      </c>
      <c r="O195" t="s">
        <v>1111</v>
      </c>
    </row>
    <row r="196" spans="1:15" ht="15">
      <c r="A196" s="9">
        <v>106</v>
      </c>
      <c r="B196" t="str">
        <f ca="1">IFERROR(__xludf.DUMMYFUNCTION((TRANSPOSE(ImportHTML("http://spending.data.al/sq/moneypower/view/id/106/year/2014",  "table", 0)))),"*Emër Subjekti*")</f>
        <v>*Emër Subjekti*</v>
      </c>
      <c r="C196" t="s">
        <v>698</v>
      </c>
      <c r="D196" t="s">
        <v>699</v>
      </c>
      <c r="E196" t="s">
        <v>700</v>
      </c>
      <c r="F196" t="s">
        <v>701</v>
      </c>
      <c r="G196" t="s">
        <v>702</v>
      </c>
    </row>
    <row r="197" spans="1:15" ht="15">
      <c r="A197" s="11"/>
      <c r="B197" t="s">
        <v>2163</v>
      </c>
      <c r="C197" t="s">
        <v>1879</v>
      </c>
      <c r="D197" s="12">
        <v>41128</v>
      </c>
      <c r="E197" t="s">
        <v>707</v>
      </c>
      <c r="F197" t="s">
        <v>2164</v>
      </c>
      <c r="G197" t="s">
        <v>2165</v>
      </c>
    </row>
    <row r="198" spans="1:15" ht="15">
      <c r="A198" s="9">
        <v>107</v>
      </c>
      <c r="B198" t="str">
        <f ca="1">IFERROR(__xludf.DUMMYFUNCTION((TRANSPOSE(ImportHTML("http://spending.data.al/sq/moneypower/view/id/107/year/2014",  "table", 0)))),"*Kategoria*")</f>
        <v>*Kategoria*</v>
      </c>
      <c r="C198" t="s">
        <v>673</v>
      </c>
      <c r="D198" t="s">
        <v>674</v>
      </c>
      <c r="E198" t="s">
        <v>675</v>
      </c>
      <c r="F198" t="s">
        <v>676</v>
      </c>
      <c r="G198" t="s">
        <v>677</v>
      </c>
      <c r="H198" t="s">
        <v>678</v>
      </c>
      <c r="I198" t="s">
        <v>679</v>
      </c>
      <c r="J198" t="s">
        <v>680</v>
      </c>
      <c r="K198" t="s">
        <v>681</v>
      </c>
      <c r="L198" t="s">
        <v>682</v>
      </c>
      <c r="M198" t="s">
        <v>683</v>
      </c>
      <c r="N198" t="s">
        <v>684</v>
      </c>
      <c r="O198" t="s">
        <v>685</v>
      </c>
    </row>
    <row r="199" spans="1:15" ht="15">
      <c r="A199" s="11"/>
      <c r="B199" t="s">
        <v>686</v>
      </c>
      <c r="C199" t="s">
        <v>1115</v>
      </c>
      <c r="D199" t="s">
        <v>688</v>
      </c>
      <c r="E199" t="s">
        <v>1116</v>
      </c>
      <c r="F199" t="s">
        <v>688</v>
      </c>
      <c r="G199" t="s">
        <v>688</v>
      </c>
      <c r="H199" t="s">
        <v>688</v>
      </c>
      <c r="I199" t="s">
        <v>688</v>
      </c>
      <c r="J199" t="s">
        <v>688</v>
      </c>
      <c r="K199" t="s">
        <v>688</v>
      </c>
      <c r="L199" t="s">
        <v>1117</v>
      </c>
      <c r="M199" t="s">
        <v>688</v>
      </c>
      <c r="O199" t="s">
        <v>1118</v>
      </c>
    </row>
    <row r="200" spans="1:15" ht="15">
      <c r="A200" s="9">
        <v>108</v>
      </c>
      <c r="B200" t="str">
        <f ca="1">IFERROR(__xludf.DUMMYFUNCTION((TRANSPOSE(ImportHTML("http://spending.data.al/sq/moneypower/view/id/108/year/2014",  "table", 0)))),"*Kategoria*")</f>
        <v>*Kategoria*</v>
      </c>
      <c r="C200" t="s">
        <v>673</v>
      </c>
      <c r="D200" t="s">
        <v>674</v>
      </c>
      <c r="E200" t="s">
        <v>675</v>
      </c>
      <c r="F200" t="s">
        <v>676</v>
      </c>
      <c r="G200" t="s">
        <v>677</v>
      </c>
      <c r="H200" t="s">
        <v>678</v>
      </c>
      <c r="I200" t="s">
        <v>679</v>
      </c>
      <c r="J200" t="s">
        <v>680</v>
      </c>
      <c r="K200" t="s">
        <v>681</v>
      </c>
      <c r="L200" t="s">
        <v>682</v>
      </c>
      <c r="M200" t="s">
        <v>683</v>
      </c>
      <c r="N200" t="s">
        <v>684</v>
      </c>
      <c r="O200" t="s">
        <v>685</v>
      </c>
    </row>
    <row r="201" spans="1:15" ht="15">
      <c r="A201" s="11"/>
      <c r="B201" t="s">
        <v>686</v>
      </c>
      <c r="C201" t="s">
        <v>1119</v>
      </c>
      <c r="D201" t="s">
        <v>688</v>
      </c>
      <c r="E201" t="s">
        <v>688</v>
      </c>
      <c r="F201" t="s">
        <v>688</v>
      </c>
      <c r="G201" t="s">
        <v>688</v>
      </c>
      <c r="H201" t="s">
        <v>688</v>
      </c>
      <c r="I201" t="s">
        <v>688</v>
      </c>
      <c r="J201" t="s">
        <v>688</v>
      </c>
      <c r="K201" t="s">
        <v>688</v>
      </c>
      <c r="L201" t="s">
        <v>1120</v>
      </c>
      <c r="M201" t="s">
        <v>688</v>
      </c>
      <c r="O201" t="s">
        <v>1121</v>
      </c>
    </row>
    <row r="202" spans="1:15" ht="15">
      <c r="A202" s="9">
        <v>109</v>
      </c>
      <c r="B202" t="str">
        <f ca="1">IFERROR(__xludf.DUMMYFUNCTION((TRANSPOSE(ImportHTML("http://spending.data.al/sq/moneypower/view/id/109/year/2014",  "table", 0)))),"*Kategoria*")</f>
        <v>*Kategoria*</v>
      </c>
      <c r="C202" t="s">
        <v>673</v>
      </c>
      <c r="D202" t="s">
        <v>674</v>
      </c>
      <c r="E202" t="s">
        <v>675</v>
      </c>
      <c r="F202" t="s">
        <v>676</v>
      </c>
      <c r="G202" t="s">
        <v>677</v>
      </c>
      <c r="H202" t="s">
        <v>678</v>
      </c>
      <c r="I202" t="s">
        <v>679</v>
      </c>
      <c r="J202" t="s">
        <v>680</v>
      </c>
      <c r="K202" t="s">
        <v>681</v>
      </c>
      <c r="L202" t="s">
        <v>682</v>
      </c>
      <c r="M202" t="s">
        <v>683</v>
      </c>
      <c r="N202" t="s">
        <v>684</v>
      </c>
      <c r="O202" t="s">
        <v>685</v>
      </c>
    </row>
    <row r="203" spans="1:15" ht="15">
      <c r="A203" s="11"/>
      <c r="B203" t="s">
        <v>686</v>
      </c>
      <c r="C203" t="s">
        <v>1122</v>
      </c>
      <c r="D203" t="s">
        <v>688</v>
      </c>
      <c r="E203" t="s">
        <v>688</v>
      </c>
      <c r="F203" t="s">
        <v>688</v>
      </c>
      <c r="G203" t="s">
        <v>1123</v>
      </c>
      <c r="H203" t="s">
        <v>688</v>
      </c>
      <c r="I203" t="s">
        <v>688</v>
      </c>
      <c r="J203" t="s">
        <v>688</v>
      </c>
      <c r="K203" t="s">
        <v>688</v>
      </c>
      <c r="L203" t="s">
        <v>1124</v>
      </c>
      <c r="M203" t="s">
        <v>688</v>
      </c>
      <c r="O203" t="s">
        <v>1125</v>
      </c>
    </row>
    <row r="204" spans="1:15" ht="15">
      <c r="A204" s="9">
        <v>110</v>
      </c>
      <c r="B204" t="str">
        <f ca="1">IFERROR(__xludf.DUMMYFUNCTION((TRANSPOSE(ImportHTML("http://spending.data.al/sq/moneypower/view/id/110/year/2014",  "table", 0)))),"*Kategoria*")</f>
        <v>*Kategoria*</v>
      </c>
      <c r="C204" t="s">
        <v>673</v>
      </c>
      <c r="D204" t="s">
        <v>674</v>
      </c>
      <c r="E204" t="s">
        <v>675</v>
      </c>
      <c r="F204" t="s">
        <v>676</v>
      </c>
      <c r="G204" t="s">
        <v>677</v>
      </c>
      <c r="H204" t="s">
        <v>678</v>
      </c>
      <c r="I204" t="s">
        <v>679</v>
      </c>
      <c r="J204" t="s">
        <v>680</v>
      </c>
      <c r="K204" t="s">
        <v>681</v>
      </c>
      <c r="L204" t="s">
        <v>682</v>
      </c>
      <c r="M204" t="s">
        <v>683</v>
      </c>
      <c r="N204" t="s">
        <v>684</v>
      </c>
      <c r="O204" t="s">
        <v>685</v>
      </c>
    </row>
    <row r="205" spans="1:15" ht="15">
      <c r="A205" s="11"/>
      <c r="B205" t="s">
        <v>686</v>
      </c>
      <c r="C205" t="s">
        <v>1126</v>
      </c>
      <c r="D205" t="s">
        <v>688</v>
      </c>
      <c r="E205" t="s">
        <v>688</v>
      </c>
      <c r="F205" t="s">
        <v>688</v>
      </c>
      <c r="G205" t="s">
        <v>688</v>
      </c>
      <c r="H205" t="s">
        <v>688</v>
      </c>
      <c r="I205" t="s">
        <v>688</v>
      </c>
      <c r="J205" t="s">
        <v>688</v>
      </c>
      <c r="K205" t="s">
        <v>688</v>
      </c>
      <c r="L205" t="s">
        <v>1127</v>
      </c>
      <c r="M205" t="s">
        <v>688</v>
      </c>
      <c r="O205" t="s">
        <v>1128</v>
      </c>
    </row>
    <row r="206" spans="1:15" ht="15">
      <c r="A206" s="9">
        <v>111</v>
      </c>
      <c r="B206" t="str">
        <f ca="1">IFERROR(__xludf.DUMMYFUNCTION((TRANSPOSE(ImportHTML("http://spending.data.al/sq/moneypower/view/id/111/year/2014",  "table", 0)))),"*Kategoria*")</f>
        <v>*Kategoria*</v>
      </c>
      <c r="C206" t="s">
        <v>673</v>
      </c>
      <c r="D206" t="s">
        <v>674</v>
      </c>
      <c r="E206" t="s">
        <v>675</v>
      </c>
      <c r="F206" t="s">
        <v>676</v>
      </c>
      <c r="G206" t="s">
        <v>677</v>
      </c>
      <c r="H206" t="s">
        <v>678</v>
      </c>
      <c r="I206" t="s">
        <v>679</v>
      </c>
      <c r="J206" t="s">
        <v>680</v>
      </c>
      <c r="K206" t="s">
        <v>681</v>
      </c>
      <c r="L206" t="s">
        <v>682</v>
      </c>
      <c r="M206" t="s">
        <v>683</v>
      </c>
      <c r="N206" t="s">
        <v>684</v>
      </c>
      <c r="O206" t="s">
        <v>685</v>
      </c>
    </row>
    <row r="207" spans="1:15" ht="15">
      <c r="A207" s="11"/>
      <c r="B207" t="s">
        <v>686</v>
      </c>
      <c r="C207" t="s">
        <v>1129</v>
      </c>
      <c r="D207" t="s">
        <v>688</v>
      </c>
      <c r="E207" t="s">
        <v>688</v>
      </c>
      <c r="F207" t="s">
        <v>688</v>
      </c>
      <c r="G207" t="s">
        <v>688</v>
      </c>
      <c r="H207" t="s">
        <v>688</v>
      </c>
      <c r="I207" t="s">
        <v>688</v>
      </c>
      <c r="J207" t="s">
        <v>688</v>
      </c>
      <c r="K207" t="s">
        <v>688</v>
      </c>
      <c r="L207" t="s">
        <v>1130</v>
      </c>
      <c r="M207" t="s">
        <v>688</v>
      </c>
      <c r="O207" t="s">
        <v>1131</v>
      </c>
    </row>
    <row r="208" spans="1:15" ht="15">
      <c r="A208" s="9">
        <v>112</v>
      </c>
      <c r="B208" t="str">
        <f ca="1">IFERROR(__xludf.DUMMYFUNCTION((TRANSPOSE(ImportHTML("http://spending.data.al/sq/moneypower/view/id/112/year/2014",  "table", 0)))),"*Kategoria*")</f>
        <v>*Kategoria*</v>
      </c>
      <c r="C208" t="s">
        <v>673</v>
      </c>
      <c r="D208" t="s">
        <v>674</v>
      </c>
      <c r="E208" t="s">
        <v>675</v>
      </c>
      <c r="F208" t="s">
        <v>676</v>
      </c>
      <c r="G208" t="s">
        <v>677</v>
      </c>
      <c r="H208" t="s">
        <v>678</v>
      </c>
      <c r="I208" t="s">
        <v>679</v>
      </c>
      <c r="J208" t="s">
        <v>680</v>
      </c>
      <c r="K208" t="s">
        <v>681</v>
      </c>
      <c r="L208" t="s">
        <v>682</v>
      </c>
      <c r="M208" t="s">
        <v>683</v>
      </c>
      <c r="N208" t="s">
        <v>684</v>
      </c>
      <c r="O208" t="s">
        <v>685</v>
      </c>
    </row>
    <row r="209" spans="1:15" ht="15">
      <c r="A209" s="11"/>
      <c r="B209" t="s">
        <v>686</v>
      </c>
      <c r="C209" t="s">
        <v>1132</v>
      </c>
      <c r="D209" t="s">
        <v>688</v>
      </c>
      <c r="E209" t="s">
        <v>688</v>
      </c>
      <c r="F209" t="s">
        <v>688</v>
      </c>
      <c r="G209" t="s">
        <v>688</v>
      </c>
      <c r="H209" t="s">
        <v>688</v>
      </c>
      <c r="I209" t="s">
        <v>688</v>
      </c>
      <c r="J209" t="s">
        <v>688</v>
      </c>
      <c r="K209" t="s">
        <v>688</v>
      </c>
      <c r="L209" t="s">
        <v>1133</v>
      </c>
      <c r="M209" t="s">
        <v>688</v>
      </c>
      <c r="O209" t="s">
        <v>1134</v>
      </c>
    </row>
    <row r="210" spans="1:15" ht="15">
      <c r="A210" s="9">
        <v>113</v>
      </c>
      <c r="B210" t="str">
        <f ca="1">IFERROR(__xludf.DUMMYFUNCTION((TRANSPOSE(ImportHTML("http://spending.data.al/sq/moneypower/view/id/113/year/2014",  "table", 0)))),"*Kategoria*")</f>
        <v>*Kategoria*</v>
      </c>
      <c r="C210" t="s">
        <v>673</v>
      </c>
      <c r="D210" t="s">
        <v>674</v>
      </c>
      <c r="E210" t="s">
        <v>675</v>
      </c>
      <c r="F210" t="s">
        <v>676</v>
      </c>
      <c r="G210" t="s">
        <v>677</v>
      </c>
      <c r="H210" t="s">
        <v>678</v>
      </c>
      <c r="I210" t="s">
        <v>679</v>
      </c>
      <c r="J210" t="s">
        <v>680</v>
      </c>
      <c r="K210" t="s">
        <v>681</v>
      </c>
      <c r="L210" t="s">
        <v>682</v>
      </c>
      <c r="M210" t="s">
        <v>683</v>
      </c>
      <c r="N210" t="s">
        <v>684</v>
      </c>
      <c r="O210" t="s">
        <v>685</v>
      </c>
    </row>
    <row r="211" spans="1:15" ht="15">
      <c r="A211" s="11"/>
      <c r="B211" t="s">
        <v>686</v>
      </c>
      <c r="C211" t="s">
        <v>1135</v>
      </c>
      <c r="D211" t="s">
        <v>688</v>
      </c>
      <c r="E211" t="s">
        <v>688</v>
      </c>
      <c r="F211" t="s">
        <v>688</v>
      </c>
      <c r="G211" t="s">
        <v>1136</v>
      </c>
      <c r="H211" t="s">
        <v>688</v>
      </c>
      <c r="I211" t="s">
        <v>688</v>
      </c>
      <c r="J211" t="s">
        <v>688</v>
      </c>
      <c r="K211" t="s">
        <v>688</v>
      </c>
      <c r="L211" t="s">
        <v>1137</v>
      </c>
      <c r="M211" t="s">
        <v>688</v>
      </c>
      <c r="O211" t="s">
        <v>1138</v>
      </c>
    </row>
    <row r="212" spans="1:15" ht="15">
      <c r="A212" s="9">
        <v>114</v>
      </c>
      <c r="B212" t="str">
        <f ca="1">IFERROR(__xludf.DUMMYFUNCTION((TRANSPOSE(ImportHTML("http://spending.data.al/sq/moneypower/view/id/114/year/2014",  "table", 0)))),"*Kategoria*")</f>
        <v>*Kategoria*</v>
      </c>
      <c r="C212" t="s">
        <v>673</v>
      </c>
      <c r="D212" t="s">
        <v>674</v>
      </c>
      <c r="E212" t="s">
        <v>675</v>
      </c>
      <c r="F212" t="s">
        <v>676</v>
      </c>
      <c r="G212" t="s">
        <v>677</v>
      </c>
      <c r="H212" t="s">
        <v>678</v>
      </c>
      <c r="I212" t="s">
        <v>679</v>
      </c>
      <c r="J212" t="s">
        <v>680</v>
      </c>
      <c r="K212" t="s">
        <v>681</v>
      </c>
      <c r="L212" t="s">
        <v>682</v>
      </c>
      <c r="M212" t="s">
        <v>683</v>
      </c>
      <c r="N212" t="s">
        <v>684</v>
      </c>
      <c r="O212" t="s">
        <v>685</v>
      </c>
    </row>
    <row r="213" spans="1:15" ht="15">
      <c r="A213" s="11"/>
      <c r="B213" t="s">
        <v>686</v>
      </c>
      <c r="C213" t="s">
        <v>1139</v>
      </c>
      <c r="D213" t="s">
        <v>688</v>
      </c>
      <c r="E213" t="s">
        <v>688</v>
      </c>
      <c r="F213" t="s">
        <v>688</v>
      </c>
      <c r="G213" t="s">
        <v>1140</v>
      </c>
      <c r="H213" t="s">
        <v>688</v>
      </c>
      <c r="I213" t="s">
        <v>688</v>
      </c>
      <c r="J213" t="s">
        <v>688</v>
      </c>
      <c r="K213" t="s">
        <v>688</v>
      </c>
      <c r="L213" t="s">
        <v>1141</v>
      </c>
      <c r="M213" t="s">
        <v>688</v>
      </c>
      <c r="O213" t="s">
        <v>1142</v>
      </c>
    </row>
    <row r="214" spans="1:15" ht="15">
      <c r="A214" s="9">
        <v>115</v>
      </c>
      <c r="B214" t="str">
        <f ca="1">IFERROR(__xludf.DUMMYFUNCTION((TRANSPOSE(ImportHTML("http://spending.data.al/sq/moneypower/view/id/115/year/2014",  "table", 0)))),"*Kategoria*")</f>
        <v>*Kategoria*</v>
      </c>
      <c r="C214" t="s">
        <v>673</v>
      </c>
      <c r="D214" t="s">
        <v>674</v>
      </c>
      <c r="E214" t="s">
        <v>675</v>
      </c>
      <c r="F214" t="s">
        <v>676</v>
      </c>
      <c r="G214" t="s">
        <v>677</v>
      </c>
      <c r="H214" t="s">
        <v>678</v>
      </c>
      <c r="I214" t="s">
        <v>679</v>
      </c>
      <c r="J214" t="s">
        <v>680</v>
      </c>
      <c r="K214" t="s">
        <v>681</v>
      </c>
      <c r="L214" t="s">
        <v>682</v>
      </c>
      <c r="M214" t="s">
        <v>683</v>
      </c>
      <c r="N214" t="s">
        <v>684</v>
      </c>
      <c r="O214" t="s">
        <v>685</v>
      </c>
    </row>
    <row r="215" spans="1:15" ht="15">
      <c r="A215" s="11"/>
      <c r="B215" t="s">
        <v>686</v>
      </c>
      <c r="C215" t="s">
        <v>1143</v>
      </c>
      <c r="D215" t="s">
        <v>688</v>
      </c>
      <c r="E215" t="s">
        <v>688</v>
      </c>
      <c r="F215" t="s">
        <v>688</v>
      </c>
      <c r="G215" t="s">
        <v>688</v>
      </c>
      <c r="H215" t="s">
        <v>688</v>
      </c>
      <c r="I215" t="s">
        <v>688</v>
      </c>
      <c r="J215" t="s">
        <v>688</v>
      </c>
      <c r="K215" t="s">
        <v>688</v>
      </c>
      <c r="L215" t="s">
        <v>1144</v>
      </c>
      <c r="M215" t="s">
        <v>688</v>
      </c>
      <c r="O215" t="s">
        <v>1145</v>
      </c>
    </row>
    <row r="216" spans="1:15" ht="15">
      <c r="A216" s="9">
        <v>116</v>
      </c>
      <c r="B216" t="str">
        <f ca="1">IFERROR(__xludf.DUMMYFUNCTION((TRANSPOSE(ImportHTML("http://spending.data.al/sq/moneypower/view/id/116/year/2014",  "table", 0)))),"*Kategoria*")</f>
        <v>*Kategoria*</v>
      </c>
      <c r="C216" t="s">
        <v>673</v>
      </c>
      <c r="D216" t="s">
        <v>674</v>
      </c>
      <c r="E216" t="s">
        <v>675</v>
      </c>
      <c r="F216" t="s">
        <v>676</v>
      </c>
      <c r="G216" t="s">
        <v>677</v>
      </c>
      <c r="H216" t="s">
        <v>678</v>
      </c>
      <c r="I216" t="s">
        <v>679</v>
      </c>
      <c r="J216" t="s">
        <v>680</v>
      </c>
      <c r="K216" t="s">
        <v>681</v>
      </c>
      <c r="L216" t="s">
        <v>682</v>
      </c>
      <c r="M216" t="s">
        <v>683</v>
      </c>
      <c r="N216" t="s">
        <v>684</v>
      </c>
      <c r="O216" t="s">
        <v>685</v>
      </c>
    </row>
    <row r="217" spans="1:15" ht="15">
      <c r="A217" s="11"/>
      <c r="B217" t="s">
        <v>686</v>
      </c>
      <c r="C217" t="s">
        <v>1146</v>
      </c>
      <c r="D217" t="s">
        <v>688</v>
      </c>
      <c r="E217" t="s">
        <v>688</v>
      </c>
      <c r="F217" t="s">
        <v>688</v>
      </c>
      <c r="G217" t="s">
        <v>688</v>
      </c>
      <c r="H217" t="s">
        <v>688</v>
      </c>
      <c r="I217" t="s">
        <v>688</v>
      </c>
      <c r="J217" t="s">
        <v>688</v>
      </c>
      <c r="K217" t="s">
        <v>688</v>
      </c>
      <c r="L217" t="s">
        <v>1147</v>
      </c>
      <c r="M217" t="s">
        <v>688</v>
      </c>
      <c r="O217" t="s">
        <v>1148</v>
      </c>
    </row>
    <row r="218" spans="1:15" ht="15">
      <c r="A218" s="9">
        <v>117</v>
      </c>
      <c r="B218" t="str">
        <f ca="1">IFERROR(__xludf.DUMMYFUNCTION((TRANSPOSE(ImportHTML("http://spending.data.al/sq/moneypower/view/id/117/year/2014",  "table", 0)))),"*Kategoria*")</f>
        <v>*Kategoria*</v>
      </c>
      <c r="C218" t="s">
        <v>673</v>
      </c>
      <c r="D218" t="s">
        <v>674</v>
      </c>
      <c r="E218" t="s">
        <v>675</v>
      </c>
      <c r="F218" t="s">
        <v>676</v>
      </c>
      <c r="G218" t="s">
        <v>677</v>
      </c>
      <c r="H218" t="s">
        <v>678</v>
      </c>
      <c r="I218" t="s">
        <v>679</v>
      </c>
      <c r="J218" t="s">
        <v>680</v>
      </c>
      <c r="K218" t="s">
        <v>681</v>
      </c>
      <c r="L218" t="s">
        <v>682</v>
      </c>
      <c r="M218" t="s">
        <v>683</v>
      </c>
      <c r="N218" t="s">
        <v>684</v>
      </c>
      <c r="O218" t="s">
        <v>685</v>
      </c>
    </row>
    <row r="219" spans="1:15" ht="15">
      <c r="A219" s="11"/>
      <c r="B219" t="s">
        <v>686</v>
      </c>
      <c r="C219" t="s">
        <v>1149</v>
      </c>
      <c r="D219" t="s">
        <v>688</v>
      </c>
      <c r="E219" t="s">
        <v>688</v>
      </c>
      <c r="F219" t="s">
        <v>1150</v>
      </c>
      <c r="G219" t="s">
        <v>1151</v>
      </c>
      <c r="H219" t="s">
        <v>688</v>
      </c>
      <c r="I219" t="s">
        <v>688</v>
      </c>
      <c r="J219" t="s">
        <v>688</v>
      </c>
      <c r="K219" t="s">
        <v>688</v>
      </c>
      <c r="L219" t="s">
        <v>1152</v>
      </c>
      <c r="M219" t="s">
        <v>688</v>
      </c>
      <c r="O219" t="s">
        <v>1153</v>
      </c>
    </row>
    <row r="220" spans="1:15" ht="15">
      <c r="A220" s="9">
        <v>118</v>
      </c>
      <c r="B220" t="str">
        <f ca="1">IFERROR(__xludf.DUMMYFUNCTION((TRANSPOSE(ImportHTML("http://spending.data.al/sq/moneypower/view/id/118/year/2014",  "table", 0)))),"*Kategoria*")</f>
        <v>*Kategoria*</v>
      </c>
      <c r="C220" t="s">
        <v>673</v>
      </c>
      <c r="D220" t="s">
        <v>674</v>
      </c>
      <c r="E220" t="s">
        <v>675</v>
      </c>
      <c r="F220" t="s">
        <v>676</v>
      </c>
      <c r="G220" t="s">
        <v>677</v>
      </c>
      <c r="H220" t="s">
        <v>678</v>
      </c>
      <c r="I220" t="s">
        <v>679</v>
      </c>
      <c r="J220" t="s">
        <v>680</v>
      </c>
      <c r="K220" t="s">
        <v>681</v>
      </c>
      <c r="L220" t="s">
        <v>682</v>
      </c>
      <c r="M220" t="s">
        <v>683</v>
      </c>
      <c r="N220" t="s">
        <v>684</v>
      </c>
      <c r="O220" t="s">
        <v>685</v>
      </c>
    </row>
    <row r="221" spans="1:15" ht="15">
      <c r="A221" s="11"/>
      <c r="B221" t="s">
        <v>686</v>
      </c>
      <c r="C221" t="s">
        <v>1154</v>
      </c>
      <c r="D221" t="s">
        <v>688</v>
      </c>
      <c r="E221" t="s">
        <v>688</v>
      </c>
      <c r="F221" t="s">
        <v>688</v>
      </c>
      <c r="G221" t="s">
        <v>688</v>
      </c>
      <c r="H221" t="s">
        <v>688</v>
      </c>
      <c r="I221" t="s">
        <v>688</v>
      </c>
      <c r="J221" t="s">
        <v>688</v>
      </c>
      <c r="K221" t="s">
        <v>688</v>
      </c>
      <c r="L221" t="s">
        <v>688</v>
      </c>
      <c r="M221" t="s">
        <v>688</v>
      </c>
      <c r="O221" t="s">
        <v>1155</v>
      </c>
    </row>
    <row r="222" spans="1:15" ht="15">
      <c r="A222" s="9">
        <v>119</v>
      </c>
      <c r="B222" t="str">
        <f ca="1">IFERROR(__xludf.DUMMYFUNCTION((TRANSPOSE(ImportHTML("http://spending.data.al/sq/moneypower/view/id/119/year/2014",  "table", 0)))),"*Kategoria*")</f>
        <v>*Kategoria*</v>
      </c>
      <c r="C222" t="s">
        <v>673</v>
      </c>
      <c r="D222" t="s">
        <v>674</v>
      </c>
      <c r="E222" t="s">
        <v>675</v>
      </c>
      <c r="F222" t="s">
        <v>676</v>
      </c>
      <c r="G222" t="s">
        <v>677</v>
      </c>
      <c r="H222" t="s">
        <v>678</v>
      </c>
      <c r="I222" t="s">
        <v>679</v>
      </c>
      <c r="J222" t="s">
        <v>680</v>
      </c>
      <c r="K222" t="s">
        <v>681</v>
      </c>
      <c r="L222" t="s">
        <v>682</v>
      </c>
      <c r="M222" t="s">
        <v>683</v>
      </c>
      <c r="N222" t="s">
        <v>684</v>
      </c>
      <c r="O222" t="s">
        <v>685</v>
      </c>
    </row>
    <row r="223" spans="1:15" ht="15">
      <c r="A223" s="11"/>
      <c r="B223" t="s">
        <v>686</v>
      </c>
      <c r="C223" t="s">
        <v>1156</v>
      </c>
      <c r="D223" t="s">
        <v>688</v>
      </c>
      <c r="E223" t="s">
        <v>688</v>
      </c>
      <c r="F223" t="s">
        <v>1157</v>
      </c>
      <c r="G223" t="s">
        <v>1158</v>
      </c>
      <c r="H223" t="s">
        <v>688</v>
      </c>
      <c r="I223" t="s">
        <v>688</v>
      </c>
      <c r="J223" t="s">
        <v>688</v>
      </c>
      <c r="K223" t="s">
        <v>688</v>
      </c>
      <c r="L223" t="s">
        <v>1159</v>
      </c>
      <c r="M223" t="s">
        <v>688</v>
      </c>
      <c r="O223" t="s">
        <v>1160</v>
      </c>
    </row>
    <row r="224" spans="1:15" ht="15">
      <c r="A224" s="9">
        <v>120</v>
      </c>
      <c r="B224" t="str">
        <f ca="1">IFERROR(__xludf.DUMMYFUNCTION((TRANSPOSE(ImportHTML("http://spending.data.al/sq/moneypower/view/id/120/year/2014",  "table", 0)))),"*Kategoria*")</f>
        <v>*Kategoria*</v>
      </c>
      <c r="C224" t="s">
        <v>673</v>
      </c>
      <c r="D224" t="s">
        <v>674</v>
      </c>
      <c r="E224" t="s">
        <v>675</v>
      </c>
      <c r="F224" t="s">
        <v>676</v>
      </c>
      <c r="G224" t="s">
        <v>677</v>
      </c>
      <c r="H224" t="s">
        <v>678</v>
      </c>
      <c r="I224" t="s">
        <v>679</v>
      </c>
      <c r="J224" t="s">
        <v>680</v>
      </c>
      <c r="K224" t="s">
        <v>681</v>
      </c>
      <c r="L224" t="s">
        <v>682</v>
      </c>
      <c r="M224" t="s">
        <v>683</v>
      </c>
      <c r="N224" t="s">
        <v>684</v>
      </c>
      <c r="O224" t="s">
        <v>685</v>
      </c>
    </row>
    <row r="225" spans="1:15" ht="15">
      <c r="A225" s="11"/>
      <c r="B225" t="s">
        <v>686</v>
      </c>
      <c r="C225" t="s">
        <v>1161</v>
      </c>
      <c r="D225" t="s">
        <v>688</v>
      </c>
      <c r="E225" t="s">
        <v>688</v>
      </c>
      <c r="F225" t="s">
        <v>1162</v>
      </c>
      <c r="G225" t="s">
        <v>1163</v>
      </c>
      <c r="H225" t="s">
        <v>688</v>
      </c>
      <c r="I225" t="s">
        <v>688</v>
      </c>
      <c r="J225" t="s">
        <v>688</v>
      </c>
      <c r="K225" t="s">
        <v>688</v>
      </c>
      <c r="L225" t="s">
        <v>1164</v>
      </c>
      <c r="M225" t="s">
        <v>688</v>
      </c>
      <c r="O225" t="s">
        <v>1165</v>
      </c>
    </row>
    <row r="226" spans="1:15" ht="15">
      <c r="A226" s="9">
        <v>121</v>
      </c>
      <c r="B226" t="str">
        <f ca="1">IFERROR(__xludf.DUMMYFUNCTION((TRANSPOSE(ImportHTML("http://spending.data.al/sq/moneypower/view/id/121/year/2014",  "table", 0)))),"*Kategoria*")</f>
        <v>*Kategoria*</v>
      </c>
      <c r="C226" t="s">
        <v>673</v>
      </c>
      <c r="D226" t="s">
        <v>674</v>
      </c>
      <c r="E226" t="s">
        <v>675</v>
      </c>
      <c r="F226" t="s">
        <v>676</v>
      </c>
      <c r="G226" t="s">
        <v>677</v>
      </c>
      <c r="H226" t="s">
        <v>678</v>
      </c>
      <c r="I226" t="s">
        <v>679</v>
      </c>
      <c r="J226" t="s">
        <v>680</v>
      </c>
      <c r="K226" t="s">
        <v>681</v>
      </c>
      <c r="L226" t="s">
        <v>682</v>
      </c>
      <c r="M226" t="s">
        <v>683</v>
      </c>
      <c r="N226" t="s">
        <v>684</v>
      </c>
      <c r="O226" t="s">
        <v>685</v>
      </c>
    </row>
    <row r="227" spans="1:15" ht="15">
      <c r="A227" s="11"/>
      <c r="B227" t="s">
        <v>686</v>
      </c>
      <c r="C227" t="s">
        <v>1166</v>
      </c>
      <c r="D227" t="s">
        <v>1167</v>
      </c>
      <c r="E227" t="s">
        <v>688</v>
      </c>
      <c r="F227" t="s">
        <v>1168</v>
      </c>
      <c r="G227" t="s">
        <v>688</v>
      </c>
      <c r="H227" t="s">
        <v>688</v>
      </c>
      <c r="I227" t="s">
        <v>688</v>
      </c>
      <c r="J227" t="s">
        <v>688</v>
      </c>
      <c r="K227" t="s">
        <v>688</v>
      </c>
      <c r="L227" t="s">
        <v>1169</v>
      </c>
      <c r="M227" t="s">
        <v>688</v>
      </c>
      <c r="O227" t="s">
        <v>1170</v>
      </c>
    </row>
    <row r="228" spans="1:15" ht="15">
      <c r="A228" s="9">
        <v>122</v>
      </c>
      <c r="B228" t="str">
        <f ca="1">IFERROR(__xludf.DUMMYFUNCTION((TRANSPOSE(ImportHTML("http://spending.data.al/sq/moneypower/view/id/122/year/2014",  "table", 0)))),"*Kategoria*")</f>
        <v>*Kategoria*</v>
      </c>
      <c r="C228" t="s">
        <v>673</v>
      </c>
      <c r="D228" t="s">
        <v>674</v>
      </c>
      <c r="E228" t="s">
        <v>675</v>
      </c>
      <c r="F228" t="s">
        <v>676</v>
      </c>
      <c r="G228" t="s">
        <v>677</v>
      </c>
      <c r="H228" t="s">
        <v>678</v>
      </c>
      <c r="I228" t="s">
        <v>679</v>
      </c>
      <c r="J228" t="s">
        <v>680</v>
      </c>
      <c r="K228" t="s">
        <v>681</v>
      </c>
      <c r="L228" t="s">
        <v>682</v>
      </c>
      <c r="M228" t="s">
        <v>683</v>
      </c>
      <c r="N228" t="s">
        <v>684</v>
      </c>
      <c r="O228" t="s">
        <v>685</v>
      </c>
    </row>
    <row r="229" spans="1:15" ht="15">
      <c r="A229" s="11"/>
      <c r="B229" t="s">
        <v>686</v>
      </c>
      <c r="C229" t="s">
        <v>1171</v>
      </c>
      <c r="D229" t="s">
        <v>688</v>
      </c>
      <c r="E229" t="s">
        <v>688</v>
      </c>
      <c r="F229" t="s">
        <v>1172</v>
      </c>
      <c r="G229" t="s">
        <v>688</v>
      </c>
      <c r="H229" t="s">
        <v>688</v>
      </c>
      <c r="I229" t="s">
        <v>688</v>
      </c>
      <c r="J229" t="s">
        <v>688</v>
      </c>
      <c r="K229" t="s">
        <v>688</v>
      </c>
      <c r="L229" t="s">
        <v>1173</v>
      </c>
      <c r="M229" t="s">
        <v>688</v>
      </c>
      <c r="O229" t="s">
        <v>1174</v>
      </c>
    </row>
    <row r="230" spans="1:15" ht="15">
      <c r="A230" s="9">
        <v>123</v>
      </c>
      <c r="B230" t="str">
        <f ca="1">IFERROR(__xludf.DUMMYFUNCTION((TRANSPOSE(ImportHTML("http://spending.data.al/sq/moneypower/view/id/123/year/2014",  "table", 0)))),"*Kategoria*")</f>
        <v>*Kategoria*</v>
      </c>
      <c r="C230" t="s">
        <v>673</v>
      </c>
      <c r="D230" t="s">
        <v>674</v>
      </c>
      <c r="E230" t="s">
        <v>675</v>
      </c>
      <c r="F230" t="s">
        <v>676</v>
      </c>
      <c r="G230" t="s">
        <v>677</v>
      </c>
      <c r="H230" t="s">
        <v>678</v>
      </c>
      <c r="I230" t="s">
        <v>679</v>
      </c>
      <c r="J230" t="s">
        <v>680</v>
      </c>
      <c r="K230" t="s">
        <v>681</v>
      </c>
      <c r="L230" t="s">
        <v>682</v>
      </c>
      <c r="M230" t="s">
        <v>683</v>
      </c>
      <c r="N230" t="s">
        <v>684</v>
      </c>
      <c r="O230" t="s">
        <v>685</v>
      </c>
    </row>
    <row r="231" spans="1:15" ht="15">
      <c r="A231" s="11"/>
      <c r="B231" t="s">
        <v>686</v>
      </c>
      <c r="C231" t="s">
        <v>1175</v>
      </c>
      <c r="D231" t="s">
        <v>1176</v>
      </c>
      <c r="E231" t="s">
        <v>688</v>
      </c>
      <c r="F231" t="s">
        <v>1177</v>
      </c>
      <c r="G231" t="s">
        <v>688</v>
      </c>
      <c r="H231" t="s">
        <v>688</v>
      </c>
      <c r="I231" t="s">
        <v>688</v>
      </c>
      <c r="J231" t="s">
        <v>688</v>
      </c>
      <c r="K231" t="s">
        <v>688</v>
      </c>
      <c r="L231" t="s">
        <v>1178</v>
      </c>
      <c r="M231" t="s">
        <v>688</v>
      </c>
      <c r="O231" t="s">
        <v>1179</v>
      </c>
    </row>
    <row r="232" spans="1:15" ht="15">
      <c r="A232" s="9">
        <v>124</v>
      </c>
      <c r="B232" t="str">
        <f ca="1">IFERROR(__xludf.DUMMYFUNCTION((TRANSPOSE(ImportHTML("http://spending.data.al/sq/moneypower/view/id/124/year/2014",  "table", 0)))),"*Kategoria*")</f>
        <v>*Kategoria*</v>
      </c>
      <c r="C232" t="s">
        <v>673</v>
      </c>
      <c r="D232" t="s">
        <v>674</v>
      </c>
      <c r="E232" t="s">
        <v>675</v>
      </c>
      <c r="F232" t="s">
        <v>676</v>
      </c>
      <c r="G232" t="s">
        <v>677</v>
      </c>
      <c r="H232" t="s">
        <v>678</v>
      </c>
      <c r="I232" t="s">
        <v>679</v>
      </c>
      <c r="J232" t="s">
        <v>680</v>
      </c>
      <c r="K232" t="s">
        <v>681</v>
      </c>
      <c r="L232" t="s">
        <v>682</v>
      </c>
      <c r="M232" t="s">
        <v>683</v>
      </c>
      <c r="N232" t="s">
        <v>684</v>
      </c>
      <c r="O232" t="s">
        <v>685</v>
      </c>
    </row>
    <row r="233" spans="1:15" ht="15">
      <c r="A233" s="11"/>
      <c r="B233" t="s">
        <v>686</v>
      </c>
      <c r="C233" t="s">
        <v>1180</v>
      </c>
      <c r="D233" t="s">
        <v>688</v>
      </c>
      <c r="E233" t="s">
        <v>688</v>
      </c>
      <c r="F233" t="s">
        <v>688</v>
      </c>
      <c r="G233" t="s">
        <v>688</v>
      </c>
      <c r="H233" t="s">
        <v>688</v>
      </c>
      <c r="I233" t="s">
        <v>688</v>
      </c>
      <c r="J233" t="s">
        <v>688</v>
      </c>
      <c r="K233" t="s">
        <v>688</v>
      </c>
      <c r="L233" t="s">
        <v>688</v>
      </c>
      <c r="M233" t="s">
        <v>688</v>
      </c>
      <c r="O233" t="s">
        <v>1181</v>
      </c>
    </row>
    <row r="234" spans="1:15" ht="15">
      <c r="A234" s="9">
        <v>125</v>
      </c>
      <c r="B234" t="str">
        <f ca="1">IFERROR(__xludf.DUMMYFUNCTION((TRANSPOSE(ImportHTML("http://spending.data.al/sq/moneypower/view/id/125/year/2014",  "table", 0)))),"*Kategoria*")</f>
        <v>*Kategoria*</v>
      </c>
      <c r="C234" t="s">
        <v>673</v>
      </c>
      <c r="D234" t="s">
        <v>674</v>
      </c>
      <c r="E234" t="s">
        <v>675</v>
      </c>
      <c r="F234" t="s">
        <v>676</v>
      </c>
      <c r="G234" t="s">
        <v>677</v>
      </c>
      <c r="H234" t="s">
        <v>678</v>
      </c>
      <c r="I234" t="s">
        <v>679</v>
      </c>
      <c r="J234" t="s">
        <v>680</v>
      </c>
      <c r="K234" t="s">
        <v>681</v>
      </c>
      <c r="L234" t="s">
        <v>682</v>
      </c>
      <c r="M234" t="s">
        <v>683</v>
      </c>
      <c r="N234" t="s">
        <v>684</v>
      </c>
      <c r="O234" t="s">
        <v>685</v>
      </c>
    </row>
    <row r="235" spans="1:15" ht="15">
      <c r="A235" s="11"/>
      <c r="B235" t="s">
        <v>686</v>
      </c>
      <c r="C235" t="s">
        <v>1182</v>
      </c>
      <c r="D235" t="s">
        <v>688</v>
      </c>
      <c r="E235" t="s">
        <v>688</v>
      </c>
      <c r="F235" t="s">
        <v>688</v>
      </c>
      <c r="G235" t="s">
        <v>688</v>
      </c>
      <c r="H235" t="s">
        <v>688</v>
      </c>
      <c r="I235" t="s">
        <v>688</v>
      </c>
      <c r="J235" t="s">
        <v>688</v>
      </c>
      <c r="K235" t="s">
        <v>688</v>
      </c>
      <c r="L235" t="s">
        <v>688</v>
      </c>
      <c r="M235" t="s">
        <v>1183</v>
      </c>
      <c r="O235" t="s">
        <v>1184</v>
      </c>
    </row>
    <row r="236" spans="1:15" ht="15">
      <c r="A236" s="9">
        <v>126</v>
      </c>
      <c r="B236" t="str">
        <f ca="1">IFERROR(__xludf.DUMMYFUNCTION((TRANSPOSE(ImportHTML("http://spending.data.al/sq/moneypower/view/id/126/year/2014",  "table", 0)))),"*Kategoria*")</f>
        <v>*Kategoria*</v>
      </c>
      <c r="C236" t="s">
        <v>673</v>
      </c>
      <c r="D236" t="s">
        <v>674</v>
      </c>
      <c r="E236" t="s">
        <v>675</v>
      </c>
      <c r="F236" t="s">
        <v>676</v>
      </c>
      <c r="G236" t="s">
        <v>677</v>
      </c>
      <c r="H236" t="s">
        <v>678</v>
      </c>
      <c r="I236" t="s">
        <v>679</v>
      </c>
      <c r="J236" t="s">
        <v>680</v>
      </c>
      <c r="K236" t="s">
        <v>681</v>
      </c>
      <c r="L236" t="s">
        <v>682</v>
      </c>
      <c r="M236" t="s">
        <v>683</v>
      </c>
      <c r="N236" t="s">
        <v>684</v>
      </c>
      <c r="O236" t="s">
        <v>685</v>
      </c>
    </row>
    <row r="237" spans="1:15" ht="15">
      <c r="A237" s="11"/>
      <c r="B237" t="s">
        <v>686</v>
      </c>
      <c r="C237" t="s">
        <v>1185</v>
      </c>
      <c r="D237" t="s">
        <v>688</v>
      </c>
      <c r="E237" t="s">
        <v>688</v>
      </c>
      <c r="F237" t="s">
        <v>688</v>
      </c>
      <c r="G237" t="s">
        <v>688</v>
      </c>
      <c r="H237" t="s">
        <v>688</v>
      </c>
      <c r="I237" t="s">
        <v>688</v>
      </c>
      <c r="J237" t="s">
        <v>688</v>
      </c>
      <c r="K237" t="s">
        <v>688</v>
      </c>
      <c r="L237" t="s">
        <v>1186</v>
      </c>
      <c r="M237" t="s">
        <v>688</v>
      </c>
      <c r="O237" t="s">
        <v>1187</v>
      </c>
    </row>
    <row r="238" spans="1:15" ht="15">
      <c r="A238" s="9">
        <v>127</v>
      </c>
      <c r="B238" t="str">
        <f ca="1">IFERROR(__xludf.DUMMYFUNCTION((TRANSPOSE(ImportHTML("http://spending.data.al/sq/moneypower/view/id/127/year/2014",  "table", 0)))),"*Kategoria*")</f>
        <v>*Kategoria*</v>
      </c>
      <c r="C238" t="s">
        <v>673</v>
      </c>
      <c r="D238" t="s">
        <v>674</v>
      </c>
      <c r="E238" t="s">
        <v>675</v>
      </c>
      <c r="F238" t="s">
        <v>676</v>
      </c>
      <c r="G238" t="s">
        <v>677</v>
      </c>
      <c r="H238" t="s">
        <v>678</v>
      </c>
      <c r="I238" t="s">
        <v>679</v>
      </c>
      <c r="J238" t="s">
        <v>680</v>
      </c>
      <c r="K238" t="s">
        <v>681</v>
      </c>
      <c r="L238" t="s">
        <v>682</v>
      </c>
      <c r="M238" t="s">
        <v>683</v>
      </c>
      <c r="N238" t="s">
        <v>684</v>
      </c>
      <c r="O238" t="s">
        <v>685</v>
      </c>
    </row>
    <row r="239" spans="1:15" ht="15">
      <c r="A239" s="11"/>
      <c r="B239" t="s">
        <v>686</v>
      </c>
      <c r="C239" t="s">
        <v>1188</v>
      </c>
      <c r="D239" t="s">
        <v>688</v>
      </c>
      <c r="E239" t="s">
        <v>688</v>
      </c>
      <c r="F239" t="s">
        <v>688</v>
      </c>
      <c r="G239" t="s">
        <v>688</v>
      </c>
      <c r="H239" t="s">
        <v>688</v>
      </c>
      <c r="I239" t="s">
        <v>688</v>
      </c>
      <c r="J239" t="s">
        <v>688</v>
      </c>
      <c r="K239" t="s">
        <v>688</v>
      </c>
      <c r="L239" t="s">
        <v>1189</v>
      </c>
      <c r="M239" t="s">
        <v>688</v>
      </c>
      <c r="O239" t="s">
        <v>1190</v>
      </c>
    </row>
    <row r="240" spans="1:15" ht="15">
      <c r="A240" s="9">
        <v>128</v>
      </c>
      <c r="B240" t="str">
        <f ca="1">IFERROR(__xludf.DUMMYFUNCTION((TRANSPOSE(ImportHTML("http://spending.data.al/sq/moneypower/view/id/128/year/2014",  "table", 0)))),"*Kategoria*")</f>
        <v>*Kategoria*</v>
      </c>
      <c r="C240" t="s">
        <v>673</v>
      </c>
      <c r="D240" t="s">
        <v>674</v>
      </c>
      <c r="E240" t="s">
        <v>675</v>
      </c>
      <c r="F240" t="s">
        <v>676</v>
      </c>
      <c r="G240" t="s">
        <v>677</v>
      </c>
      <c r="H240" t="s">
        <v>678</v>
      </c>
      <c r="I240" t="s">
        <v>679</v>
      </c>
      <c r="J240" t="s">
        <v>680</v>
      </c>
      <c r="K240" t="s">
        <v>681</v>
      </c>
      <c r="L240" t="s">
        <v>682</v>
      </c>
      <c r="M240" t="s">
        <v>683</v>
      </c>
      <c r="N240" t="s">
        <v>684</v>
      </c>
      <c r="O240" t="s">
        <v>685</v>
      </c>
    </row>
    <row r="241" spans="1:15" ht="15">
      <c r="A241" s="11"/>
      <c r="B241" t="s">
        <v>686</v>
      </c>
      <c r="C241" t="s">
        <v>1191</v>
      </c>
      <c r="D241" t="s">
        <v>688</v>
      </c>
      <c r="E241" t="s">
        <v>1192</v>
      </c>
      <c r="F241" t="s">
        <v>688</v>
      </c>
      <c r="G241" t="s">
        <v>1193</v>
      </c>
      <c r="H241" t="s">
        <v>688</v>
      </c>
      <c r="I241" t="s">
        <v>688</v>
      </c>
      <c r="J241" t="s">
        <v>688</v>
      </c>
      <c r="K241" t="s">
        <v>688</v>
      </c>
      <c r="L241" t="s">
        <v>1194</v>
      </c>
      <c r="M241" t="s">
        <v>688</v>
      </c>
      <c r="O241" t="s">
        <v>1195</v>
      </c>
    </row>
    <row r="242" spans="1:15" ht="15">
      <c r="A242" s="9">
        <v>129</v>
      </c>
      <c r="B242" t="str">
        <f ca="1">IFERROR(__xludf.DUMMYFUNCTION((TRANSPOSE(ImportHTML("http://spending.data.al/sq/moneypower/view/id/129/year/2014",  "table", 0)))),"*Kategoria*")</f>
        <v>*Kategoria*</v>
      </c>
      <c r="C242" t="s">
        <v>673</v>
      </c>
      <c r="D242" t="s">
        <v>674</v>
      </c>
      <c r="E242" t="s">
        <v>675</v>
      </c>
      <c r="F242" t="s">
        <v>676</v>
      </c>
      <c r="G242" t="s">
        <v>677</v>
      </c>
      <c r="H242" t="s">
        <v>678</v>
      </c>
      <c r="I242" t="s">
        <v>679</v>
      </c>
      <c r="J242" t="s">
        <v>680</v>
      </c>
      <c r="K242" t="s">
        <v>681</v>
      </c>
      <c r="L242" t="s">
        <v>682</v>
      </c>
      <c r="M242" t="s">
        <v>683</v>
      </c>
      <c r="N242" t="s">
        <v>684</v>
      </c>
      <c r="O242" t="s">
        <v>685</v>
      </c>
    </row>
    <row r="243" spans="1:15" ht="15">
      <c r="A243" s="11"/>
      <c r="B243" t="s">
        <v>686</v>
      </c>
      <c r="C243" t="s">
        <v>1196</v>
      </c>
      <c r="D243" t="s">
        <v>688</v>
      </c>
      <c r="E243" t="s">
        <v>688</v>
      </c>
      <c r="F243" t="s">
        <v>688</v>
      </c>
      <c r="G243" t="s">
        <v>688</v>
      </c>
      <c r="H243" t="s">
        <v>688</v>
      </c>
      <c r="I243" t="s">
        <v>688</v>
      </c>
      <c r="J243" t="s">
        <v>688</v>
      </c>
      <c r="K243" t="s">
        <v>688</v>
      </c>
      <c r="L243" t="s">
        <v>1197</v>
      </c>
      <c r="M243" t="s">
        <v>688</v>
      </c>
      <c r="O243" t="s">
        <v>1198</v>
      </c>
    </row>
    <row r="244" spans="1:15" ht="15">
      <c r="A244" s="9">
        <v>130</v>
      </c>
      <c r="B244" t="str">
        <f ca="1">IFERROR(__xludf.DUMMYFUNCTION((TRANSPOSE(ImportHTML("http://spending.data.al/sq/moneypower/view/id/130/year/2014",  "table", 0)))),"*Kategoria*")</f>
        <v>*Kategoria*</v>
      </c>
      <c r="C244" t="s">
        <v>673</v>
      </c>
      <c r="D244" t="s">
        <v>674</v>
      </c>
      <c r="E244" t="s">
        <v>675</v>
      </c>
      <c r="F244" t="s">
        <v>676</v>
      </c>
      <c r="G244" t="s">
        <v>677</v>
      </c>
      <c r="H244" t="s">
        <v>678</v>
      </c>
      <c r="I244" t="s">
        <v>679</v>
      </c>
      <c r="J244" t="s">
        <v>680</v>
      </c>
      <c r="K244" t="s">
        <v>681</v>
      </c>
      <c r="L244" t="s">
        <v>682</v>
      </c>
      <c r="M244" t="s">
        <v>683</v>
      </c>
      <c r="N244" t="s">
        <v>684</v>
      </c>
      <c r="O244" t="s">
        <v>685</v>
      </c>
    </row>
    <row r="245" spans="1:15" ht="15">
      <c r="A245" s="11"/>
      <c r="B245" t="s">
        <v>686</v>
      </c>
      <c r="C245" t="s">
        <v>1199</v>
      </c>
      <c r="D245" t="s">
        <v>688</v>
      </c>
      <c r="E245" t="s">
        <v>688</v>
      </c>
      <c r="F245" t="s">
        <v>688</v>
      </c>
      <c r="G245" t="s">
        <v>688</v>
      </c>
      <c r="H245" t="s">
        <v>688</v>
      </c>
      <c r="I245" t="s">
        <v>688</v>
      </c>
      <c r="J245" t="s">
        <v>688</v>
      </c>
      <c r="K245" t="s">
        <v>688</v>
      </c>
      <c r="L245" t="s">
        <v>688</v>
      </c>
      <c r="M245" t="s">
        <v>688</v>
      </c>
      <c r="O245" t="s">
        <v>688</v>
      </c>
    </row>
    <row r="246" spans="1:15" ht="15">
      <c r="A246" s="9">
        <v>131</v>
      </c>
      <c r="B246" t="str">
        <f ca="1">IFERROR(__xludf.DUMMYFUNCTION((TRANSPOSE(ImportHTML("http://spending.data.al/sq/moneypower/view/id/131/year/2014",  "table", 0)))),"*Kategoria*")</f>
        <v>*Kategoria*</v>
      </c>
      <c r="C246" t="s">
        <v>673</v>
      </c>
      <c r="D246" t="s">
        <v>674</v>
      </c>
      <c r="E246" t="s">
        <v>675</v>
      </c>
      <c r="F246" t="s">
        <v>676</v>
      </c>
      <c r="G246" t="s">
        <v>677</v>
      </c>
      <c r="H246" t="s">
        <v>678</v>
      </c>
      <c r="I246" t="s">
        <v>679</v>
      </c>
      <c r="J246" t="s">
        <v>680</v>
      </c>
      <c r="K246" t="s">
        <v>681</v>
      </c>
      <c r="L246" t="s">
        <v>682</v>
      </c>
      <c r="M246" t="s">
        <v>683</v>
      </c>
      <c r="N246" t="s">
        <v>684</v>
      </c>
      <c r="O246" t="s">
        <v>685</v>
      </c>
    </row>
    <row r="247" spans="1:15" ht="15">
      <c r="A247" s="11"/>
      <c r="B247" t="s">
        <v>686</v>
      </c>
      <c r="C247" t="s">
        <v>1200</v>
      </c>
      <c r="D247" t="s">
        <v>688</v>
      </c>
      <c r="E247" t="s">
        <v>688</v>
      </c>
      <c r="F247" t="s">
        <v>688</v>
      </c>
      <c r="G247" t="s">
        <v>688</v>
      </c>
      <c r="H247" t="s">
        <v>688</v>
      </c>
      <c r="I247" t="s">
        <v>688</v>
      </c>
      <c r="J247" t="s">
        <v>688</v>
      </c>
      <c r="K247" t="s">
        <v>688</v>
      </c>
      <c r="L247" t="s">
        <v>1201</v>
      </c>
      <c r="M247" t="s">
        <v>688</v>
      </c>
      <c r="O247" t="s">
        <v>1202</v>
      </c>
    </row>
    <row r="248" spans="1:15" ht="15">
      <c r="A248" s="9">
        <v>132</v>
      </c>
      <c r="B248" t="str">
        <f ca="1">IFERROR(__xludf.DUMMYFUNCTION((TRANSPOSE(ImportHTML("http://spending.data.al/sq/moneypower/view/id/132/year/2014",  "table", 0)))),"*Kategoria*")</f>
        <v>*Kategoria*</v>
      </c>
      <c r="C248" t="s">
        <v>673</v>
      </c>
      <c r="D248" t="s">
        <v>674</v>
      </c>
      <c r="E248" t="s">
        <v>675</v>
      </c>
      <c r="F248" t="s">
        <v>676</v>
      </c>
      <c r="G248" t="s">
        <v>677</v>
      </c>
      <c r="H248" t="s">
        <v>678</v>
      </c>
      <c r="I248" t="s">
        <v>679</v>
      </c>
      <c r="J248" t="s">
        <v>680</v>
      </c>
      <c r="K248" t="s">
        <v>681</v>
      </c>
      <c r="L248" t="s">
        <v>682</v>
      </c>
      <c r="M248" t="s">
        <v>683</v>
      </c>
      <c r="N248" t="s">
        <v>684</v>
      </c>
      <c r="O248" t="s">
        <v>685</v>
      </c>
    </row>
    <row r="249" spans="1:15" ht="15">
      <c r="A249" s="11"/>
      <c r="B249" t="s">
        <v>686</v>
      </c>
      <c r="C249" t="s">
        <v>1203</v>
      </c>
      <c r="D249" t="s">
        <v>688</v>
      </c>
      <c r="E249" t="s">
        <v>688</v>
      </c>
      <c r="F249" t="s">
        <v>688</v>
      </c>
      <c r="G249" t="s">
        <v>688</v>
      </c>
      <c r="H249" t="s">
        <v>688</v>
      </c>
      <c r="I249" t="s">
        <v>688</v>
      </c>
      <c r="J249" t="s">
        <v>688</v>
      </c>
      <c r="K249" t="s">
        <v>688</v>
      </c>
      <c r="L249" t="s">
        <v>1204</v>
      </c>
      <c r="M249" t="s">
        <v>688</v>
      </c>
      <c r="O249" t="s">
        <v>1205</v>
      </c>
    </row>
    <row r="250" spans="1:15" ht="15">
      <c r="A250" s="9">
        <v>133</v>
      </c>
      <c r="B250" t="str">
        <f ca="1">IFERROR(__xludf.DUMMYFUNCTION((TRANSPOSE(ImportHTML("http://spending.data.al/sq/moneypower/view/id/133/year/2014",  "table", 0)))),"*Kategoria*")</f>
        <v>*Kategoria*</v>
      </c>
      <c r="C250" t="s">
        <v>673</v>
      </c>
      <c r="D250" t="s">
        <v>674</v>
      </c>
      <c r="E250" t="s">
        <v>675</v>
      </c>
      <c r="F250" t="s">
        <v>676</v>
      </c>
      <c r="G250" t="s">
        <v>677</v>
      </c>
      <c r="H250" t="s">
        <v>678</v>
      </c>
      <c r="I250" t="s">
        <v>679</v>
      </c>
      <c r="J250" t="s">
        <v>680</v>
      </c>
      <c r="K250" t="s">
        <v>681</v>
      </c>
      <c r="L250" t="s">
        <v>682</v>
      </c>
      <c r="M250" t="s">
        <v>683</v>
      </c>
      <c r="N250" t="s">
        <v>684</v>
      </c>
      <c r="O250" t="s">
        <v>685</v>
      </c>
    </row>
    <row r="251" spans="1:15" ht="15">
      <c r="A251" s="11"/>
      <c r="B251" t="s">
        <v>686</v>
      </c>
      <c r="C251" t="s">
        <v>1206</v>
      </c>
      <c r="D251" t="s">
        <v>688</v>
      </c>
      <c r="E251" t="s">
        <v>688</v>
      </c>
      <c r="F251" t="s">
        <v>1070</v>
      </c>
      <c r="G251" t="s">
        <v>688</v>
      </c>
      <c r="H251" t="s">
        <v>688</v>
      </c>
      <c r="I251" t="s">
        <v>688</v>
      </c>
      <c r="J251" t="s">
        <v>688</v>
      </c>
      <c r="K251" t="s">
        <v>688</v>
      </c>
      <c r="L251" t="s">
        <v>1207</v>
      </c>
      <c r="M251" t="s">
        <v>688</v>
      </c>
      <c r="O251" t="s">
        <v>1208</v>
      </c>
    </row>
    <row r="252" spans="1:15" ht="15">
      <c r="A252" s="9">
        <v>134</v>
      </c>
      <c r="B252" t="str">
        <f ca="1">IFERROR(__xludf.DUMMYFUNCTION((TRANSPOSE(ImportHTML("http://spending.data.al/sq/moneypower/view/id/134/year/2014",  "table", 0)))),"*Kategoria*")</f>
        <v>*Kategoria*</v>
      </c>
      <c r="C252" t="s">
        <v>673</v>
      </c>
      <c r="D252" t="s">
        <v>674</v>
      </c>
      <c r="E252" t="s">
        <v>675</v>
      </c>
      <c r="F252" t="s">
        <v>676</v>
      </c>
      <c r="G252" t="s">
        <v>677</v>
      </c>
      <c r="H252" t="s">
        <v>678</v>
      </c>
      <c r="I252" t="s">
        <v>679</v>
      </c>
      <c r="J252" t="s">
        <v>680</v>
      </c>
      <c r="K252" t="s">
        <v>681</v>
      </c>
      <c r="L252" t="s">
        <v>682</v>
      </c>
      <c r="M252" t="s">
        <v>683</v>
      </c>
      <c r="N252" t="s">
        <v>684</v>
      </c>
      <c r="O252" t="s">
        <v>685</v>
      </c>
    </row>
    <row r="253" spans="1:15" ht="15">
      <c r="A253" s="11"/>
      <c r="B253" t="s">
        <v>686</v>
      </c>
      <c r="C253" t="s">
        <v>1209</v>
      </c>
      <c r="D253" t="s">
        <v>688</v>
      </c>
      <c r="E253" t="s">
        <v>688</v>
      </c>
      <c r="F253" t="s">
        <v>688</v>
      </c>
      <c r="G253" t="s">
        <v>688</v>
      </c>
      <c r="H253" t="s">
        <v>688</v>
      </c>
      <c r="I253" t="s">
        <v>688</v>
      </c>
      <c r="J253" t="s">
        <v>688</v>
      </c>
      <c r="K253" t="s">
        <v>688</v>
      </c>
      <c r="L253" t="s">
        <v>1210</v>
      </c>
      <c r="M253" t="s">
        <v>688</v>
      </c>
      <c r="O253" t="s">
        <v>1211</v>
      </c>
    </row>
    <row r="254" spans="1:15" ht="15">
      <c r="A254" s="9">
        <v>135</v>
      </c>
      <c r="B254" t="str">
        <f ca="1">IFERROR(__xludf.DUMMYFUNCTION((TRANSPOSE(ImportHTML("http://spending.data.al/sq/moneypower/view/id/135/year/2014",  "table", 0)))),"*Kategoria*")</f>
        <v>*Kategoria*</v>
      </c>
      <c r="C254" t="s">
        <v>673</v>
      </c>
      <c r="D254" t="s">
        <v>674</v>
      </c>
      <c r="E254" t="s">
        <v>675</v>
      </c>
      <c r="F254" t="s">
        <v>676</v>
      </c>
      <c r="G254" t="s">
        <v>677</v>
      </c>
      <c r="H254" t="s">
        <v>678</v>
      </c>
      <c r="I254" t="s">
        <v>679</v>
      </c>
      <c r="J254" t="s">
        <v>680</v>
      </c>
      <c r="K254" t="s">
        <v>681</v>
      </c>
      <c r="L254" t="s">
        <v>682</v>
      </c>
      <c r="M254" t="s">
        <v>683</v>
      </c>
      <c r="N254" t="s">
        <v>684</v>
      </c>
      <c r="O254" t="s">
        <v>685</v>
      </c>
    </row>
    <row r="255" spans="1:15" ht="15">
      <c r="A255" s="11"/>
      <c r="B255" t="s">
        <v>686</v>
      </c>
      <c r="C255" t="s">
        <v>1212</v>
      </c>
      <c r="D255" t="s">
        <v>688</v>
      </c>
      <c r="E255" t="s">
        <v>688</v>
      </c>
      <c r="F255" t="s">
        <v>1213</v>
      </c>
      <c r="G255" t="s">
        <v>1214</v>
      </c>
      <c r="H255" t="s">
        <v>688</v>
      </c>
      <c r="I255" t="s">
        <v>688</v>
      </c>
      <c r="J255" t="s">
        <v>688</v>
      </c>
      <c r="K255" t="s">
        <v>688</v>
      </c>
      <c r="L255" t="s">
        <v>1215</v>
      </c>
      <c r="M255" t="s">
        <v>688</v>
      </c>
      <c r="O255" t="s">
        <v>1216</v>
      </c>
    </row>
    <row r="256" spans="1:15" ht="15">
      <c r="A256" s="9">
        <v>136</v>
      </c>
      <c r="B256" t="str">
        <f ca="1">IFERROR(__xludf.DUMMYFUNCTION((TRANSPOSE(ImportHTML("http://spending.data.al/sq/moneypower/view/id/136/year/2014",  "table", 0)))),"*Kategoria*")</f>
        <v>*Kategoria*</v>
      </c>
      <c r="C256" t="s">
        <v>673</v>
      </c>
      <c r="D256" t="s">
        <v>674</v>
      </c>
      <c r="E256" t="s">
        <v>675</v>
      </c>
      <c r="F256" t="s">
        <v>676</v>
      </c>
      <c r="G256" t="s">
        <v>677</v>
      </c>
      <c r="H256" t="s">
        <v>678</v>
      </c>
      <c r="I256" t="s">
        <v>679</v>
      </c>
      <c r="J256" t="s">
        <v>680</v>
      </c>
      <c r="K256" t="s">
        <v>681</v>
      </c>
      <c r="L256" t="s">
        <v>682</v>
      </c>
      <c r="M256" t="s">
        <v>683</v>
      </c>
      <c r="N256" t="s">
        <v>684</v>
      </c>
      <c r="O256" t="s">
        <v>685</v>
      </c>
    </row>
    <row r="257" spans="1:15" ht="15">
      <c r="A257" s="11"/>
      <c r="B257" t="s">
        <v>686</v>
      </c>
      <c r="C257" t="s">
        <v>1217</v>
      </c>
      <c r="D257" t="s">
        <v>688</v>
      </c>
      <c r="E257" t="s">
        <v>688</v>
      </c>
      <c r="F257" t="s">
        <v>688</v>
      </c>
      <c r="G257" t="s">
        <v>1218</v>
      </c>
      <c r="H257" t="s">
        <v>688</v>
      </c>
      <c r="I257" t="s">
        <v>688</v>
      </c>
      <c r="J257" t="s">
        <v>688</v>
      </c>
      <c r="K257" t="s">
        <v>688</v>
      </c>
      <c r="L257" t="s">
        <v>1219</v>
      </c>
      <c r="M257" t="s">
        <v>688</v>
      </c>
      <c r="O257" t="s">
        <v>1220</v>
      </c>
    </row>
    <row r="258" spans="1:15" ht="15">
      <c r="A258" s="9">
        <v>137</v>
      </c>
      <c r="B258" t="str">
        <f ca="1">IFERROR(__xludf.DUMMYFUNCTION((TRANSPOSE(ImportHTML("http://spending.data.al/sq/moneypower/view/id/137/year/2014",  "table", 0)))),"*Kategoria*")</f>
        <v>*Kategoria*</v>
      </c>
      <c r="C258" t="s">
        <v>673</v>
      </c>
      <c r="D258" t="s">
        <v>674</v>
      </c>
      <c r="E258" t="s">
        <v>675</v>
      </c>
      <c r="F258" t="s">
        <v>676</v>
      </c>
      <c r="G258" t="s">
        <v>677</v>
      </c>
      <c r="H258" t="s">
        <v>678</v>
      </c>
      <c r="I258" t="s">
        <v>679</v>
      </c>
      <c r="J258" t="s">
        <v>680</v>
      </c>
      <c r="K258" t="s">
        <v>681</v>
      </c>
      <c r="L258" t="s">
        <v>682</v>
      </c>
      <c r="M258" t="s">
        <v>683</v>
      </c>
      <c r="N258" t="s">
        <v>684</v>
      </c>
      <c r="O258" t="s">
        <v>685</v>
      </c>
    </row>
    <row r="259" spans="1:15" ht="15">
      <c r="A259" s="11"/>
      <c r="B259" t="s">
        <v>686</v>
      </c>
      <c r="C259" t="s">
        <v>1221</v>
      </c>
      <c r="D259" t="s">
        <v>688</v>
      </c>
      <c r="E259" t="s">
        <v>688</v>
      </c>
      <c r="F259" t="s">
        <v>688</v>
      </c>
      <c r="G259" t="s">
        <v>688</v>
      </c>
      <c r="H259" t="s">
        <v>688</v>
      </c>
      <c r="I259" t="s">
        <v>688</v>
      </c>
      <c r="J259" t="s">
        <v>688</v>
      </c>
      <c r="K259" t="s">
        <v>688</v>
      </c>
      <c r="L259" t="s">
        <v>1222</v>
      </c>
      <c r="M259" t="s">
        <v>688</v>
      </c>
      <c r="O259" t="s">
        <v>1223</v>
      </c>
    </row>
    <row r="260" spans="1:15" ht="15">
      <c r="A260" s="9">
        <v>138</v>
      </c>
      <c r="B260" t="str">
        <f ca="1">IFERROR(__xludf.DUMMYFUNCTION((TRANSPOSE(ImportHTML("http://spending.data.al/sq/moneypower/view/id/138/year/2014",  "table", 0)))),"*Kategoria*")</f>
        <v>*Kategoria*</v>
      </c>
      <c r="C260" t="s">
        <v>673</v>
      </c>
      <c r="D260" t="s">
        <v>674</v>
      </c>
      <c r="E260" t="s">
        <v>675</v>
      </c>
      <c r="F260" t="s">
        <v>676</v>
      </c>
      <c r="G260" t="s">
        <v>677</v>
      </c>
      <c r="H260" t="s">
        <v>678</v>
      </c>
      <c r="I260" t="s">
        <v>679</v>
      </c>
      <c r="J260" t="s">
        <v>680</v>
      </c>
      <c r="K260" t="s">
        <v>681</v>
      </c>
      <c r="L260" t="s">
        <v>682</v>
      </c>
      <c r="M260" t="s">
        <v>683</v>
      </c>
      <c r="N260" t="s">
        <v>684</v>
      </c>
      <c r="O260" t="s">
        <v>685</v>
      </c>
    </row>
    <row r="261" spans="1:15" ht="15">
      <c r="A261" s="11"/>
      <c r="B261" t="s">
        <v>686</v>
      </c>
      <c r="C261" t="s">
        <v>1224</v>
      </c>
      <c r="D261" t="s">
        <v>688</v>
      </c>
      <c r="E261" t="s">
        <v>688</v>
      </c>
      <c r="F261" t="s">
        <v>688</v>
      </c>
      <c r="G261" t="s">
        <v>688</v>
      </c>
      <c r="H261" t="s">
        <v>688</v>
      </c>
      <c r="I261" t="s">
        <v>688</v>
      </c>
      <c r="J261" t="s">
        <v>688</v>
      </c>
      <c r="K261" t="s">
        <v>688</v>
      </c>
      <c r="L261" t="s">
        <v>1225</v>
      </c>
      <c r="M261" t="s">
        <v>688</v>
      </c>
      <c r="O261" t="s">
        <v>1226</v>
      </c>
    </row>
    <row r="262" spans="1:15" ht="15">
      <c r="A262" s="9">
        <v>139</v>
      </c>
      <c r="B262" t="str">
        <f ca="1">IFERROR(__xludf.DUMMYFUNCTION((TRANSPOSE(ImportHTML("http://spending.data.al/sq/moneypower/view/id/139/year/2014",  "table", 0)))),"*Kategoria*")</f>
        <v>*Kategoria*</v>
      </c>
      <c r="C262" t="s">
        <v>673</v>
      </c>
      <c r="D262" t="s">
        <v>674</v>
      </c>
      <c r="E262" t="s">
        <v>675</v>
      </c>
      <c r="F262" t="s">
        <v>676</v>
      </c>
      <c r="G262" t="s">
        <v>677</v>
      </c>
      <c r="H262" t="s">
        <v>678</v>
      </c>
      <c r="I262" t="s">
        <v>679</v>
      </c>
      <c r="J262" t="s">
        <v>680</v>
      </c>
      <c r="K262" t="s">
        <v>681</v>
      </c>
      <c r="L262" t="s">
        <v>682</v>
      </c>
      <c r="M262" t="s">
        <v>683</v>
      </c>
      <c r="N262" t="s">
        <v>684</v>
      </c>
      <c r="O262" t="s">
        <v>685</v>
      </c>
    </row>
    <row r="263" spans="1:15" ht="15">
      <c r="A263" s="11"/>
      <c r="B263" t="s">
        <v>686</v>
      </c>
      <c r="C263" t="s">
        <v>1227</v>
      </c>
      <c r="D263" t="s">
        <v>688</v>
      </c>
      <c r="E263" t="s">
        <v>688</v>
      </c>
      <c r="F263" t="s">
        <v>688</v>
      </c>
      <c r="G263" t="s">
        <v>688</v>
      </c>
      <c r="H263" t="s">
        <v>688</v>
      </c>
      <c r="I263" t="s">
        <v>688</v>
      </c>
      <c r="J263" t="s">
        <v>688</v>
      </c>
      <c r="K263" t="s">
        <v>688</v>
      </c>
      <c r="L263" t="s">
        <v>688</v>
      </c>
      <c r="M263" t="s">
        <v>688</v>
      </c>
      <c r="O263" t="s">
        <v>1228</v>
      </c>
    </row>
    <row r="264" spans="1:15" ht="15">
      <c r="A264" s="9">
        <v>140</v>
      </c>
      <c r="B264" t="str">
        <f ca="1">IFERROR(__xludf.DUMMYFUNCTION((TRANSPOSE(ImportHTML("http://spending.data.al/sq/moneypower/view/id/140/year/2014",  "table", 0)))),"*Kategoria*")</f>
        <v>*Kategoria*</v>
      </c>
      <c r="C264" t="s">
        <v>673</v>
      </c>
      <c r="D264" t="s">
        <v>674</v>
      </c>
      <c r="E264" t="s">
        <v>675</v>
      </c>
      <c r="F264" t="s">
        <v>676</v>
      </c>
      <c r="G264" t="s">
        <v>677</v>
      </c>
      <c r="H264" t="s">
        <v>678</v>
      </c>
      <c r="I264" t="s">
        <v>679</v>
      </c>
      <c r="J264" t="s">
        <v>680</v>
      </c>
      <c r="K264" t="s">
        <v>681</v>
      </c>
      <c r="L264" t="s">
        <v>682</v>
      </c>
      <c r="M264" t="s">
        <v>683</v>
      </c>
      <c r="N264" t="s">
        <v>684</v>
      </c>
      <c r="O264" t="s">
        <v>685</v>
      </c>
    </row>
    <row r="265" spans="1:15" ht="15">
      <c r="A265" s="11"/>
      <c r="B265" t="s">
        <v>686</v>
      </c>
      <c r="C265" t="s">
        <v>1229</v>
      </c>
      <c r="D265" t="s">
        <v>688</v>
      </c>
      <c r="E265" t="s">
        <v>688</v>
      </c>
      <c r="F265" t="s">
        <v>688</v>
      </c>
      <c r="G265" t="s">
        <v>1230</v>
      </c>
      <c r="H265" t="s">
        <v>688</v>
      </c>
      <c r="I265" t="s">
        <v>688</v>
      </c>
      <c r="J265" t="s">
        <v>688</v>
      </c>
      <c r="K265" t="s">
        <v>688</v>
      </c>
      <c r="L265" t="s">
        <v>688</v>
      </c>
      <c r="M265" t="s">
        <v>688</v>
      </c>
      <c r="O265" t="s">
        <v>1231</v>
      </c>
    </row>
    <row r="266" spans="1:15" ht="15">
      <c r="A266" s="9">
        <v>141</v>
      </c>
      <c r="B266" t="str">
        <f ca="1">IFERROR(__xludf.DUMMYFUNCTION((TRANSPOSE(ImportHTML("http://spending.data.al/sq/moneypower/view/id/141/year/2014",  "table", 0)))),"*Emër Subjekti*")</f>
        <v>*Emër Subjekti*</v>
      </c>
      <c r="C266" t="s">
        <v>698</v>
      </c>
      <c r="D266" t="s">
        <v>699</v>
      </c>
      <c r="E266" t="s">
        <v>700</v>
      </c>
      <c r="F266" t="s">
        <v>701</v>
      </c>
      <c r="G266" t="s">
        <v>702</v>
      </c>
    </row>
    <row r="267" spans="1:15" ht="15">
      <c r="A267" s="11"/>
      <c r="B267" t="s">
        <v>2274</v>
      </c>
      <c r="C267" t="s">
        <v>711</v>
      </c>
      <c r="D267" t="s">
        <v>2178</v>
      </c>
      <c r="E267" t="s">
        <v>712</v>
      </c>
      <c r="F267" t="s">
        <v>2275</v>
      </c>
      <c r="G267" t="s">
        <v>707</v>
      </c>
    </row>
    <row r="268" spans="1:15" ht="15">
      <c r="A268" s="9">
        <v>142</v>
      </c>
      <c r="B268" t="str">
        <f ca="1">IFERROR(__xludf.DUMMYFUNCTION((TRANSPOSE(ImportHTML("http://spending.data.al/sq/moneypower/view/id/142/year/2014",  "table", 0)))),"*Kategoria*")</f>
        <v>*Kategoria*</v>
      </c>
      <c r="C268" t="s">
        <v>673</v>
      </c>
      <c r="D268" t="s">
        <v>674</v>
      </c>
      <c r="E268" t="s">
        <v>675</v>
      </c>
      <c r="F268" t="s">
        <v>676</v>
      </c>
      <c r="G268" t="s">
        <v>677</v>
      </c>
      <c r="H268" t="s">
        <v>678</v>
      </c>
      <c r="I268" t="s">
        <v>679</v>
      </c>
      <c r="J268" t="s">
        <v>680</v>
      </c>
      <c r="K268" t="s">
        <v>681</v>
      </c>
      <c r="L268" t="s">
        <v>682</v>
      </c>
      <c r="M268" t="s">
        <v>683</v>
      </c>
      <c r="N268" t="s">
        <v>684</v>
      </c>
      <c r="O268" t="s">
        <v>685</v>
      </c>
    </row>
    <row r="269" spans="1:15" ht="15">
      <c r="A269" s="11"/>
      <c r="B269" t="s">
        <v>686</v>
      </c>
      <c r="C269" t="s">
        <v>1234</v>
      </c>
      <c r="D269" t="s">
        <v>688</v>
      </c>
      <c r="E269" t="s">
        <v>688</v>
      </c>
      <c r="F269" t="s">
        <v>688</v>
      </c>
      <c r="G269" t="s">
        <v>688</v>
      </c>
      <c r="H269" t="s">
        <v>688</v>
      </c>
      <c r="I269" t="s">
        <v>688</v>
      </c>
      <c r="J269" t="s">
        <v>688</v>
      </c>
      <c r="K269" t="s">
        <v>688</v>
      </c>
      <c r="L269" t="s">
        <v>1235</v>
      </c>
      <c r="M269" t="s">
        <v>688</v>
      </c>
      <c r="O269" t="s">
        <v>1236</v>
      </c>
    </row>
    <row r="270" spans="1:15" ht="15">
      <c r="A270" s="9">
        <v>143</v>
      </c>
      <c r="B270" t="str">
        <f ca="1">IFERROR(__xludf.DUMMYFUNCTION((TRANSPOSE(ImportHTML("http://spending.data.al/sq/moneypower/view/id/143/year/2014",  "table", 0)))),"*Kategoria*")</f>
        <v>*Kategoria*</v>
      </c>
      <c r="C270" t="s">
        <v>673</v>
      </c>
      <c r="D270" t="s">
        <v>674</v>
      </c>
      <c r="E270" t="s">
        <v>675</v>
      </c>
      <c r="F270" t="s">
        <v>676</v>
      </c>
      <c r="G270" t="s">
        <v>677</v>
      </c>
      <c r="H270" t="s">
        <v>678</v>
      </c>
      <c r="I270" t="s">
        <v>679</v>
      </c>
      <c r="J270" t="s">
        <v>680</v>
      </c>
      <c r="K270" t="s">
        <v>681</v>
      </c>
      <c r="L270" t="s">
        <v>682</v>
      </c>
      <c r="M270" t="s">
        <v>683</v>
      </c>
      <c r="N270" t="s">
        <v>684</v>
      </c>
      <c r="O270" t="s">
        <v>685</v>
      </c>
    </row>
    <row r="271" spans="1:15" ht="15">
      <c r="A271" s="11"/>
      <c r="B271" t="s">
        <v>686</v>
      </c>
      <c r="C271" t="s">
        <v>1237</v>
      </c>
      <c r="D271" t="s">
        <v>688</v>
      </c>
      <c r="E271" t="s">
        <v>688</v>
      </c>
      <c r="F271" t="s">
        <v>1238</v>
      </c>
      <c r="G271" t="s">
        <v>1239</v>
      </c>
      <c r="H271" t="s">
        <v>688</v>
      </c>
      <c r="I271" t="s">
        <v>688</v>
      </c>
      <c r="J271" t="s">
        <v>688</v>
      </c>
      <c r="K271" t="s">
        <v>688</v>
      </c>
      <c r="L271" t="s">
        <v>1240</v>
      </c>
      <c r="M271" t="s">
        <v>688</v>
      </c>
      <c r="O271" t="s">
        <v>1241</v>
      </c>
    </row>
    <row r="272" spans="1:15" ht="15">
      <c r="A272" s="9">
        <v>144</v>
      </c>
      <c r="B272" t="str">
        <f ca="1">IFERROR(__xludf.DUMMYFUNCTION((TRANSPOSE(ImportHTML("http://spending.data.al/sq/moneypower/view/id/144/year/2014",  "table", 0)))),"*Kategoria*")</f>
        <v>*Kategoria*</v>
      </c>
      <c r="C272" t="s">
        <v>673</v>
      </c>
      <c r="D272" t="s">
        <v>674</v>
      </c>
      <c r="E272" t="s">
        <v>675</v>
      </c>
      <c r="F272" t="s">
        <v>676</v>
      </c>
      <c r="G272" t="s">
        <v>677</v>
      </c>
      <c r="H272" t="s">
        <v>678</v>
      </c>
      <c r="I272" t="s">
        <v>679</v>
      </c>
      <c r="J272" t="s">
        <v>680</v>
      </c>
      <c r="K272" t="s">
        <v>681</v>
      </c>
      <c r="L272" t="s">
        <v>682</v>
      </c>
      <c r="M272" t="s">
        <v>683</v>
      </c>
      <c r="N272" t="s">
        <v>684</v>
      </c>
      <c r="O272" t="s">
        <v>685</v>
      </c>
    </row>
    <row r="273" spans="1:15" ht="15">
      <c r="A273" s="11"/>
      <c r="B273" t="s">
        <v>686</v>
      </c>
      <c r="C273" t="s">
        <v>1242</v>
      </c>
      <c r="D273" t="s">
        <v>688</v>
      </c>
      <c r="E273" t="s">
        <v>688</v>
      </c>
      <c r="F273" t="s">
        <v>1243</v>
      </c>
      <c r="G273" t="s">
        <v>1244</v>
      </c>
      <c r="H273" t="s">
        <v>688</v>
      </c>
      <c r="I273" t="s">
        <v>688</v>
      </c>
      <c r="J273" t="s">
        <v>688</v>
      </c>
      <c r="K273" t="s">
        <v>688</v>
      </c>
      <c r="L273" t="s">
        <v>1245</v>
      </c>
      <c r="M273" t="s">
        <v>688</v>
      </c>
      <c r="O273" t="s">
        <v>688</v>
      </c>
    </row>
    <row r="274" spans="1:15" ht="15">
      <c r="A274" s="9">
        <v>145</v>
      </c>
      <c r="B274" t="str">
        <f ca="1">IFERROR(__xludf.DUMMYFUNCTION((TRANSPOSE(ImportHTML("http://spending.data.al/sq/moneypower/view/id/145/year/2014",  "table", 0)))),"*Kategoria*")</f>
        <v>*Kategoria*</v>
      </c>
      <c r="C274" t="s">
        <v>673</v>
      </c>
      <c r="D274" t="s">
        <v>674</v>
      </c>
      <c r="E274" t="s">
        <v>675</v>
      </c>
      <c r="F274" t="s">
        <v>676</v>
      </c>
      <c r="G274" t="s">
        <v>677</v>
      </c>
      <c r="H274" t="s">
        <v>678</v>
      </c>
      <c r="I274" t="s">
        <v>679</v>
      </c>
      <c r="J274" t="s">
        <v>680</v>
      </c>
      <c r="K274" t="s">
        <v>681</v>
      </c>
      <c r="L274" t="s">
        <v>682</v>
      </c>
      <c r="M274" t="s">
        <v>683</v>
      </c>
      <c r="N274" t="s">
        <v>684</v>
      </c>
      <c r="O274" t="s">
        <v>685</v>
      </c>
    </row>
    <row r="275" spans="1:15" ht="15">
      <c r="A275" s="11"/>
      <c r="B275" t="s">
        <v>686</v>
      </c>
      <c r="C275" t="s">
        <v>1246</v>
      </c>
      <c r="D275" t="s">
        <v>688</v>
      </c>
      <c r="E275" t="s">
        <v>688</v>
      </c>
      <c r="F275" t="s">
        <v>1247</v>
      </c>
      <c r="G275" t="s">
        <v>1248</v>
      </c>
      <c r="H275" t="s">
        <v>688</v>
      </c>
      <c r="I275" t="s">
        <v>688</v>
      </c>
      <c r="J275" t="s">
        <v>688</v>
      </c>
      <c r="K275" t="s">
        <v>688</v>
      </c>
      <c r="L275" t="s">
        <v>1249</v>
      </c>
      <c r="M275" t="s">
        <v>688</v>
      </c>
      <c r="O275" t="s">
        <v>1250</v>
      </c>
    </row>
    <row r="276" spans="1:15" ht="15">
      <c r="A276" s="9">
        <v>146</v>
      </c>
      <c r="B276" t="str">
        <f ca="1">IFERROR(__xludf.DUMMYFUNCTION((TRANSPOSE(ImportHTML("http://spending.data.al/sq/moneypower/view/id/146/year/2014",  "table", 0)))),"*Kategoria*")</f>
        <v>*Kategoria*</v>
      </c>
      <c r="C276" t="s">
        <v>673</v>
      </c>
      <c r="D276" t="s">
        <v>674</v>
      </c>
      <c r="E276" t="s">
        <v>675</v>
      </c>
      <c r="F276" t="s">
        <v>676</v>
      </c>
      <c r="G276" t="s">
        <v>677</v>
      </c>
      <c r="H276" t="s">
        <v>678</v>
      </c>
      <c r="I276" t="s">
        <v>679</v>
      </c>
      <c r="J276" t="s">
        <v>680</v>
      </c>
      <c r="K276" t="s">
        <v>681</v>
      </c>
      <c r="L276" t="s">
        <v>682</v>
      </c>
      <c r="M276" t="s">
        <v>683</v>
      </c>
      <c r="N276" t="s">
        <v>684</v>
      </c>
      <c r="O276" t="s">
        <v>685</v>
      </c>
    </row>
    <row r="277" spans="1:15" ht="15">
      <c r="A277" s="11"/>
      <c r="B277" t="s">
        <v>686</v>
      </c>
      <c r="C277" t="s">
        <v>1251</v>
      </c>
      <c r="D277" t="s">
        <v>688</v>
      </c>
      <c r="E277" t="s">
        <v>688</v>
      </c>
      <c r="F277" t="s">
        <v>1252</v>
      </c>
      <c r="G277" t="s">
        <v>688</v>
      </c>
      <c r="H277" t="s">
        <v>688</v>
      </c>
      <c r="I277" t="s">
        <v>688</v>
      </c>
      <c r="J277" t="s">
        <v>688</v>
      </c>
      <c r="K277" t="s">
        <v>688</v>
      </c>
      <c r="L277" t="s">
        <v>1253</v>
      </c>
      <c r="M277" t="s">
        <v>688</v>
      </c>
      <c r="O277" t="s">
        <v>1254</v>
      </c>
    </row>
    <row r="278" spans="1:15" ht="15">
      <c r="A278" s="9">
        <v>147</v>
      </c>
      <c r="B278" t="str">
        <f ca="1">IFERROR(__xludf.DUMMYFUNCTION((TRANSPOSE(ImportHTML("http://spending.data.al/sq/moneypower/view/id/147/year/2014",  "table", 0)))),"*Kategoria*")</f>
        <v>*Kategoria*</v>
      </c>
      <c r="C278" t="s">
        <v>673</v>
      </c>
      <c r="D278" t="s">
        <v>674</v>
      </c>
      <c r="E278" t="s">
        <v>675</v>
      </c>
      <c r="F278" t="s">
        <v>676</v>
      </c>
      <c r="G278" t="s">
        <v>677</v>
      </c>
      <c r="H278" t="s">
        <v>678</v>
      </c>
      <c r="I278" t="s">
        <v>679</v>
      </c>
      <c r="J278" t="s">
        <v>680</v>
      </c>
      <c r="K278" t="s">
        <v>681</v>
      </c>
      <c r="L278" t="s">
        <v>682</v>
      </c>
      <c r="M278" t="s">
        <v>683</v>
      </c>
      <c r="N278" t="s">
        <v>684</v>
      </c>
      <c r="O278" t="s">
        <v>685</v>
      </c>
    </row>
    <row r="279" spans="1:15" ht="15">
      <c r="A279" s="11"/>
      <c r="B279" t="s">
        <v>686</v>
      </c>
      <c r="C279" t="s">
        <v>1255</v>
      </c>
      <c r="D279" t="s">
        <v>688</v>
      </c>
      <c r="E279" t="s">
        <v>688</v>
      </c>
      <c r="F279" t="s">
        <v>1256</v>
      </c>
      <c r="G279" t="s">
        <v>688</v>
      </c>
      <c r="H279" t="s">
        <v>688</v>
      </c>
      <c r="I279" t="s">
        <v>688</v>
      </c>
      <c r="J279" t="s">
        <v>1257</v>
      </c>
      <c r="K279" t="s">
        <v>688</v>
      </c>
      <c r="L279" t="s">
        <v>1258</v>
      </c>
      <c r="M279" t="s">
        <v>688</v>
      </c>
      <c r="O279" t="s">
        <v>1259</v>
      </c>
    </row>
    <row r="280" spans="1:15" ht="15">
      <c r="A280" s="9">
        <v>148</v>
      </c>
      <c r="B280" t="str">
        <f ca="1">IFERROR(__xludf.DUMMYFUNCTION((TRANSPOSE(ImportHTML("http://spending.data.al/sq/moneypower/view/id/148/year/2014",  "table", 0)))),"*Kategoria*")</f>
        <v>*Kategoria*</v>
      </c>
      <c r="C280" t="s">
        <v>673</v>
      </c>
      <c r="D280" t="s">
        <v>674</v>
      </c>
      <c r="E280" t="s">
        <v>675</v>
      </c>
      <c r="F280" t="s">
        <v>676</v>
      </c>
      <c r="G280" t="s">
        <v>677</v>
      </c>
      <c r="H280" t="s">
        <v>678</v>
      </c>
      <c r="I280" t="s">
        <v>679</v>
      </c>
      <c r="J280" t="s">
        <v>680</v>
      </c>
      <c r="K280" t="s">
        <v>681</v>
      </c>
      <c r="L280" t="s">
        <v>682</v>
      </c>
      <c r="M280" t="s">
        <v>683</v>
      </c>
      <c r="N280" t="s">
        <v>684</v>
      </c>
      <c r="O280" t="s">
        <v>685</v>
      </c>
    </row>
    <row r="281" spans="1:15" ht="15">
      <c r="A281" s="11"/>
      <c r="B281" t="s">
        <v>686</v>
      </c>
      <c r="C281" t="s">
        <v>1260</v>
      </c>
      <c r="D281" t="s">
        <v>688</v>
      </c>
      <c r="E281" t="s">
        <v>688</v>
      </c>
      <c r="F281" t="s">
        <v>688</v>
      </c>
      <c r="G281" t="s">
        <v>688</v>
      </c>
      <c r="H281" t="s">
        <v>688</v>
      </c>
      <c r="I281" t="s">
        <v>688</v>
      </c>
      <c r="J281" t="s">
        <v>688</v>
      </c>
      <c r="K281" t="s">
        <v>688</v>
      </c>
      <c r="L281" t="s">
        <v>1261</v>
      </c>
      <c r="M281" t="s">
        <v>688</v>
      </c>
      <c r="O281" t="s">
        <v>1262</v>
      </c>
    </row>
    <row r="282" spans="1:15" ht="15">
      <c r="A282" s="9">
        <v>149</v>
      </c>
      <c r="B282" t="str">
        <f ca="1">IFERROR(__xludf.DUMMYFUNCTION((TRANSPOSE(ImportHTML("http://spending.data.al/sq/moneypower/view/id/149/year/2014",  "table", 0)))),"*Emër Subjekti*")</f>
        <v>*Emër Subjekti*</v>
      </c>
      <c r="C282" t="s">
        <v>698</v>
      </c>
      <c r="D282" t="s">
        <v>699</v>
      </c>
      <c r="E282" t="s">
        <v>700</v>
      </c>
      <c r="F282" t="s">
        <v>701</v>
      </c>
      <c r="G282" t="s">
        <v>702</v>
      </c>
    </row>
    <row r="283" spans="1:15" ht="15">
      <c r="A283" s="11"/>
      <c r="B283" t="s">
        <v>2296</v>
      </c>
      <c r="C283" t="s">
        <v>2297</v>
      </c>
      <c r="D283" s="12">
        <v>40558</v>
      </c>
      <c r="E283" t="s">
        <v>707</v>
      </c>
      <c r="F283" t="s">
        <v>2298</v>
      </c>
      <c r="G283" t="s">
        <v>707</v>
      </c>
    </row>
    <row r="284" spans="1:15" ht="15">
      <c r="A284" s="9">
        <v>150</v>
      </c>
      <c r="B284" t="str">
        <f ca="1">IFERROR(__xludf.DUMMYFUNCTION((TRANSPOSE(ImportHTML("http://spending.data.al/sq/moneypower/view/id/150/year/2014",  "table", 0)))),"*Emër Subjekti*")</f>
        <v>*Emër Subjekti*</v>
      </c>
      <c r="C284" t="s">
        <v>698</v>
      </c>
      <c r="D284" t="s">
        <v>699</v>
      </c>
      <c r="E284" t="s">
        <v>700</v>
      </c>
      <c r="F284" t="s">
        <v>701</v>
      </c>
      <c r="G284" t="s">
        <v>702</v>
      </c>
    </row>
    <row r="285" spans="1:15" ht="15">
      <c r="A285" s="11"/>
      <c r="B285" t="s">
        <v>2299</v>
      </c>
      <c r="C285" t="s">
        <v>2300</v>
      </c>
      <c r="D285" s="12">
        <v>40436</v>
      </c>
      <c r="E285" t="s">
        <v>707</v>
      </c>
      <c r="F285" t="s">
        <v>2301</v>
      </c>
      <c r="G285" t="s">
        <v>2302</v>
      </c>
    </row>
    <row r="286" spans="1:15" ht="15">
      <c r="A286" s="9">
        <v>151</v>
      </c>
      <c r="B286" t="str">
        <f ca="1">IFERROR(__xludf.DUMMYFUNCTION((TRANSPOSE(ImportHTML("http://spending.data.al/sq/moneypower/view/id/151/year/2014",  "table", 0)))),"*Emër Subjekti*")</f>
        <v>*Emër Subjekti*</v>
      </c>
      <c r="C286" t="s">
        <v>698</v>
      </c>
      <c r="D286" t="s">
        <v>699</v>
      </c>
      <c r="E286" t="s">
        <v>700</v>
      </c>
      <c r="F286" t="s">
        <v>701</v>
      </c>
      <c r="G286" t="s">
        <v>702</v>
      </c>
    </row>
    <row r="287" spans="1:15" ht="15">
      <c r="A287" s="11"/>
      <c r="B287" t="s">
        <v>2303</v>
      </c>
      <c r="C287" t="s">
        <v>2304</v>
      </c>
      <c r="D287" s="12">
        <v>41681</v>
      </c>
      <c r="E287" t="s">
        <v>707</v>
      </c>
      <c r="F287" t="s">
        <v>2305</v>
      </c>
      <c r="G287" t="s">
        <v>707</v>
      </c>
    </row>
    <row r="288" spans="1:15" ht="15">
      <c r="A288" s="9">
        <v>152</v>
      </c>
      <c r="B288" t="str">
        <f ca="1">IFERROR(__xludf.DUMMYFUNCTION((TRANSPOSE(ImportHTML("http://spending.data.al/sq/moneypower/view/id/152/year/2014",  "table", 0)))),"*Emër Subjekti*")</f>
        <v>*Emër Subjekti*</v>
      </c>
      <c r="C288" t="s">
        <v>698</v>
      </c>
      <c r="D288" t="s">
        <v>699</v>
      </c>
      <c r="E288" t="s">
        <v>700</v>
      </c>
      <c r="F288" t="s">
        <v>701</v>
      </c>
      <c r="G288" t="s">
        <v>702</v>
      </c>
    </row>
    <row r="289" spans="1:7" ht="15">
      <c r="A289" s="11"/>
      <c r="B289" t="s">
        <v>2306</v>
      </c>
      <c r="C289" t="s">
        <v>2307</v>
      </c>
      <c r="D289" t="s">
        <v>2308</v>
      </c>
      <c r="E289" t="s">
        <v>707</v>
      </c>
      <c r="F289" t="s">
        <v>2309</v>
      </c>
      <c r="G289" t="s">
        <v>2310</v>
      </c>
    </row>
    <row r="290" spans="1:7" ht="15">
      <c r="A290" s="9">
        <v>153</v>
      </c>
      <c r="B290" t="str">
        <f ca="1">IFERROR(__xludf.DUMMYFUNCTION((TRANSPOSE(ImportHTML("http://spending.data.al/sq/moneypower/view/id/153/year/2014",  "table", 0)))),"*Emër Subjekti*")</f>
        <v>*Emër Subjekti*</v>
      </c>
      <c r="C290" t="s">
        <v>698</v>
      </c>
      <c r="D290" t="s">
        <v>699</v>
      </c>
      <c r="E290" t="s">
        <v>700</v>
      </c>
      <c r="F290" t="s">
        <v>701</v>
      </c>
      <c r="G290" t="s">
        <v>702</v>
      </c>
    </row>
    <row r="291" spans="1:7" ht="15">
      <c r="A291" s="11"/>
      <c r="B291" t="s">
        <v>2311</v>
      </c>
      <c r="C291" t="s">
        <v>2312</v>
      </c>
      <c r="D291" s="12">
        <v>40311</v>
      </c>
      <c r="E291" t="s">
        <v>707</v>
      </c>
      <c r="F291" t="s">
        <v>2313</v>
      </c>
      <c r="G291" t="s">
        <v>1918</v>
      </c>
    </row>
    <row r="292" spans="1:7" ht="15">
      <c r="A292" s="9">
        <v>154</v>
      </c>
      <c r="B292" t="str">
        <f ca="1">IFERROR(__xludf.DUMMYFUNCTION((TRANSPOSE(ImportHTML("http://spending.data.al/sq/moneypower/view/id/154/year/2014",  "table", 0)))),"*Emër Subjekti*")</f>
        <v>*Emër Subjekti*</v>
      </c>
      <c r="C292" t="s">
        <v>698</v>
      </c>
      <c r="D292" t="s">
        <v>699</v>
      </c>
      <c r="E292" t="s">
        <v>700</v>
      </c>
      <c r="F292" t="s">
        <v>701</v>
      </c>
      <c r="G292" t="s">
        <v>702</v>
      </c>
    </row>
    <row r="293" spans="1:7" ht="15">
      <c r="A293" s="11"/>
      <c r="B293" t="s">
        <v>2314</v>
      </c>
      <c r="C293" t="s">
        <v>2315</v>
      </c>
      <c r="D293" s="12">
        <v>40647</v>
      </c>
      <c r="E293" t="s">
        <v>707</v>
      </c>
      <c r="F293" t="s">
        <v>2316</v>
      </c>
      <c r="G293" t="s">
        <v>707</v>
      </c>
    </row>
    <row r="294" spans="1:7" ht="15">
      <c r="A294" s="9">
        <v>155</v>
      </c>
      <c r="B294" t="str">
        <f ca="1">IFERROR(__xludf.DUMMYFUNCTION((TRANSPOSE(ImportHTML("http://spending.data.al/sq/moneypower/view/id/155/year/2014",  "table", 0)))),"*Emër Subjekti*")</f>
        <v>*Emër Subjekti*</v>
      </c>
      <c r="C294" t="s">
        <v>698</v>
      </c>
      <c r="D294" t="s">
        <v>699</v>
      </c>
      <c r="E294" t="s">
        <v>700</v>
      </c>
      <c r="F294" t="s">
        <v>701</v>
      </c>
      <c r="G294" t="s">
        <v>702</v>
      </c>
    </row>
    <row r="295" spans="1:7" ht="15">
      <c r="A295" s="11"/>
      <c r="B295" t="s">
        <v>2317</v>
      </c>
      <c r="C295" t="s">
        <v>2318</v>
      </c>
      <c r="D295" s="12">
        <v>39904</v>
      </c>
      <c r="E295" t="s">
        <v>707</v>
      </c>
      <c r="F295" t="s">
        <v>2319</v>
      </c>
      <c r="G295" t="s">
        <v>707</v>
      </c>
    </row>
    <row r="296" spans="1:7" ht="15">
      <c r="A296" s="9">
        <v>156</v>
      </c>
      <c r="B296" t="str">
        <f ca="1">IFERROR(__xludf.DUMMYFUNCTION((TRANSPOSE(ImportHTML("http://spending.data.al/sq/moneypower/view/id/156/year/2014",  "table", 0)))),"*Emër Subjekti*")</f>
        <v>*Emër Subjekti*</v>
      </c>
      <c r="C296" t="s">
        <v>698</v>
      </c>
      <c r="D296" t="s">
        <v>699</v>
      </c>
      <c r="E296" t="s">
        <v>700</v>
      </c>
      <c r="F296" t="s">
        <v>701</v>
      </c>
      <c r="G296" t="s">
        <v>702</v>
      </c>
    </row>
    <row r="297" spans="1:7" ht="15">
      <c r="A297" s="11"/>
      <c r="B297" t="s">
        <v>2320</v>
      </c>
      <c r="C297" t="s">
        <v>2321</v>
      </c>
      <c r="D297" s="12">
        <v>40391</v>
      </c>
      <c r="E297" t="s">
        <v>707</v>
      </c>
      <c r="F297" t="s">
        <v>2322</v>
      </c>
      <c r="G297" t="s">
        <v>2323</v>
      </c>
    </row>
    <row r="298" spans="1:7" ht="15">
      <c r="A298" s="9">
        <v>157</v>
      </c>
      <c r="B298" t="str">
        <f ca="1">IFERROR(__xludf.DUMMYFUNCTION((TRANSPOSE(ImportHTML("http://spending.data.al/sq/moneypower/view/id/157/year/2014",  "table", 0)))),"*Emër Subjekti*")</f>
        <v>*Emër Subjekti*</v>
      </c>
      <c r="C298" t="s">
        <v>698</v>
      </c>
      <c r="D298" t="s">
        <v>699</v>
      </c>
      <c r="E298" t="s">
        <v>700</v>
      </c>
      <c r="F298" t="s">
        <v>701</v>
      </c>
      <c r="G298" t="s">
        <v>702</v>
      </c>
    </row>
    <row r="299" spans="1:7" ht="15">
      <c r="A299" s="11"/>
      <c r="B299" t="s">
        <v>2324</v>
      </c>
      <c r="C299" t="s">
        <v>2325</v>
      </c>
      <c r="D299" s="12">
        <v>41359</v>
      </c>
      <c r="E299" t="s">
        <v>707</v>
      </c>
      <c r="F299" t="s">
        <v>2326</v>
      </c>
      <c r="G299" t="s">
        <v>2327</v>
      </c>
    </row>
    <row r="300" spans="1:7" ht="15">
      <c r="A300" s="9">
        <v>158</v>
      </c>
      <c r="B300" t="str">
        <f ca="1">IFERROR(__xludf.DUMMYFUNCTION((TRANSPOSE(ImportHTML("http://spending.data.al/sq/moneypower/view/id/158/year/2014",  "table", 0)))),"*Emër Subjekti*")</f>
        <v>*Emër Subjekti*</v>
      </c>
      <c r="C300" t="s">
        <v>698</v>
      </c>
      <c r="D300" t="s">
        <v>699</v>
      </c>
      <c r="E300" t="s">
        <v>700</v>
      </c>
      <c r="F300" t="s">
        <v>701</v>
      </c>
      <c r="G300" t="s">
        <v>702</v>
      </c>
    </row>
    <row r="301" spans="1:7" ht="15">
      <c r="A301" s="11"/>
      <c r="B301" t="s">
        <v>2328</v>
      </c>
      <c r="C301" t="s">
        <v>2329</v>
      </c>
      <c r="D301" s="12">
        <v>39994</v>
      </c>
      <c r="E301" t="s">
        <v>707</v>
      </c>
      <c r="F301" t="s">
        <v>2330</v>
      </c>
      <c r="G301" t="s">
        <v>2331</v>
      </c>
    </row>
    <row r="302" spans="1:7" ht="15">
      <c r="A302" s="9">
        <v>159</v>
      </c>
      <c r="B302" t="str">
        <f ca="1">IFERROR(__xludf.DUMMYFUNCTION((TRANSPOSE(ImportHTML("http://spending.data.al/sq/moneypower/view/id/159/year/2014",  "table", 0)))),"*Emër Subjekti*")</f>
        <v>*Emër Subjekti*</v>
      </c>
      <c r="C302" t="s">
        <v>698</v>
      </c>
      <c r="D302" t="s">
        <v>699</v>
      </c>
      <c r="E302" t="s">
        <v>700</v>
      </c>
      <c r="F302" t="s">
        <v>701</v>
      </c>
      <c r="G302" t="s">
        <v>702</v>
      </c>
    </row>
    <row r="303" spans="1:7" ht="15">
      <c r="A303" s="11"/>
      <c r="B303" t="s">
        <v>2332</v>
      </c>
      <c r="C303" t="s">
        <v>2333</v>
      </c>
      <c r="D303" t="s">
        <v>2334</v>
      </c>
      <c r="E303" t="s">
        <v>707</v>
      </c>
      <c r="F303" t="s">
        <v>2335</v>
      </c>
      <c r="G303" t="s">
        <v>2336</v>
      </c>
    </row>
    <row r="304" spans="1:7" ht="15">
      <c r="A304" s="9">
        <v>160</v>
      </c>
      <c r="B304" t="str">
        <f ca="1">IFERROR(__xludf.DUMMYFUNCTION((TRANSPOSE(ImportHTML("http://spending.data.al/sq/moneypower/view/id/160/year/2014",  "table", 0)))),"*Emër Subjekti*")</f>
        <v>*Emër Subjekti*</v>
      </c>
      <c r="C304" t="s">
        <v>698</v>
      </c>
      <c r="D304" t="s">
        <v>699</v>
      </c>
      <c r="E304" t="s">
        <v>700</v>
      </c>
      <c r="F304" t="s">
        <v>701</v>
      </c>
      <c r="G304" t="s">
        <v>702</v>
      </c>
    </row>
    <row r="305" spans="1:7" ht="15">
      <c r="A305" s="11"/>
      <c r="B305" t="s">
        <v>2337</v>
      </c>
      <c r="C305" t="s">
        <v>2338</v>
      </c>
      <c r="D305" s="12">
        <v>40060</v>
      </c>
      <c r="E305" t="s">
        <v>707</v>
      </c>
      <c r="F305" t="s">
        <v>2339</v>
      </c>
      <c r="G305" t="s">
        <v>2340</v>
      </c>
    </row>
    <row r="306" spans="1:7" ht="15">
      <c r="A306" s="9">
        <v>161</v>
      </c>
      <c r="B306" t="str">
        <f ca="1">IFERROR(__xludf.DUMMYFUNCTION((TRANSPOSE(ImportHTML("http://spending.data.al/sq/moneypower/view/id/161/year/2014",  "table", 0)))),"*Emër Subjekti*")</f>
        <v>*Emër Subjekti*</v>
      </c>
      <c r="C306" t="s">
        <v>698</v>
      </c>
      <c r="D306" t="s">
        <v>699</v>
      </c>
      <c r="E306" t="s">
        <v>700</v>
      </c>
      <c r="F306" t="s">
        <v>701</v>
      </c>
      <c r="G306" t="s">
        <v>702</v>
      </c>
    </row>
    <row r="307" spans="1:7" ht="15">
      <c r="A307" s="11"/>
      <c r="B307" t="s">
        <v>2341</v>
      </c>
      <c r="C307" t="s">
        <v>2342</v>
      </c>
      <c r="D307" s="12">
        <v>40418</v>
      </c>
      <c r="E307" t="s">
        <v>707</v>
      </c>
      <c r="F307" t="s">
        <v>2343</v>
      </c>
      <c r="G307" t="s">
        <v>2344</v>
      </c>
    </row>
    <row r="308" spans="1:7" ht="15">
      <c r="A308" s="9">
        <v>162</v>
      </c>
      <c r="B308" t="str">
        <f ca="1">IFERROR(__xludf.DUMMYFUNCTION((TRANSPOSE(ImportHTML("http://spending.data.al/sq/moneypower/view/id/162/year/2014",  "table", 0)))),"*Emër Subjekti*")</f>
        <v>*Emër Subjekti*</v>
      </c>
      <c r="C308" t="s">
        <v>698</v>
      </c>
      <c r="D308" t="s">
        <v>699</v>
      </c>
      <c r="E308" t="s">
        <v>700</v>
      </c>
      <c r="F308" t="s">
        <v>701</v>
      </c>
      <c r="G308" t="s">
        <v>702</v>
      </c>
    </row>
    <row r="309" spans="1:7" ht="15">
      <c r="A309" s="11"/>
      <c r="B309" t="s">
        <v>2345</v>
      </c>
      <c r="C309" t="s">
        <v>2346</v>
      </c>
      <c r="E309" t="s">
        <v>707</v>
      </c>
      <c r="F309" t="s">
        <v>2347</v>
      </c>
      <c r="G309" t="s">
        <v>1918</v>
      </c>
    </row>
    <row r="310" spans="1:7" ht="15">
      <c r="A310" s="9">
        <v>163</v>
      </c>
      <c r="B310" t="str">
        <f ca="1">IFERROR(__xludf.DUMMYFUNCTION((TRANSPOSE(ImportHTML("http://spending.data.al/sq/moneypower/view/id/163/year/2014",  "table", 0)))),"*Emër Subjekti*")</f>
        <v>*Emër Subjekti*</v>
      </c>
      <c r="C310" t="s">
        <v>698</v>
      </c>
      <c r="D310" t="s">
        <v>699</v>
      </c>
      <c r="E310" t="s">
        <v>700</v>
      </c>
      <c r="F310" t="s">
        <v>701</v>
      </c>
      <c r="G310" t="s">
        <v>702</v>
      </c>
    </row>
    <row r="311" spans="1:7" ht="14.25" customHeight="1">
      <c r="A311" s="11"/>
      <c r="B311" t="s">
        <v>2348</v>
      </c>
      <c r="C311" t="s">
        <v>2346</v>
      </c>
      <c r="D311" s="12">
        <v>41246</v>
      </c>
      <c r="E311" t="s">
        <v>707</v>
      </c>
      <c r="F311" t="s">
        <v>2349</v>
      </c>
      <c r="G311" t="s">
        <v>2350</v>
      </c>
    </row>
    <row r="312" spans="1:7" ht="15">
      <c r="A312" s="9">
        <v>164</v>
      </c>
      <c r="B312" t="str">
        <f ca="1">IFERROR(__xludf.DUMMYFUNCTION((TRANSPOSE(ImportHTML("http://spending.data.al/sq/moneypower/view/id/164/year/2014",  "table", 0)))),"*Emër Subjekti*")</f>
        <v>*Emër Subjekti*</v>
      </c>
      <c r="C312" t="s">
        <v>698</v>
      </c>
      <c r="D312" t="s">
        <v>699</v>
      </c>
      <c r="E312" t="s">
        <v>700</v>
      </c>
      <c r="F312" t="s">
        <v>701</v>
      </c>
      <c r="G312" t="s">
        <v>702</v>
      </c>
    </row>
    <row r="313" spans="1:7" ht="15">
      <c r="A313" s="11"/>
      <c r="B313" t="s">
        <v>2351</v>
      </c>
      <c r="C313" t="s">
        <v>2352</v>
      </c>
      <c r="D313" s="12">
        <v>40311</v>
      </c>
      <c r="E313" t="s">
        <v>707</v>
      </c>
      <c r="F313" t="s">
        <v>2353</v>
      </c>
      <c r="G313" t="s">
        <v>707</v>
      </c>
    </row>
    <row r="314" spans="1:7" ht="15">
      <c r="A314" s="9">
        <v>165</v>
      </c>
      <c r="B314" t="str">
        <f ca="1">IFERROR(__xludf.DUMMYFUNCTION((TRANSPOSE(ImportHTML("http://spending.data.al/sq/moneypower/view/id/165/year/2014",  "table", 0)))),"*Emër Subjekti*")</f>
        <v>*Emër Subjekti*</v>
      </c>
      <c r="C314" t="s">
        <v>698</v>
      </c>
      <c r="D314" t="s">
        <v>699</v>
      </c>
      <c r="E314" t="s">
        <v>700</v>
      </c>
      <c r="F314" t="s">
        <v>701</v>
      </c>
      <c r="G314" t="s">
        <v>702</v>
      </c>
    </row>
    <row r="315" spans="1:7" ht="15">
      <c r="A315" s="11"/>
      <c r="B315" t="s">
        <v>2354</v>
      </c>
      <c r="C315" t="s">
        <v>2355</v>
      </c>
      <c r="D315" s="12">
        <v>40527</v>
      </c>
      <c r="E315" t="s">
        <v>707</v>
      </c>
      <c r="F315" t="s">
        <v>2356</v>
      </c>
      <c r="G315" t="s">
        <v>2357</v>
      </c>
    </row>
    <row r="316" spans="1:7" ht="15">
      <c r="A316" s="9">
        <v>166</v>
      </c>
      <c r="B316" t="str">
        <f ca="1">IFERROR(__xludf.DUMMYFUNCTION((TRANSPOSE(ImportHTML("http://spending.data.al/sq/moneypower/view/id/166/year/2014",  "table", 0)))),"*Emër Subjekti*")</f>
        <v>*Emër Subjekti*</v>
      </c>
      <c r="C316" t="s">
        <v>698</v>
      </c>
      <c r="D316" t="s">
        <v>699</v>
      </c>
      <c r="E316" t="s">
        <v>700</v>
      </c>
      <c r="F316" t="s">
        <v>701</v>
      </c>
      <c r="G316" t="s">
        <v>702</v>
      </c>
    </row>
    <row r="317" spans="1:7" ht="15">
      <c r="A317" s="11"/>
      <c r="B317" t="s">
        <v>2358</v>
      </c>
      <c r="C317" t="s">
        <v>2359</v>
      </c>
      <c r="D317" s="12">
        <v>41334</v>
      </c>
      <c r="E317" t="s">
        <v>707</v>
      </c>
      <c r="F317" t="s">
        <v>2360</v>
      </c>
      <c r="G317" t="s">
        <v>1918</v>
      </c>
    </row>
    <row r="318" spans="1:7" ht="15">
      <c r="A318" s="9">
        <v>167</v>
      </c>
      <c r="B318" t="str">
        <f ca="1">IFERROR(__xludf.DUMMYFUNCTION((TRANSPOSE(ImportHTML("http://spending.data.al/sq/moneypower/view/id/167/year/2014",  "table", 0)))),"*Emër Subjekti*")</f>
        <v>*Emër Subjekti*</v>
      </c>
      <c r="C318" t="s">
        <v>698</v>
      </c>
      <c r="D318" t="s">
        <v>699</v>
      </c>
      <c r="E318" t="s">
        <v>700</v>
      </c>
      <c r="F318" t="s">
        <v>701</v>
      </c>
      <c r="G318" t="s">
        <v>702</v>
      </c>
    </row>
    <row r="319" spans="1:7" ht="15">
      <c r="A319" s="11"/>
      <c r="B319" t="s">
        <v>2361</v>
      </c>
      <c r="C319" t="s">
        <v>2362</v>
      </c>
      <c r="D319" s="12">
        <v>40529</v>
      </c>
      <c r="E319" t="s">
        <v>707</v>
      </c>
      <c r="F319" t="s">
        <v>2363</v>
      </c>
      <c r="G319" t="s">
        <v>2364</v>
      </c>
    </row>
    <row r="320" spans="1:7" ht="15">
      <c r="A320" s="9">
        <v>168</v>
      </c>
      <c r="B320" t="str">
        <f ca="1">IFERROR(__xludf.DUMMYFUNCTION((TRANSPOSE(ImportHTML("http://spending.data.al/sq/moneypower/view/id/168/year/2014",  "table", 0)))),"*Emër Subjekti*")</f>
        <v>*Emër Subjekti*</v>
      </c>
      <c r="C320" t="s">
        <v>698</v>
      </c>
      <c r="D320" t="s">
        <v>699</v>
      </c>
      <c r="E320" t="s">
        <v>700</v>
      </c>
      <c r="F320" t="s">
        <v>701</v>
      </c>
      <c r="G320" t="s">
        <v>702</v>
      </c>
    </row>
    <row r="321" spans="1:7" ht="15">
      <c r="A321" s="11"/>
      <c r="B321" t="s">
        <v>2365</v>
      </c>
      <c r="C321" t="s">
        <v>2366</v>
      </c>
      <c r="D321" s="12">
        <v>40625</v>
      </c>
      <c r="E321" t="s">
        <v>707</v>
      </c>
      <c r="F321" t="s">
        <v>2367</v>
      </c>
      <c r="G321" t="s">
        <v>2368</v>
      </c>
    </row>
    <row r="322" spans="1:7" ht="15">
      <c r="A322" s="9">
        <v>169</v>
      </c>
      <c r="B322" t="str">
        <f ca="1">IFERROR(__xludf.DUMMYFUNCTION((TRANSPOSE(ImportHTML("http://spending.data.al/sq/moneypower/view/id/169/year/2014",  "table", 0)))),"*Emër Subjekti*")</f>
        <v>*Emër Subjekti*</v>
      </c>
      <c r="C322" t="s">
        <v>698</v>
      </c>
      <c r="D322" t="s">
        <v>699</v>
      </c>
      <c r="E322" t="s">
        <v>700</v>
      </c>
      <c r="F322" t="s">
        <v>701</v>
      </c>
      <c r="G322" t="s">
        <v>702</v>
      </c>
    </row>
    <row r="323" spans="1:7" ht="15">
      <c r="A323" s="11"/>
      <c r="B323" t="s">
        <v>2369</v>
      </c>
      <c r="C323" t="s">
        <v>2370</v>
      </c>
      <c r="E323" t="s">
        <v>707</v>
      </c>
      <c r="F323" t="s">
        <v>2371</v>
      </c>
      <c r="G323" t="s">
        <v>2372</v>
      </c>
    </row>
    <row r="324" spans="1:7" ht="15">
      <c r="A324" s="9">
        <v>170</v>
      </c>
      <c r="B324" t="str">
        <f ca="1">IFERROR(__xludf.DUMMYFUNCTION((TRANSPOSE(ImportHTML("http://spending.data.al/sq/moneypower/view/id/170/year/2014",  "table", 0)))),"*Emër Subjekti*")</f>
        <v>*Emër Subjekti*</v>
      </c>
      <c r="C324" t="s">
        <v>698</v>
      </c>
      <c r="D324" t="s">
        <v>699</v>
      </c>
      <c r="E324" t="s">
        <v>700</v>
      </c>
      <c r="F324" t="s">
        <v>701</v>
      </c>
      <c r="G324" t="s">
        <v>702</v>
      </c>
    </row>
    <row r="325" spans="1:7" ht="15">
      <c r="A325" s="11"/>
      <c r="B325" t="s">
        <v>2373</v>
      </c>
      <c r="C325" t="s">
        <v>2374</v>
      </c>
      <c r="D325" s="12">
        <v>40378</v>
      </c>
      <c r="E325" t="s">
        <v>707</v>
      </c>
      <c r="F325" t="s">
        <v>2375</v>
      </c>
      <c r="G325" t="s">
        <v>2376</v>
      </c>
    </row>
    <row r="326" spans="1:7" ht="15">
      <c r="A326" s="9">
        <v>171</v>
      </c>
      <c r="B326" t="str">
        <f ca="1">IFERROR(__xludf.DUMMYFUNCTION((TRANSPOSE(ImportHTML("http://spending.data.al/sq/moneypower/view/id/171/year/2014",  "table", 0)))),"*Emër Subjekti*")</f>
        <v>*Emër Subjekti*</v>
      </c>
      <c r="C326" t="s">
        <v>698</v>
      </c>
      <c r="D326" t="s">
        <v>699</v>
      </c>
      <c r="E326" t="s">
        <v>700</v>
      </c>
      <c r="F326" t="s">
        <v>701</v>
      </c>
      <c r="G326" t="s">
        <v>702</v>
      </c>
    </row>
    <row r="327" spans="1:7" ht="15">
      <c r="A327" s="11"/>
      <c r="B327" t="s">
        <v>2377</v>
      </c>
      <c r="C327" t="s">
        <v>2378</v>
      </c>
      <c r="D327" s="12">
        <v>40192</v>
      </c>
      <c r="E327" t="s">
        <v>707</v>
      </c>
      <c r="F327" t="s">
        <v>2379</v>
      </c>
      <c r="G327" t="s">
        <v>2380</v>
      </c>
    </row>
    <row r="328" spans="1:7" ht="15">
      <c r="A328" s="9">
        <v>172</v>
      </c>
      <c r="B328" t="str">
        <f ca="1">IFERROR(__xludf.DUMMYFUNCTION((TRANSPOSE(ImportHTML("http://spending.data.al/sq/moneypower/view/id/172/year/2014",  "table", 0)))),"*Emër Subjekti*")</f>
        <v>*Emër Subjekti*</v>
      </c>
      <c r="C328" t="s">
        <v>698</v>
      </c>
      <c r="D328" t="s">
        <v>699</v>
      </c>
      <c r="E328" t="s">
        <v>700</v>
      </c>
      <c r="F328" t="s">
        <v>701</v>
      </c>
      <c r="G328" t="s">
        <v>702</v>
      </c>
    </row>
    <row r="329" spans="1:7" ht="15">
      <c r="A329" s="11"/>
      <c r="B329" t="s">
        <v>2381</v>
      </c>
      <c r="C329" t="s">
        <v>2382</v>
      </c>
      <c r="D329" s="12">
        <v>41351</v>
      </c>
      <c r="E329" t="s">
        <v>707</v>
      </c>
      <c r="F329" t="s">
        <v>2383</v>
      </c>
      <c r="G329" t="s">
        <v>2384</v>
      </c>
    </row>
    <row r="330" spans="1:7" ht="15">
      <c r="A330" s="9">
        <v>173</v>
      </c>
      <c r="B330" t="str">
        <f ca="1">IFERROR(__xludf.DUMMYFUNCTION((TRANSPOSE(ImportHTML("http://spending.data.al/sq/moneypower/view/id/173/year/2014",  "table", 0)))),"*Emër Subjekti*")</f>
        <v>*Emër Subjekti*</v>
      </c>
      <c r="C330" t="s">
        <v>698</v>
      </c>
      <c r="D330" t="s">
        <v>699</v>
      </c>
      <c r="E330" t="s">
        <v>700</v>
      </c>
      <c r="F330" t="s">
        <v>701</v>
      </c>
      <c r="G330" t="s">
        <v>702</v>
      </c>
    </row>
    <row r="331" spans="1:7" ht="15">
      <c r="A331" s="11"/>
      <c r="B331" t="s">
        <v>2385</v>
      </c>
      <c r="C331" t="s">
        <v>2386</v>
      </c>
      <c r="D331" s="12">
        <v>40662</v>
      </c>
      <c r="E331" t="s">
        <v>707</v>
      </c>
      <c r="F331" t="s">
        <v>2387</v>
      </c>
      <c r="G331" t="s">
        <v>2388</v>
      </c>
    </row>
    <row r="332" spans="1:7" ht="15">
      <c r="A332" s="9">
        <v>174</v>
      </c>
      <c r="B332" t="str">
        <f ca="1">IFERROR(__xludf.DUMMYFUNCTION((TRANSPOSE(ImportHTML("http://spending.data.al/sq/moneypower/view/id/174/year/2014",  "table", 0)))),"*Emër Subjekti*")</f>
        <v>*Emër Subjekti*</v>
      </c>
      <c r="C332" t="s">
        <v>698</v>
      </c>
      <c r="D332" t="s">
        <v>699</v>
      </c>
      <c r="E332" t="s">
        <v>700</v>
      </c>
      <c r="F332" t="s">
        <v>701</v>
      </c>
      <c r="G332" t="s">
        <v>702</v>
      </c>
    </row>
    <row r="333" spans="1:7" ht="15">
      <c r="A333" s="11"/>
      <c r="B333" t="s">
        <v>2389</v>
      </c>
      <c r="C333" t="s">
        <v>2307</v>
      </c>
      <c r="D333" s="12">
        <v>38597</v>
      </c>
      <c r="E333" t="s">
        <v>707</v>
      </c>
      <c r="F333" t="s">
        <v>2390</v>
      </c>
      <c r="G333" t="s">
        <v>2391</v>
      </c>
    </row>
    <row r="334" spans="1:7" ht="15">
      <c r="A334" s="9">
        <v>175</v>
      </c>
      <c r="B334" t="str">
        <f ca="1">IFERROR(__xludf.DUMMYFUNCTION((TRANSPOSE(ImportHTML("http://spending.data.al/sq/moneypower/view/id/175/year/2014",  "table", 0)))),"*Emër Subjekti*")</f>
        <v>*Emër Subjekti*</v>
      </c>
      <c r="C334" t="s">
        <v>698</v>
      </c>
      <c r="D334" t="s">
        <v>699</v>
      </c>
      <c r="E334" t="s">
        <v>700</v>
      </c>
      <c r="F334" t="s">
        <v>701</v>
      </c>
      <c r="G334" t="s">
        <v>702</v>
      </c>
    </row>
    <row r="335" spans="1:7" ht="15">
      <c r="A335" s="11"/>
      <c r="B335" t="s">
        <v>2392</v>
      </c>
      <c r="C335" t="s">
        <v>2393</v>
      </c>
      <c r="D335" s="12">
        <v>41263</v>
      </c>
      <c r="E335" t="s">
        <v>707</v>
      </c>
      <c r="F335" t="s">
        <v>2394</v>
      </c>
      <c r="G335" t="s">
        <v>2395</v>
      </c>
    </row>
    <row r="336" spans="1:7" ht="15">
      <c r="A336" s="9">
        <v>176</v>
      </c>
      <c r="B336" t="str">
        <f ca="1">IFERROR(__xludf.DUMMYFUNCTION((TRANSPOSE(ImportHTML("http://spending.data.al/sq/moneypower/view/id/176/year/2014",  "table", 0)))),"*Emër Subjekti*")</f>
        <v>*Emër Subjekti*</v>
      </c>
      <c r="C336" t="s">
        <v>698</v>
      </c>
      <c r="D336" t="s">
        <v>699</v>
      </c>
      <c r="E336" t="s">
        <v>700</v>
      </c>
      <c r="F336" t="s">
        <v>701</v>
      </c>
      <c r="G336" t="s">
        <v>702</v>
      </c>
    </row>
    <row r="337" spans="1:7" ht="15">
      <c r="A337" s="11"/>
      <c r="B337" t="s">
        <v>2396</v>
      </c>
      <c r="C337" t="s">
        <v>2397</v>
      </c>
      <c r="D337">
        <v>2007</v>
      </c>
      <c r="E337" t="s">
        <v>707</v>
      </c>
      <c r="F337" t="s">
        <v>2398</v>
      </c>
      <c r="G337" t="s">
        <v>2399</v>
      </c>
    </row>
    <row r="338" spans="1:7" ht="15">
      <c r="A338" s="9">
        <v>177</v>
      </c>
      <c r="B338" t="str">
        <f ca="1">IFERROR(__xludf.DUMMYFUNCTION((TRANSPOSE(ImportHTML("http://spending.data.al/sq/moneypower/view/id/177/year/2014",  "table", 0)))),"*Emër Subjekti*")</f>
        <v>*Emër Subjekti*</v>
      </c>
      <c r="C338" t="s">
        <v>698</v>
      </c>
      <c r="D338" t="s">
        <v>699</v>
      </c>
      <c r="E338" t="s">
        <v>700</v>
      </c>
      <c r="F338" t="s">
        <v>701</v>
      </c>
      <c r="G338" t="s">
        <v>702</v>
      </c>
    </row>
    <row r="339" spans="1:7" ht="15">
      <c r="A339" s="11"/>
      <c r="B339" t="s">
        <v>2400</v>
      </c>
      <c r="C339" t="s">
        <v>2401</v>
      </c>
      <c r="D339" s="12">
        <v>40571</v>
      </c>
      <c r="E339" t="s">
        <v>707</v>
      </c>
      <c r="F339" t="s">
        <v>2402</v>
      </c>
      <c r="G339" t="s">
        <v>707</v>
      </c>
    </row>
    <row r="340" spans="1:7" ht="15">
      <c r="A340" s="9">
        <v>178</v>
      </c>
      <c r="B340" t="str">
        <f ca="1">IFERROR(__xludf.DUMMYFUNCTION((TRANSPOSE(ImportHTML("http://spending.data.al/sq/moneypower/view/id/178/year/2014",  "table", 0)))),"*Emër Subjekti*")</f>
        <v>*Emër Subjekti*</v>
      </c>
      <c r="C340" t="s">
        <v>698</v>
      </c>
      <c r="D340" t="s">
        <v>699</v>
      </c>
      <c r="E340" t="s">
        <v>700</v>
      </c>
      <c r="F340" t="s">
        <v>701</v>
      </c>
      <c r="G340" t="s">
        <v>702</v>
      </c>
    </row>
    <row r="341" spans="1:7" ht="15">
      <c r="A341" s="11"/>
      <c r="B341" t="s">
        <v>2403</v>
      </c>
      <c r="C341" t="s">
        <v>2404</v>
      </c>
      <c r="D341" s="12">
        <v>41348</v>
      </c>
      <c r="E341" t="s">
        <v>707</v>
      </c>
      <c r="F341" t="s">
        <v>2405</v>
      </c>
      <c r="G341" t="s">
        <v>707</v>
      </c>
    </row>
    <row r="342" spans="1:7" ht="15">
      <c r="A342" s="9">
        <v>179</v>
      </c>
      <c r="B342" t="str">
        <f ca="1">IFERROR(__xludf.DUMMYFUNCTION((TRANSPOSE(ImportHTML("http://spending.data.al/sq/moneypower/view/id/179/year/2014",  "table", 0)))),"*Emër Subjekti*")</f>
        <v>*Emër Subjekti*</v>
      </c>
      <c r="C342" t="s">
        <v>698</v>
      </c>
      <c r="D342" t="s">
        <v>699</v>
      </c>
      <c r="E342" t="s">
        <v>700</v>
      </c>
      <c r="F342" t="s">
        <v>701</v>
      </c>
      <c r="G342" t="s">
        <v>702</v>
      </c>
    </row>
    <row r="343" spans="1:7" ht="15">
      <c r="A343" s="11"/>
      <c r="B343" t="s">
        <v>2406</v>
      </c>
      <c r="C343" t="s">
        <v>2407</v>
      </c>
      <c r="D343" s="12">
        <v>40042</v>
      </c>
      <c r="E343" t="s">
        <v>707</v>
      </c>
      <c r="F343" t="s">
        <v>2408</v>
      </c>
      <c r="G343" t="s">
        <v>707</v>
      </c>
    </row>
    <row r="344" spans="1:7" ht="15">
      <c r="A344" s="9">
        <v>180</v>
      </c>
      <c r="B344" t="str">
        <f ca="1">IFERROR(__xludf.DUMMYFUNCTION((TRANSPOSE(ImportHTML("http://spending.data.al/sq/moneypower/view/id/180/year/2014",  "table", 0)))),"*Emër Subjekti*")</f>
        <v>*Emër Subjekti*</v>
      </c>
      <c r="C344" t="s">
        <v>698</v>
      </c>
      <c r="D344" t="s">
        <v>699</v>
      </c>
      <c r="E344" t="s">
        <v>700</v>
      </c>
      <c r="F344" t="s">
        <v>701</v>
      </c>
      <c r="G344" t="s">
        <v>702</v>
      </c>
    </row>
    <row r="345" spans="1:7" ht="15">
      <c r="A345" s="11"/>
      <c r="B345" t="s">
        <v>2409</v>
      </c>
      <c r="C345" t="s">
        <v>2410</v>
      </c>
      <c r="D345" s="12">
        <v>39295</v>
      </c>
      <c r="E345" t="s">
        <v>707</v>
      </c>
      <c r="F345" t="s">
        <v>2411</v>
      </c>
      <c r="G345" t="s">
        <v>2412</v>
      </c>
    </row>
    <row r="346" spans="1:7" ht="15">
      <c r="A346" s="9">
        <v>181</v>
      </c>
      <c r="B346" t="str">
        <f ca="1">IFERROR(__xludf.DUMMYFUNCTION((TRANSPOSE(ImportHTML("http://spending.data.al/sq/moneypower/view/id/181/year/2014",  "table", 0)))),"*Emër Subjekti*")</f>
        <v>*Emër Subjekti*</v>
      </c>
      <c r="C346" t="s">
        <v>698</v>
      </c>
      <c r="D346" t="s">
        <v>699</v>
      </c>
      <c r="E346" t="s">
        <v>700</v>
      </c>
      <c r="F346" t="s">
        <v>701</v>
      </c>
      <c r="G346" t="s">
        <v>702</v>
      </c>
    </row>
    <row r="347" spans="1:7" ht="15">
      <c r="A347" s="11"/>
      <c r="B347" t="s">
        <v>2413</v>
      </c>
      <c r="C347" t="s">
        <v>2414</v>
      </c>
      <c r="D347" s="12">
        <v>41711</v>
      </c>
      <c r="E347" t="s">
        <v>707</v>
      </c>
      <c r="F347" t="s">
        <v>2415</v>
      </c>
      <c r="G347" t="s">
        <v>2416</v>
      </c>
    </row>
    <row r="348" spans="1:7" ht="15">
      <c r="A348" s="9">
        <v>182</v>
      </c>
      <c r="B348" t="str">
        <f ca="1">IFERROR(__xludf.DUMMYFUNCTION((TRANSPOSE(ImportHTML("http://spending.data.al/sq/moneypower/view/id/182/year/2014",  "table", 0)))),"*Emër Subjekti*")</f>
        <v>*Emër Subjekti*</v>
      </c>
      <c r="C348" t="s">
        <v>698</v>
      </c>
      <c r="D348" t="s">
        <v>699</v>
      </c>
      <c r="E348" t="s">
        <v>700</v>
      </c>
      <c r="F348" t="s">
        <v>701</v>
      </c>
      <c r="G348" t="s">
        <v>702</v>
      </c>
    </row>
    <row r="349" spans="1:7" ht="15">
      <c r="A349" s="11"/>
      <c r="B349" t="s">
        <v>2417</v>
      </c>
      <c r="C349" t="s">
        <v>2418</v>
      </c>
      <c r="D349" s="12">
        <v>40550</v>
      </c>
      <c r="E349" t="s">
        <v>707</v>
      </c>
      <c r="F349" t="s">
        <v>2419</v>
      </c>
      <c r="G349" t="s">
        <v>2420</v>
      </c>
    </row>
    <row r="350" spans="1:7" ht="15">
      <c r="A350" s="9">
        <v>183</v>
      </c>
      <c r="B350" t="str">
        <f ca="1">IFERROR(__xludf.DUMMYFUNCTION((TRANSPOSE(ImportHTML("http://spending.data.al/sq/moneypower/view/id/183/year/2014",  "table", 0)))),"*Emër Subjekti*")</f>
        <v>*Emër Subjekti*</v>
      </c>
      <c r="C350" t="s">
        <v>698</v>
      </c>
      <c r="D350" t="s">
        <v>699</v>
      </c>
      <c r="E350" t="s">
        <v>700</v>
      </c>
      <c r="F350" t="s">
        <v>701</v>
      </c>
      <c r="G350" t="s">
        <v>702</v>
      </c>
    </row>
    <row r="351" spans="1:7" ht="15">
      <c r="A351" s="11"/>
      <c r="B351" t="s">
        <v>2421</v>
      </c>
      <c r="C351" t="s">
        <v>2422</v>
      </c>
      <c r="D351" s="12">
        <v>41631</v>
      </c>
      <c r="E351" t="s">
        <v>707</v>
      </c>
      <c r="F351" t="s">
        <v>2423</v>
      </c>
      <c r="G351" t="s">
        <v>2424</v>
      </c>
    </row>
    <row r="352" spans="1:7" ht="15">
      <c r="A352" s="9">
        <v>184</v>
      </c>
      <c r="B352" t="str">
        <f ca="1">IFERROR(__xludf.DUMMYFUNCTION((TRANSPOSE(ImportHTML("http://spending.data.al/sq/moneypower/view/id/184/year/2014",  "table", 0)))),"*Emër Subjekti*")</f>
        <v>*Emër Subjekti*</v>
      </c>
      <c r="C352" t="s">
        <v>698</v>
      </c>
      <c r="D352" t="s">
        <v>699</v>
      </c>
      <c r="E352" t="s">
        <v>700</v>
      </c>
      <c r="F352" t="s">
        <v>701</v>
      </c>
      <c r="G352" t="s">
        <v>702</v>
      </c>
    </row>
    <row r="353" spans="1:15" ht="15">
      <c r="A353" s="11"/>
      <c r="B353" t="s">
        <v>2425</v>
      </c>
      <c r="C353" t="s">
        <v>2426</v>
      </c>
      <c r="D353" s="12">
        <v>40120</v>
      </c>
      <c r="E353" t="s">
        <v>707</v>
      </c>
      <c r="F353" t="s">
        <v>2427</v>
      </c>
      <c r="G353" t="s">
        <v>707</v>
      </c>
    </row>
    <row r="354" spans="1:15" ht="15">
      <c r="A354" s="9">
        <v>185</v>
      </c>
      <c r="B354" t="str">
        <f ca="1">IFERROR(__xludf.DUMMYFUNCTION((TRANSPOSE(ImportHTML("http://spending.data.al/sq/moneypower/view/id/185/year/2014",  "table", 0)))),"*Emër Subjekti*")</f>
        <v>*Emër Subjekti*</v>
      </c>
      <c r="C354" t="s">
        <v>698</v>
      </c>
      <c r="D354" t="s">
        <v>699</v>
      </c>
      <c r="E354" t="s">
        <v>700</v>
      </c>
      <c r="F354" t="s">
        <v>701</v>
      </c>
      <c r="G354" t="s">
        <v>702</v>
      </c>
    </row>
    <row r="355" spans="1:15" ht="15">
      <c r="A355" s="11"/>
      <c r="B355" t="s">
        <v>2428</v>
      </c>
      <c r="C355" t="s">
        <v>2429</v>
      </c>
      <c r="D355" s="12">
        <v>40466</v>
      </c>
      <c r="E355" t="s">
        <v>707</v>
      </c>
      <c r="F355" t="s">
        <v>2430</v>
      </c>
      <c r="G355" t="s">
        <v>2431</v>
      </c>
    </row>
    <row r="356" spans="1:15" ht="15">
      <c r="A356" s="9">
        <v>186</v>
      </c>
      <c r="B356" t="str">
        <f ca="1">IFERROR(__xludf.DUMMYFUNCTION((TRANSPOSE(ImportHTML("http://spending.data.al/sq/moneypower/view/id/186/year/2014",  "table", 0)))),"*Emër Subjekti*")</f>
        <v>*Emër Subjekti*</v>
      </c>
      <c r="C356" t="s">
        <v>698</v>
      </c>
      <c r="D356" t="s">
        <v>699</v>
      </c>
      <c r="E356" t="s">
        <v>700</v>
      </c>
      <c r="F356" t="s">
        <v>701</v>
      </c>
      <c r="G356" t="s">
        <v>702</v>
      </c>
    </row>
    <row r="357" spans="1:15" ht="15">
      <c r="A357" s="11"/>
      <c r="B357" t="s">
        <v>2432</v>
      </c>
      <c r="C357" t="s">
        <v>2433</v>
      </c>
      <c r="D357" s="12">
        <v>41067</v>
      </c>
      <c r="E357" t="s">
        <v>707</v>
      </c>
      <c r="F357" t="s">
        <v>2434</v>
      </c>
      <c r="G357" t="s">
        <v>2435</v>
      </c>
    </row>
    <row r="358" spans="1:15" ht="15">
      <c r="A358" s="9">
        <v>187</v>
      </c>
      <c r="B358" t="str">
        <f ca="1">IFERROR(__xludf.DUMMYFUNCTION((TRANSPOSE(ImportHTML("http://spending.data.al/sq/moneypower/view/id/187/year/2014",  "table", 0)))),"*Emër Subjekti*")</f>
        <v>*Emër Subjekti*</v>
      </c>
      <c r="C358" t="s">
        <v>698</v>
      </c>
      <c r="D358" t="s">
        <v>699</v>
      </c>
      <c r="E358" t="s">
        <v>700</v>
      </c>
      <c r="F358" t="s">
        <v>701</v>
      </c>
      <c r="G358" t="s">
        <v>702</v>
      </c>
    </row>
    <row r="359" spans="1:15" ht="15">
      <c r="A359" s="11"/>
      <c r="B359" t="s">
        <v>2436</v>
      </c>
      <c r="C359" t="s">
        <v>2437</v>
      </c>
      <c r="D359" s="12">
        <v>40002</v>
      </c>
      <c r="E359" t="s">
        <v>707</v>
      </c>
      <c r="F359" t="s">
        <v>2438</v>
      </c>
      <c r="G359" t="s">
        <v>707</v>
      </c>
    </row>
    <row r="360" spans="1:15" ht="15">
      <c r="A360" s="9">
        <v>188</v>
      </c>
      <c r="B360" t="str">
        <f ca="1">IFERROR(__xludf.DUMMYFUNCTION((TRANSPOSE(ImportHTML("http://spending.data.al/sq/moneypower/view/id/188/year/2014",  "table", 0)))),"*Emër Subjekti*")</f>
        <v>*Emër Subjekti*</v>
      </c>
      <c r="C360" t="s">
        <v>698</v>
      </c>
      <c r="D360" t="s">
        <v>699</v>
      </c>
      <c r="E360" t="s">
        <v>700</v>
      </c>
      <c r="F360" t="s">
        <v>701</v>
      </c>
      <c r="G360" t="s">
        <v>702</v>
      </c>
    </row>
    <row r="361" spans="1:15" ht="15">
      <c r="A361" s="11"/>
      <c r="B361" t="s">
        <v>2439</v>
      </c>
      <c r="C361" t="s">
        <v>2422</v>
      </c>
      <c r="D361" s="12">
        <v>40535</v>
      </c>
      <c r="E361" t="s">
        <v>707</v>
      </c>
      <c r="F361" t="s">
        <v>2440</v>
      </c>
      <c r="G361" t="s">
        <v>2441</v>
      </c>
    </row>
    <row r="362" spans="1:15" ht="15">
      <c r="A362" s="9">
        <v>189</v>
      </c>
      <c r="B362" t="str">
        <f ca="1">IFERROR(__xludf.DUMMYFUNCTION((TRANSPOSE(ImportHTML("http://spending.data.al/sq/moneypower/view/id/189/year/2014",  "table", 0)))),"*Emër Subjekti*")</f>
        <v>*Emër Subjekti*</v>
      </c>
      <c r="C362" t="s">
        <v>698</v>
      </c>
      <c r="D362" t="s">
        <v>699</v>
      </c>
      <c r="E362" t="s">
        <v>700</v>
      </c>
      <c r="F362" t="s">
        <v>701</v>
      </c>
      <c r="G362" t="s">
        <v>702</v>
      </c>
    </row>
    <row r="363" spans="1:15" ht="15">
      <c r="A363" s="11"/>
      <c r="B363" t="s">
        <v>2442</v>
      </c>
      <c r="C363" t="s">
        <v>2443</v>
      </c>
      <c r="D363" t="s">
        <v>2444</v>
      </c>
      <c r="E363" t="s">
        <v>707</v>
      </c>
      <c r="F363" t="s">
        <v>2445</v>
      </c>
      <c r="G363" t="s">
        <v>2446</v>
      </c>
    </row>
    <row r="364" spans="1:15" ht="15">
      <c r="A364" s="9">
        <v>190</v>
      </c>
      <c r="B364" t="str">
        <f ca="1">IFERROR(__xludf.DUMMYFUNCTION((TRANSPOSE(ImportHTML("http://spending.data.al/sq/moneypower/view/id/190/year/2014",  "table", 0)))),"*Emër Subjekti*")</f>
        <v>*Emër Subjekti*</v>
      </c>
      <c r="C364" t="s">
        <v>698</v>
      </c>
      <c r="D364" t="s">
        <v>699</v>
      </c>
      <c r="E364" t="s">
        <v>700</v>
      </c>
      <c r="F364" t="s">
        <v>701</v>
      </c>
      <c r="G364" t="s">
        <v>702</v>
      </c>
    </row>
    <row r="365" spans="1:15" ht="15">
      <c r="A365" s="11"/>
      <c r="B365" t="s">
        <v>2447</v>
      </c>
      <c r="C365" t="s">
        <v>2448</v>
      </c>
      <c r="E365" t="s">
        <v>707</v>
      </c>
      <c r="F365" t="s">
        <v>2449</v>
      </c>
      <c r="G365" t="s">
        <v>2450</v>
      </c>
    </row>
    <row r="366" spans="1:15" ht="15">
      <c r="A366" s="9">
        <v>191</v>
      </c>
      <c r="B366" t="str">
        <f ca="1">IFERROR(__xludf.DUMMYFUNCTION((TRANSPOSE(ImportHTML("http://spending.data.al/sq/moneypower/view/id/191/year/2014",  "table", 0)))),"*Emër Subjekti*")</f>
        <v>*Emër Subjekti*</v>
      </c>
      <c r="C366" t="s">
        <v>698</v>
      </c>
      <c r="D366" t="s">
        <v>699</v>
      </c>
      <c r="E366" t="s">
        <v>700</v>
      </c>
      <c r="F366" t="s">
        <v>701</v>
      </c>
      <c r="G366" t="s">
        <v>702</v>
      </c>
    </row>
    <row r="367" spans="1:15" ht="15">
      <c r="A367" s="11"/>
      <c r="B367" t="s">
        <v>2451</v>
      </c>
      <c r="C367" t="s">
        <v>2452</v>
      </c>
      <c r="D367" s="12">
        <v>39995</v>
      </c>
      <c r="E367" t="s">
        <v>707</v>
      </c>
      <c r="F367" t="s">
        <v>2453</v>
      </c>
      <c r="G367" t="s">
        <v>707</v>
      </c>
    </row>
    <row r="368" spans="1:15" ht="15">
      <c r="A368" s="9">
        <v>192</v>
      </c>
      <c r="B368" t="str">
        <f ca="1">IFERROR(__xludf.DUMMYFUNCTION((TRANSPOSE(ImportHTML("http://spending.data.al/sq/moneypower/view/id/192/year/2014",  "table", 0)))),"*Kategoria*")</f>
        <v>*Kategoria*</v>
      </c>
      <c r="C368" t="s">
        <v>673</v>
      </c>
      <c r="D368" t="s">
        <v>674</v>
      </c>
      <c r="E368" t="s">
        <v>675</v>
      </c>
      <c r="F368" t="s">
        <v>676</v>
      </c>
      <c r="G368" t="s">
        <v>677</v>
      </c>
      <c r="H368" t="s">
        <v>678</v>
      </c>
      <c r="I368" t="s">
        <v>679</v>
      </c>
      <c r="J368" t="s">
        <v>680</v>
      </c>
      <c r="K368" t="s">
        <v>681</v>
      </c>
      <c r="L368" t="s">
        <v>682</v>
      </c>
      <c r="M368" t="s">
        <v>683</v>
      </c>
      <c r="N368" t="s">
        <v>684</v>
      </c>
      <c r="O368" t="s">
        <v>685</v>
      </c>
    </row>
    <row r="369" spans="1:15" ht="15">
      <c r="A369" s="11"/>
      <c r="B369" t="s">
        <v>686</v>
      </c>
      <c r="C369" t="s">
        <v>1381</v>
      </c>
      <c r="D369" t="s">
        <v>688</v>
      </c>
      <c r="E369" t="s">
        <v>688</v>
      </c>
      <c r="F369" t="s">
        <v>688</v>
      </c>
      <c r="G369" t="s">
        <v>688</v>
      </c>
      <c r="H369" t="s">
        <v>688</v>
      </c>
      <c r="I369" t="s">
        <v>688</v>
      </c>
      <c r="J369" t="s">
        <v>688</v>
      </c>
      <c r="K369" t="s">
        <v>688</v>
      </c>
      <c r="L369" t="s">
        <v>1382</v>
      </c>
      <c r="M369" t="s">
        <v>688</v>
      </c>
      <c r="O369" t="s">
        <v>1383</v>
      </c>
    </row>
    <row r="370" spans="1:15" ht="15">
      <c r="A370" s="9">
        <v>193</v>
      </c>
      <c r="B370" t="str">
        <f ca="1">IFERROR(__xludf.DUMMYFUNCTION((TRANSPOSE(ImportHTML("http://spending.data.al/sq/moneypower/view/id/193/year/2014",  "table", 0)))),"*Kategoria*")</f>
        <v>*Kategoria*</v>
      </c>
      <c r="C370" t="s">
        <v>673</v>
      </c>
      <c r="D370" t="s">
        <v>674</v>
      </c>
      <c r="E370" t="s">
        <v>675</v>
      </c>
      <c r="F370" t="s">
        <v>676</v>
      </c>
      <c r="G370" t="s">
        <v>677</v>
      </c>
      <c r="H370" t="s">
        <v>678</v>
      </c>
      <c r="I370" t="s">
        <v>679</v>
      </c>
      <c r="J370" t="s">
        <v>680</v>
      </c>
      <c r="K370" t="s">
        <v>681</v>
      </c>
      <c r="L370" t="s">
        <v>682</v>
      </c>
      <c r="M370" t="s">
        <v>683</v>
      </c>
      <c r="N370" t="s">
        <v>684</v>
      </c>
      <c r="O370" t="s">
        <v>685</v>
      </c>
    </row>
    <row r="371" spans="1:15" ht="15">
      <c r="A371" s="11"/>
      <c r="B371" t="s">
        <v>686</v>
      </c>
      <c r="C371" t="s">
        <v>1384</v>
      </c>
      <c r="D371" t="s">
        <v>688</v>
      </c>
      <c r="E371" t="s">
        <v>688</v>
      </c>
      <c r="F371" t="s">
        <v>688</v>
      </c>
      <c r="G371" t="s">
        <v>1385</v>
      </c>
      <c r="H371" t="s">
        <v>1386</v>
      </c>
      <c r="I371" t="s">
        <v>688</v>
      </c>
      <c r="J371" t="s">
        <v>688</v>
      </c>
      <c r="K371" t="s">
        <v>688</v>
      </c>
      <c r="L371" t="s">
        <v>1387</v>
      </c>
      <c r="M371" t="s">
        <v>688</v>
      </c>
      <c r="O371" t="s">
        <v>1388</v>
      </c>
    </row>
    <row r="372" spans="1:15" ht="15">
      <c r="A372" s="9">
        <v>194</v>
      </c>
      <c r="B372" t="str">
        <f ca="1">IFERROR(__xludf.DUMMYFUNCTION((TRANSPOSE(ImportHTML("http://spending.data.al/sq/moneypower/view/id/194/year/2014",  "table", 0)))),"*Kategoria*")</f>
        <v>*Kategoria*</v>
      </c>
      <c r="C372" t="s">
        <v>673</v>
      </c>
      <c r="D372" t="s">
        <v>674</v>
      </c>
      <c r="E372" t="s">
        <v>675</v>
      </c>
      <c r="F372" t="s">
        <v>676</v>
      </c>
      <c r="G372" t="s">
        <v>677</v>
      </c>
      <c r="H372" t="s">
        <v>678</v>
      </c>
      <c r="I372" t="s">
        <v>679</v>
      </c>
      <c r="J372" t="s">
        <v>680</v>
      </c>
      <c r="K372" t="s">
        <v>681</v>
      </c>
      <c r="L372" t="s">
        <v>682</v>
      </c>
      <c r="M372" t="s">
        <v>683</v>
      </c>
      <c r="N372" t="s">
        <v>684</v>
      </c>
      <c r="O372" t="s">
        <v>685</v>
      </c>
    </row>
    <row r="373" spans="1:15" ht="15">
      <c r="A373" s="11"/>
      <c r="B373" t="s">
        <v>686</v>
      </c>
      <c r="C373" t="s">
        <v>1389</v>
      </c>
      <c r="D373" t="s">
        <v>688</v>
      </c>
      <c r="E373" t="s">
        <v>688</v>
      </c>
      <c r="F373" t="s">
        <v>688</v>
      </c>
      <c r="G373" t="s">
        <v>1390</v>
      </c>
      <c r="H373" t="s">
        <v>688</v>
      </c>
      <c r="I373" t="s">
        <v>688</v>
      </c>
      <c r="J373" t="s">
        <v>688</v>
      </c>
      <c r="K373" t="s">
        <v>688</v>
      </c>
      <c r="L373" t="s">
        <v>688</v>
      </c>
      <c r="M373" t="s">
        <v>688</v>
      </c>
      <c r="O373" t="s">
        <v>1391</v>
      </c>
    </row>
    <row r="374" spans="1:15" ht="15">
      <c r="A374" s="9">
        <v>195</v>
      </c>
      <c r="B374" t="str">
        <f ca="1">IFERROR(__xludf.DUMMYFUNCTION((TRANSPOSE(ImportHTML("http://spending.data.al/sq/moneypower/view/id/195/year/2014",  "table", 0)))),"*Kategoria*")</f>
        <v>*Kategoria*</v>
      </c>
      <c r="C374" t="s">
        <v>673</v>
      </c>
      <c r="D374" t="s">
        <v>674</v>
      </c>
      <c r="E374" t="s">
        <v>675</v>
      </c>
      <c r="F374" t="s">
        <v>676</v>
      </c>
      <c r="G374" t="s">
        <v>677</v>
      </c>
      <c r="H374" t="s">
        <v>678</v>
      </c>
      <c r="I374" t="s">
        <v>679</v>
      </c>
      <c r="J374" t="s">
        <v>680</v>
      </c>
      <c r="K374" t="s">
        <v>681</v>
      </c>
      <c r="L374" t="s">
        <v>682</v>
      </c>
      <c r="M374" t="s">
        <v>683</v>
      </c>
      <c r="N374" t="s">
        <v>684</v>
      </c>
      <c r="O374" t="s">
        <v>685</v>
      </c>
    </row>
    <row r="375" spans="1:15" ht="15">
      <c r="A375" s="11"/>
      <c r="B375" t="s">
        <v>686</v>
      </c>
      <c r="C375" t="s">
        <v>1392</v>
      </c>
      <c r="D375" t="s">
        <v>688</v>
      </c>
      <c r="E375" t="s">
        <v>688</v>
      </c>
      <c r="F375" t="s">
        <v>688</v>
      </c>
      <c r="G375" t="s">
        <v>688</v>
      </c>
      <c r="H375" t="s">
        <v>688</v>
      </c>
      <c r="I375" t="s">
        <v>688</v>
      </c>
      <c r="J375" t="s">
        <v>688</v>
      </c>
      <c r="K375" t="s">
        <v>688</v>
      </c>
      <c r="L375" t="s">
        <v>688</v>
      </c>
      <c r="M375" t="s">
        <v>688</v>
      </c>
      <c r="O375" t="s">
        <v>1393</v>
      </c>
    </row>
    <row r="376" spans="1:15" ht="15">
      <c r="A376" s="9">
        <v>196</v>
      </c>
      <c r="B376" t="str">
        <f ca="1">IFERROR(__xludf.DUMMYFUNCTION((TRANSPOSE(ImportHTML("http://spending.data.al/sq/moneypower/view/id/196/year/2014",  "table", 0)))),"*Kategoria*")</f>
        <v>*Kategoria*</v>
      </c>
      <c r="C376" t="s">
        <v>673</v>
      </c>
      <c r="D376" t="s">
        <v>674</v>
      </c>
      <c r="E376" t="s">
        <v>675</v>
      </c>
      <c r="F376" t="s">
        <v>676</v>
      </c>
      <c r="G376" t="s">
        <v>677</v>
      </c>
      <c r="H376" t="s">
        <v>678</v>
      </c>
      <c r="I376" t="s">
        <v>679</v>
      </c>
      <c r="J376" t="s">
        <v>680</v>
      </c>
      <c r="K376" t="s">
        <v>681</v>
      </c>
      <c r="L376" t="s">
        <v>682</v>
      </c>
      <c r="M376" t="s">
        <v>683</v>
      </c>
      <c r="N376" t="s">
        <v>684</v>
      </c>
      <c r="O376" t="s">
        <v>685</v>
      </c>
    </row>
    <row r="377" spans="1:15" ht="15">
      <c r="A377" s="11"/>
      <c r="B377" t="s">
        <v>686</v>
      </c>
      <c r="C377" t="s">
        <v>1394</v>
      </c>
      <c r="D377" t="s">
        <v>688</v>
      </c>
      <c r="E377" t="s">
        <v>688</v>
      </c>
      <c r="F377" t="s">
        <v>688</v>
      </c>
      <c r="G377" t="s">
        <v>688</v>
      </c>
      <c r="H377" t="s">
        <v>688</v>
      </c>
      <c r="I377" t="s">
        <v>688</v>
      </c>
      <c r="J377" t="s">
        <v>688</v>
      </c>
      <c r="K377" t="s">
        <v>688</v>
      </c>
      <c r="L377" t="s">
        <v>1395</v>
      </c>
      <c r="M377" t="s">
        <v>688</v>
      </c>
      <c r="O377" t="s">
        <v>1396</v>
      </c>
    </row>
    <row r="378" spans="1:15" ht="15">
      <c r="A378" s="9">
        <v>197</v>
      </c>
      <c r="B378" t="str">
        <f ca="1">IFERROR(__xludf.DUMMYFUNCTION((TRANSPOSE(ImportHTML("http://spending.data.al/sq/moneypower/view/id/197/year/2014",  "table", 0)))),"*Kategoria*")</f>
        <v>*Kategoria*</v>
      </c>
      <c r="C378" t="s">
        <v>673</v>
      </c>
      <c r="D378" t="s">
        <v>674</v>
      </c>
      <c r="E378" t="s">
        <v>675</v>
      </c>
      <c r="F378" t="s">
        <v>676</v>
      </c>
      <c r="G378" t="s">
        <v>677</v>
      </c>
      <c r="H378" t="s">
        <v>678</v>
      </c>
      <c r="I378" t="s">
        <v>679</v>
      </c>
      <c r="J378" t="s">
        <v>680</v>
      </c>
      <c r="K378" t="s">
        <v>681</v>
      </c>
      <c r="L378" t="s">
        <v>682</v>
      </c>
      <c r="M378" t="s">
        <v>683</v>
      </c>
      <c r="N378" t="s">
        <v>684</v>
      </c>
      <c r="O378" t="s">
        <v>685</v>
      </c>
    </row>
    <row r="379" spans="1:15" ht="15">
      <c r="A379" s="11"/>
      <c r="B379" t="s">
        <v>686</v>
      </c>
      <c r="C379" t="s">
        <v>1397</v>
      </c>
      <c r="D379" t="s">
        <v>688</v>
      </c>
      <c r="E379" t="s">
        <v>688</v>
      </c>
      <c r="F379" t="s">
        <v>688</v>
      </c>
      <c r="G379" t="s">
        <v>688</v>
      </c>
      <c r="H379" t="s">
        <v>688</v>
      </c>
      <c r="I379" t="s">
        <v>688</v>
      </c>
      <c r="J379" t="s">
        <v>688</v>
      </c>
      <c r="K379" t="s">
        <v>688</v>
      </c>
      <c r="L379" t="s">
        <v>1398</v>
      </c>
      <c r="M379" t="s">
        <v>688</v>
      </c>
      <c r="O379" t="s">
        <v>1399</v>
      </c>
    </row>
    <row r="380" spans="1:15" ht="15">
      <c r="A380" s="9">
        <v>198</v>
      </c>
      <c r="B380" t="str">
        <f ca="1">IFERROR(__xludf.DUMMYFUNCTION((TRANSPOSE(ImportHTML("http://spending.data.al/sq/moneypower/view/id/198/year/2014",  "table", 0)))),"*Kategoria*")</f>
        <v>*Kategoria*</v>
      </c>
      <c r="C380" t="s">
        <v>673</v>
      </c>
      <c r="D380" t="s">
        <v>674</v>
      </c>
      <c r="E380" t="s">
        <v>675</v>
      </c>
      <c r="F380" t="s">
        <v>676</v>
      </c>
      <c r="G380" t="s">
        <v>677</v>
      </c>
      <c r="H380" t="s">
        <v>678</v>
      </c>
      <c r="I380" t="s">
        <v>679</v>
      </c>
      <c r="J380" t="s">
        <v>680</v>
      </c>
      <c r="K380" t="s">
        <v>681</v>
      </c>
      <c r="L380" t="s">
        <v>682</v>
      </c>
      <c r="M380" t="s">
        <v>683</v>
      </c>
      <c r="N380" t="s">
        <v>684</v>
      </c>
      <c r="O380" t="s">
        <v>685</v>
      </c>
    </row>
    <row r="381" spans="1:15" ht="15">
      <c r="A381" s="11"/>
      <c r="B381" t="s">
        <v>686</v>
      </c>
      <c r="C381" t="s">
        <v>1400</v>
      </c>
      <c r="D381" t="s">
        <v>688</v>
      </c>
      <c r="E381" t="s">
        <v>688</v>
      </c>
      <c r="F381" t="s">
        <v>688</v>
      </c>
      <c r="G381" t="s">
        <v>688</v>
      </c>
      <c r="H381" t="s">
        <v>688</v>
      </c>
      <c r="I381" t="s">
        <v>688</v>
      </c>
      <c r="J381" t="s">
        <v>688</v>
      </c>
      <c r="K381" t="s">
        <v>688</v>
      </c>
      <c r="L381" t="s">
        <v>1401</v>
      </c>
      <c r="M381" t="s">
        <v>688</v>
      </c>
      <c r="O381" t="s">
        <v>1402</v>
      </c>
    </row>
    <row r="382" spans="1:15" ht="15">
      <c r="A382" s="9">
        <v>199</v>
      </c>
      <c r="B382" t="str">
        <f ca="1">IFERROR(__xludf.DUMMYFUNCTION((TRANSPOSE(ImportHTML("http://spending.data.al/sq/moneypower/view/id/199/year/2014",  "table", 0)))),"*Emër Subjekti*")</f>
        <v>*Emër Subjekti*</v>
      </c>
      <c r="C382" t="s">
        <v>698</v>
      </c>
      <c r="D382" t="s">
        <v>699</v>
      </c>
      <c r="E382" t="s">
        <v>700</v>
      </c>
      <c r="F382" t="s">
        <v>701</v>
      </c>
      <c r="G382" t="s">
        <v>702</v>
      </c>
    </row>
    <row r="383" spans="1:15" ht="15">
      <c r="A383" s="11"/>
      <c r="B383" t="s">
        <v>2476</v>
      </c>
      <c r="C383" t="s">
        <v>711</v>
      </c>
      <c r="D383" t="s">
        <v>2178</v>
      </c>
      <c r="E383" t="s">
        <v>2191</v>
      </c>
      <c r="F383" t="s">
        <v>2477</v>
      </c>
      <c r="G383" t="s">
        <v>2478</v>
      </c>
    </row>
    <row r="384" spans="1:15" ht="15">
      <c r="A384" s="9">
        <v>200</v>
      </c>
      <c r="B384" t="str">
        <f ca="1">IFERROR(__xludf.DUMMYFUNCTION((TRANSPOSE(ImportHTML("http://spending.data.al/sq/moneypower/view/id/200/year/2014",  "table", 0)))),"*Kategoria*")</f>
        <v>*Kategoria*</v>
      </c>
      <c r="C384" t="s">
        <v>673</v>
      </c>
      <c r="D384" t="s">
        <v>674</v>
      </c>
      <c r="E384" t="s">
        <v>675</v>
      </c>
      <c r="F384" t="s">
        <v>676</v>
      </c>
      <c r="G384" t="s">
        <v>677</v>
      </c>
      <c r="H384" t="s">
        <v>678</v>
      </c>
      <c r="I384" t="s">
        <v>679</v>
      </c>
      <c r="J384" t="s">
        <v>680</v>
      </c>
      <c r="K384" t="s">
        <v>681</v>
      </c>
      <c r="L384" t="s">
        <v>682</v>
      </c>
      <c r="M384" t="s">
        <v>683</v>
      </c>
      <c r="N384" t="s">
        <v>684</v>
      </c>
      <c r="O384" t="s">
        <v>685</v>
      </c>
    </row>
    <row r="385" spans="1:15" ht="15">
      <c r="A385" s="11"/>
      <c r="B385" t="s">
        <v>686</v>
      </c>
      <c r="C385" t="s">
        <v>1405</v>
      </c>
      <c r="D385" t="s">
        <v>1406</v>
      </c>
      <c r="E385" t="s">
        <v>688</v>
      </c>
      <c r="F385" t="s">
        <v>1407</v>
      </c>
      <c r="G385" t="s">
        <v>1408</v>
      </c>
      <c r="H385" t="s">
        <v>688</v>
      </c>
      <c r="I385" t="s">
        <v>688</v>
      </c>
      <c r="J385" t="s">
        <v>688</v>
      </c>
      <c r="K385" t="s">
        <v>688</v>
      </c>
      <c r="L385" t="s">
        <v>1409</v>
      </c>
      <c r="M385" t="s">
        <v>688</v>
      </c>
      <c r="O385" t="s">
        <v>688</v>
      </c>
    </row>
    <row r="386" spans="1:15" ht="15">
      <c r="A386" s="9">
        <v>201</v>
      </c>
      <c r="B386" t="str">
        <f ca="1">IFERROR(__xludf.DUMMYFUNCTION((TRANSPOSE(ImportHTML("http://spending.data.al/sq/moneypower/view/id/201/year/2014",  "table", 0)))),"*Kategoria*")</f>
        <v>*Kategoria*</v>
      </c>
      <c r="C386" t="s">
        <v>673</v>
      </c>
      <c r="D386" t="s">
        <v>674</v>
      </c>
      <c r="E386" t="s">
        <v>675</v>
      </c>
      <c r="F386" t="s">
        <v>676</v>
      </c>
      <c r="G386" t="s">
        <v>677</v>
      </c>
      <c r="H386" t="s">
        <v>678</v>
      </c>
      <c r="I386" t="s">
        <v>679</v>
      </c>
      <c r="J386" t="s">
        <v>680</v>
      </c>
      <c r="K386" t="s">
        <v>681</v>
      </c>
      <c r="L386" t="s">
        <v>682</v>
      </c>
      <c r="M386" t="s">
        <v>683</v>
      </c>
      <c r="N386" t="s">
        <v>684</v>
      </c>
      <c r="O386" t="s">
        <v>685</v>
      </c>
    </row>
    <row r="387" spans="1:15" ht="15">
      <c r="A387" s="11"/>
      <c r="B387" t="s">
        <v>686</v>
      </c>
      <c r="C387" t="s">
        <v>1410</v>
      </c>
      <c r="D387" t="s">
        <v>688</v>
      </c>
      <c r="E387" t="s">
        <v>688</v>
      </c>
      <c r="F387" t="s">
        <v>688</v>
      </c>
      <c r="G387" t="s">
        <v>688</v>
      </c>
      <c r="H387" t="s">
        <v>688</v>
      </c>
      <c r="I387" t="s">
        <v>688</v>
      </c>
      <c r="J387" t="s">
        <v>688</v>
      </c>
      <c r="K387" t="s">
        <v>688</v>
      </c>
      <c r="L387" t="s">
        <v>1411</v>
      </c>
      <c r="M387" t="s">
        <v>688</v>
      </c>
      <c r="O387" t="s">
        <v>1412</v>
      </c>
    </row>
    <row r="388" spans="1:15" ht="15">
      <c r="A388" s="9">
        <v>202</v>
      </c>
      <c r="B388" t="str">
        <f ca="1">IFERROR(__xludf.DUMMYFUNCTION((TRANSPOSE(ImportHTML("http://spending.data.al/sq/moneypower/view/id/202/year/2014",  "table", 0)))),"*Kategoria*")</f>
        <v>*Kategoria*</v>
      </c>
      <c r="C388" t="s">
        <v>673</v>
      </c>
      <c r="D388" t="s">
        <v>674</v>
      </c>
      <c r="E388" t="s">
        <v>675</v>
      </c>
      <c r="F388" t="s">
        <v>676</v>
      </c>
      <c r="G388" t="s">
        <v>677</v>
      </c>
      <c r="H388" t="s">
        <v>678</v>
      </c>
      <c r="I388" t="s">
        <v>679</v>
      </c>
      <c r="J388" t="s">
        <v>680</v>
      </c>
      <c r="K388" t="s">
        <v>681</v>
      </c>
      <c r="L388" t="s">
        <v>682</v>
      </c>
      <c r="M388" t="s">
        <v>683</v>
      </c>
      <c r="N388" t="s">
        <v>684</v>
      </c>
      <c r="O388" t="s">
        <v>685</v>
      </c>
    </row>
    <row r="389" spans="1:15" ht="15">
      <c r="A389" s="11"/>
      <c r="B389" t="s">
        <v>686</v>
      </c>
      <c r="C389" t="s">
        <v>1413</v>
      </c>
      <c r="D389" t="s">
        <v>688</v>
      </c>
      <c r="E389" t="s">
        <v>688</v>
      </c>
      <c r="F389" t="s">
        <v>688</v>
      </c>
      <c r="G389" t="s">
        <v>688</v>
      </c>
      <c r="H389" t="s">
        <v>688</v>
      </c>
      <c r="I389" t="s">
        <v>688</v>
      </c>
      <c r="J389" t="s">
        <v>688</v>
      </c>
      <c r="K389" t="s">
        <v>688</v>
      </c>
      <c r="L389" t="s">
        <v>1414</v>
      </c>
      <c r="M389" t="s">
        <v>688</v>
      </c>
      <c r="O389" t="s">
        <v>1415</v>
      </c>
    </row>
    <row r="390" spans="1:15" ht="15">
      <c r="A390" s="9">
        <v>203</v>
      </c>
      <c r="B390" t="str">
        <f ca="1">IFERROR(__xludf.DUMMYFUNCTION((TRANSPOSE(ImportHTML("http://spending.data.al/sq/moneypower/view/id/203/year/2014",  "table", 0)))),"*Kategoria*")</f>
        <v>*Kategoria*</v>
      </c>
      <c r="C390" t="s">
        <v>673</v>
      </c>
      <c r="D390" t="s">
        <v>674</v>
      </c>
      <c r="E390" t="s">
        <v>675</v>
      </c>
      <c r="F390" t="s">
        <v>676</v>
      </c>
      <c r="G390" t="s">
        <v>677</v>
      </c>
      <c r="H390" t="s">
        <v>678</v>
      </c>
      <c r="I390" t="s">
        <v>679</v>
      </c>
      <c r="J390" t="s">
        <v>680</v>
      </c>
      <c r="K390" t="s">
        <v>681</v>
      </c>
      <c r="L390" t="s">
        <v>682</v>
      </c>
      <c r="M390" t="s">
        <v>683</v>
      </c>
      <c r="N390" t="s">
        <v>684</v>
      </c>
      <c r="O390" t="s">
        <v>685</v>
      </c>
    </row>
    <row r="391" spans="1:15" ht="15">
      <c r="A391" s="11"/>
      <c r="B391" t="s">
        <v>686</v>
      </c>
      <c r="C391" t="s">
        <v>1416</v>
      </c>
      <c r="D391" t="s">
        <v>688</v>
      </c>
      <c r="E391" t="s">
        <v>688</v>
      </c>
      <c r="F391" t="s">
        <v>688</v>
      </c>
      <c r="G391" t="s">
        <v>688</v>
      </c>
      <c r="H391" t="s">
        <v>688</v>
      </c>
      <c r="I391" t="s">
        <v>688</v>
      </c>
      <c r="J391" t="s">
        <v>688</v>
      </c>
      <c r="K391" t="s">
        <v>688</v>
      </c>
      <c r="L391" t="s">
        <v>1417</v>
      </c>
      <c r="M391" t="s">
        <v>688</v>
      </c>
      <c r="O391" t="s">
        <v>1418</v>
      </c>
    </row>
    <row r="392" spans="1:15" ht="15">
      <c r="A392" s="9">
        <v>204</v>
      </c>
      <c r="B392" t="str">
        <f ca="1">IFERROR(__xludf.DUMMYFUNCTION((TRANSPOSE(ImportHTML("http://spending.data.al/sq/moneypower/view/id/204/year/2014",  "table", 0)))),"*Emër Subjekti*")</f>
        <v>*Emër Subjekti*</v>
      </c>
      <c r="C392" t="s">
        <v>698</v>
      </c>
      <c r="D392" t="s">
        <v>699</v>
      </c>
      <c r="E392" t="s">
        <v>700</v>
      </c>
      <c r="F392" t="s">
        <v>701</v>
      </c>
      <c r="G392" t="s">
        <v>702</v>
      </c>
    </row>
    <row r="393" spans="1:15" ht="15">
      <c r="A393" s="11"/>
      <c r="B393" t="s">
        <v>2490</v>
      </c>
      <c r="C393" t="s">
        <v>711</v>
      </c>
      <c r="D393" s="12">
        <v>41526</v>
      </c>
      <c r="E393" t="s">
        <v>707</v>
      </c>
      <c r="F393" t="s">
        <v>2491</v>
      </c>
      <c r="G393" t="s">
        <v>707</v>
      </c>
    </row>
    <row r="394" spans="1:15" ht="15">
      <c r="A394" s="9">
        <v>205</v>
      </c>
      <c r="B394" t="str">
        <f ca="1">IFERROR(__xludf.DUMMYFUNCTION((TRANSPOSE(ImportHTML("http://spending.data.al/sq/moneypower/view/id/205/year/2014",  "table", 0)))),"*Kategoria*")</f>
        <v>*Kategoria*</v>
      </c>
      <c r="C394" t="s">
        <v>673</v>
      </c>
      <c r="D394" t="s">
        <v>674</v>
      </c>
      <c r="E394" t="s">
        <v>675</v>
      </c>
      <c r="F394" t="s">
        <v>676</v>
      </c>
      <c r="G394" t="s">
        <v>677</v>
      </c>
      <c r="H394" t="s">
        <v>678</v>
      </c>
      <c r="I394" t="s">
        <v>679</v>
      </c>
      <c r="J394" t="s">
        <v>680</v>
      </c>
      <c r="K394" t="s">
        <v>681</v>
      </c>
      <c r="L394" t="s">
        <v>682</v>
      </c>
      <c r="M394" t="s">
        <v>683</v>
      </c>
      <c r="N394" t="s">
        <v>684</v>
      </c>
      <c r="O394" t="s">
        <v>685</v>
      </c>
    </row>
    <row r="395" spans="1:15" ht="15">
      <c r="A395" s="11"/>
      <c r="B395" t="s">
        <v>686</v>
      </c>
      <c r="C395" t="s">
        <v>1421</v>
      </c>
      <c r="D395" t="s">
        <v>688</v>
      </c>
      <c r="E395" t="s">
        <v>688</v>
      </c>
      <c r="F395" t="s">
        <v>688</v>
      </c>
      <c r="G395" t="s">
        <v>688</v>
      </c>
      <c r="H395" t="s">
        <v>688</v>
      </c>
      <c r="I395" t="s">
        <v>688</v>
      </c>
      <c r="J395" t="s">
        <v>688</v>
      </c>
      <c r="K395" t="s">
        <v>688</v>
      </c>
      <c r="M395" t="s">
        <v>688</v>
      </c>
    </row>
    <row r="396" spans="1:15" ht="15">
      <c r="A396" s="9">
        <v>206</v>
      </c>
      <c r="B396" t="str">
        <f ca="1">IFERROR(__xludf.DUMMYFUNCTION((TRANSPOSE(ImportHTML("http://spending.data.al/sq/moneypower/view/id/206/year/2014",  "table", 0)))),"*Kategoria*")</f>
        <v>*Kategoria*</v>
      </c>
      <c r="C396" t="s">
        <v>673</v>
      </c>
      <c r="D396" t="s">
        <v>674</v>
      </c>
      <c r="E396" t="s">
        <v>675</v>
      </c>
      <c r="F396" t="s">
        <v>676</v>
      </c>
      <c r="G396" t="s">
        <v>677</v>
      </c>
      <c r="H396" t="s">
        <v>678</v>
      </c>
      <c r="I396" t="s">
        <v>679</v>
      </c>
      <c r="J396" t="s">
        <v>680</v>
      </c>
      <c r="K396" t="s">
        <v>681</v>
      </c>
      <c r="L396" t="s">
        <v>682</v>
      </c>
      <c r="M396" t="s">
        <v>683</v>
      </c>
      <c r="N396" t="s">
        <v>684</v>
      </c>
      <c r="O396" t="s">
        <v>685</v>
      </c>
    </row>
    <row r="397" spans="1:15" ht="15">
      <c r="A397" s="11"/>
      <c r="B397" t="s">
        <v>686</v>
      </c>
      <c r="C397" t="s">
        <v>1422</v>
      </c>
      <c r="D397" t="s">
        <v>688</v>
      </c>
      <c r="E397" t="s">
        <v>688</v>
      </c>
      <c r="F397" t="s">
        <v>688</v>
      </c>
      <c r="G397" t="s">
        <v>1423</v>
      </c>
      <c r="H397" t="s">
        <v>688</v>
      </c>
      <c r="I397" t="s">
        <v>688</v>
      </c>
      <c r="J397" t="s">
        <v>688</v>
      </c>
      <c r="K397" t="s">
        <v>688</v>
      </c>
      <c r="L397" t="s">
        <v>1424</v>
      </c>
      <c r="M397" t="s">
        <v>688</v>
      </c>
      <c r="O397" t="s">
        <v>1425</v>
      </c>
    </row>
    <row r="398" spans="1:15" ht="15">
      <c r="A398" s="9">
        <v>207</v>
      </c>
      <c r="B398" t="str">
        <f ca="1">IFERROR(__xludf.DUMMYFUNCTION((TRANSPOSE(ImportHTML("http://spending.data.al/sq/moneypower/view/id/207/year/2014",  "table", 0)))),"*Kategoria*")</f>
        <v>*Kategoria*</v>
      </c>
      <c r="C398" t="s">
        <v>673</v>
      </c>
      <c r="D398" t="s">
        <v>674</v>
      </c>
      <c r="E398" t="s">
        <v>675</v>
      </c>
      <c r="F398" t="s">
        <v>676</v>
      </c>
      <c r="G398" t="s">
        <v>677</v>
      </c>
      <c r="H398" t="s">
        <v>678</v>
      </c>
      <c r="I398" t="s">
        <v>679</v>
      </c>
      <c r="J398" t="s">
        <v>680</v>
      </c>
      <c r="K398" t="s">
        <v>681</v>
      </c>
      <c r="L398" t="s">
        <v>682</v>
      </c>
      <c r="M398" t="s">
        <v>683</v>
      </c>
      <c r="N398" t="s">
        <v>684</v>
      </c>
      <c r="O398" t="s">
        <v>685</v>
      </c>
    </row>
    <row r="399" spans="1:15" ht="15">
      <c r="A399" s="11"/>
      <c r="B399" t="s">
        <v>686</v>
      </c>
      <c r="C399" t="s">
        <v>1426</v>
      </c>
      <c r="D399" t="s">
        <v>688</v>
      </c>
      <c r="E399" t="s">
        <v>688</v>
      </c>
      <c r="F399" t="s">
        <v>688</v>
      </c>
      <c r="G399" t="s">
        <v>1427</v>
      </c>
      <c r="H399" t="s">
        <v>688</v>
      </c>
      <c r="I399" t="s">
        <v>688</v>
      </c>
      <c r="J399" t="s">
        <v>688</v>
      </c>
      <c r="K399" t="s">
        <v>688</v>
      </c>
      <c r="L399" t="s">
        <v>688</v>
      </c>
      <c r="M399" t="s">
        <v>688</v>
      </c>
      <c r="O399" t="s">
        <v>1428</v>
      </c>
    </row>
    <row r="400" spans="1:15" ht="15">
      <c r="A400" s="9">
        <v>208</v>
      </c>
      <c r="B400" t="str">
        <f ca="1">IFERROR(__xludf.DUMMYFUNCTION((TRANSPOSE(ImportHTML("http://spending.data.al/sq/moneypower/view/id/208/year/2014",  "table", 0)))),"*Kategoria*")</f>
        <v>*Kategoria*</v>
      </c>
      <c r="C400" t="s">
        <v>673</v>
      </c>
      <c r="D400" t="s">
        <v>674</v>
      </c>
      <c r="E400" t="s">
        <v>675</v>
      </c>
      <c r="F400" t="s">
        <v>676</v>
      </c>
      <c r="G400" t="s">
        <v>677</v>
      </c>
      <c r="H400" t="s">
        <v>678</v>
      </c>
      <c r="I400" t="s">
        <v>679</v>
      </c>
      <c r="J400" t="s">
        <v>680</v>
      </c>
      <c r="K400" t="s">
        <v>681</v>
      </c>
      <c r="L400" t="s">
        <v>682</v>
      </c>
      <c r="M400" t="s">
        <v>683</v>
      </c>
      <c r="N400" t="s">
        <v>684</v>
      </c>
      <c r="O400" t="s">
        <v>685</v>
      </c>
    </row>
    <row r="401" spans="1:15" ht="15">
      <c r="A401" s="11"/>
      <c r="B401" t="s">
        <v>686</v>
      </c>
      <c r="C401" t="s">
        <v>1429</v>
      </c>
      <c r="D401" t="s">
        <v>1430</v>
      </c>
      <c r="E401" t="s">
        <v>688</v>
      </c>
      <c r="F401" t="s">
        <v>688</v>
      </c>
      <c r="G401" t="s">
        <v>688</v>
      </c>
      <c r="H401" t="s">
        <v>688</v>
      </c>
      <c r="I401" t="s">
        <v>688</v>
      </c>
      <c r="J401" t="s">
        <v>688</v>
      </c>
      <c r="K401" t="s">
        <v>688</v>
      </c>
      <c r="L401" t="s">
        <v>1431</v>
      </c>
      <c r="M401" t="s">
        <v>688</v>
      </c>
      <c r="O401" t="s">
        <v>1432</v>
      </c>
    </row>
    <row r="402" spans="1:15" ht="15">
      <c r="A402" s="9">
        <v>209</v>
      </c>
      <c r="B402" t="str">
        <f ca="1">IFERROR(__xludf.DUMMYFUNCTION((TRANSPOSE(ImportHTML("http://spending.data.al/sq/moneypower/view/id/209/year/2014",  "table", 0)))),"*Kategoria*")</f>
        <v>*Kategoria*</v>
      </c>
      <c r="C402" t="s">
        <v>673</v>
      </c>
      <c r="D402" t="s">
        <v>674</v>
      </c>
      <c r="E402" t="s">
        <v>675</v>
      </c>
      <c r="F402" t="s">
        <v>676</v>
      </c>
      <c r="G402" t="s">
        <v>677</v>
      </c>
      <c r="H402" t="s">
        <v>678</v>
      </c>
      <c r="I402" t="s">
        <v>679</v>
      </c>
      <c r="J402" t="s">
        <v>680</v>
      </c>
      <c r="K402" t="s">
        <v>681</v>
      </c>
      <c r="L402" t="s">
        <v>682</v>
      </c>
      <c r="M402" t="s">
        <v>683</v>
      </c>
      <c r="N402" t="s">
        <v>684</v>
      </c>
      <c r="O402" t="s">
        <v>685</v>
      </c>
    </row>
    <row r="403" spans="1:15" ht="15">
      <c r="A403" s="11"/>
      <c r="B403" t="s">
        <v>686</v>
      </c>
      <c r="C403" t="s">
        <v>1433</v>
      </c>
      <c r="D403" t="s">
        <v>688</v>
      </c>
      <c r="E403" t="s">
        <v>688</v>
      </c>
      <c r="F403" t="s">
        <v>688</v>
      </c>
      <c r="G403" t="s">
        <v>1434</v>
      </c>
      <c r="H403" t="s">
        <v>688</v>
      </c>
      <c r="I403" t="s">
        <v>688</v>
      </c>
      <c r="J403" t="s">
        <v>688</v>
      </c>
      <c r="K403" t="s">
        <v>688</v>
      </c>
      <c r="L403" t="s">
        <v>1435</v>
      </c>
      <c r="M403" t="s">
        <v>688</v>
      </c>
      <c r="O403" t="s">
        <v>1436</v>
      </c>
    </row>
    <row r="404" spans="1:15" ht="15">
      <c r="A404" s="9">
        <v>210</v>
      </c>
      <c r="B404" t="str">
        <f ca="1">IFERROR(__xludf.DUMMYFUNCTION((TRANSPOSE(ImportHTML("http://spending.data.al/sq/moneypower/view/id/210/year/2014",  "table", 0)))),"*Kategoria*")</f>
        <v>*Kategoria*</v>
      </c>
      <c r="C404" t="s">
        <v>673</v>
      </c>
      <c r="D404" t="s">
        <v>674</v>
      </c>
      <c r="E404" t="s">
        <v>675</v>
      </c>
      <c r="F404" t="s">
        <v>676</v>
      </c>
      <c r="G404" t="s">
        <v>677</v>
      </c>
      <c r="H404" t="s">
        <v>678</v>
      </c>
      <c r="I404" t="s">
        <v>679</v>
      </c>
      <c r="J404" t="s">
        <v>680</v>
      </c>
      <c r="K404" t="s">
        <v>681</v>
      </c>
      <c r="L404" t="s">
        <v>682</v>
      </c>
      <c r="M404" t="s">
        <v>683</v>
      </c>
      <c r="N404" t="s">
        <v>684</v>
      </c>
      <c r="O404" t="s">
        <v>685</v>
      </c>
    </row>
    <row r="405" spans="1:15" ht="15">
      <c r="A405" s="11"/>
      <c r="B405" t="s">
        <v>686</v>
      </c>
      <c r="C405" t="s">
        <v>1437</v>
      </c>
      <c r="D405" t="s">
        <v>688</v>
      </c>
      <c r="E405" t="s">
        <v>688</v>
      </c>
      <c r="F405" t="s">
        <v>688</v>
      </c>
      <c r="G405" t="s">
        <v>688</v>
      </c>
      <c r="H405" t="s">
        <v>688</v>
      </c>
      <c r="I405" t="s">
        <v>688</v>
      </c>
      <c r="J405" t="s">
        <v>688</v>
      </c>
      <c r="K405" t="s">
        <v>688</v>
      </c>
      <c r="L405" t="s">
        <v>1438</v>
      </c>
      <c r="M405" t="s">
        <v>688</v>
      </c>
      <c r="O405" t="s">
        <v>1439</v>
      </c>
    </row>
    <row r="406" spans="1:15" ht="15">
      <c r="A406" s="9">
        <v>211</v>
      </c>
      <c r="B406" t="str">
        <f ca="1">IFERROR(__xludf.DUMMYFUNCTION((TRANSPOSE(ImportHTML("http://spending.data.al/sq/moneypower/view/id/211/year/2014",  "table", 0)))),"*Kategoria*")</f>
        <v>*Kategoria*</v>
      </c>
      <c r="C406" t="s">
        <v>673</v>
      </c>
      <c r="D406" t="s">
        <v>674</v>
      </c>
      <c r="E406" t="s">
        <v>675</v>
      </c>
      <c r="F406" t="s">
        <v>676</v>
      </c>
      <c r="G406" t="s">
        <v>677</v>
      </c>
      <c r="H406" t="s">
        <v>678</v>
      </c>
      <c r="I406" t="s">
        <v>679</v>
      </c>
      <c r="J406" t="s">
        <v>680</v>
      </c>
      <c r="K406" t="s">
        <v>681</v>
      </c>
      <c r="L406" t="s">
        <v>682</v>
      </c>
      <c r="M406" t="s">
        <v>683</v>
      </c>
      <c r="N406" t="s">
        <v>684</v>
      </c>
      <c r="O406" t="s">
        <v>685</v>
      </c>
    </row>
    <row r="407" spans="1:15" ht="15">
      <c r="A407" s="11"/>
      <c r="B407" t="s">
        <v>686</v>
      </c>
      <c r="C407" t="s">
        <v>1440</v>
      </c>
      <c r="D407" t="s">
        <v>1441</v>
      </c>
      <c r="E407" t="s">
        <v>688</v>
      </c>
      <c r="F407" t="s">
        <v>1442</v>
      </c>
      <c r="G407" t="s">
        <v>1443</v>
      </c>
      <c r="H407" t="s">
        <v>688</v>
      </c>
      <c r="I407" t="s">
        <v>688</v>
      </c>
      <c r="J407" t="s">
        <v>688</v>
      </c>
      <c r="K407" t="s">
        <v>688</v>
      </c>
      <c r="L407" t="s">
        <v>1444</v>
      </c>
      <c r="M407" t="s">
        <v>1445</v>
      </c>
      <c r="O407" t="s">
        <v>1446</v>
      </c>
    </row>
    <row r="408" spans="1:15" ht="15">
      <c r="A408" s="9">
        <v>212</v>
      </c>
      <c r="B408" t="str">
        <f ca="1">IFERROR(__xludf.DUMMYFUNCTION((TRANSPOSE(ImportHTML("http://spending.data.al/sq/moneypower/view/id/212/year/2014",  "table", 0)))),"*Kategoria*")</f>
        <v>*Kategoria*</v>
      </c>
      <c r="C408" t="s">
        <v>673</v>
      </c>
      <c r="D408" t="s">
        <v>674</v>
      </c>
      <c r="E408" t="s">
        <v>675</v>
      </c>
      <c r="F408" t="s">
        <v>676</v>
      </c>
      <c r="G408" t="s">
        <v>677</v>
      </c>
      <c r="H408" t="s">
        <v>678</v>
      </c>
      <c r="I408" t="s">
        <v>679</v>
      </c>
      <c r="J408" t="s">
        <v>680</v>
      </c>
      <c r="K408" t="s">
        <v>681</v>
      </c>
      <c r="L408" t="s">
        <v>682</v>
      </c>
      <c r="M408" t="s">
        <v>683</v>
      </c>
      <c r="N408" t="s">
        <v>684</v>
      </c>
      <c r="O408" t="s">
        <v>685</v>
      </c>
    </row>
    <row r="409" spans="1:15" ht="15">
      <c r="A409" s="11"/>
      <c r="B409" t="s">
        <v>686</v>
      </c>
      <c r="C409" t="s">
        <v>1447</v>
      </c>
      <c r="D409" t="s">
        <v>688</v>
      </c>
      <c r="E409" t="s">
        <v>688</v>
      </c>
      <c r="F409" t="s">
        <v>688</v>
      </c>
      <c r="G409" t="s">
        <v>688</v>
      </c>
      <c r="H409" t="s">
        <v>688</v>
      </c>
      <c r="I409" t="s">
        <v>688</v>
      </c>
      <c r="J409" t="s">
        <v>688</v>
      </c>
      <c r="K409" t="s">
        <v>688</v>
      </c>
      <c r="L409" t="s">
        <v>1448</v>
      </c>
      <c r="M409" t="s">
        <v>688</v>
      </c>
      <c r="O409" t="s">
        <v>688</v>
      </c>
    </row>
    <row r="410" spans="1:15" ht="15">
      <c r="A410" s="9">
        <v>213</v>
      </c>
      <c r="B410" t="str">
        <f ca="1">IFERROR(__xludf.DUMMYFUNCTION((TRANSPOSE(ImportHTML("http://spending.data.al/sq/moneypower/view/id/213/year/2014",  "table", 0)))),"*Emër Subjekti*")</f>
        <v>*Emër Subjekti*</v>
      </c>
      <c r="C410" t="s">
        <v>698</v>
      </c>
      <c r="D410" t="s">
        <v>699</v>
      </c>
      <c r="E410" t="s">
        <v>700</v>
      </c>
      <c r="F410" t="s">
        <v>701</v>
      </c>
      <c r="G410" t="s">
        <v>702</v>
      </c>
    </row>
    <row r="411" spans="1:15" ht="15">
      <c r="A411" s="11"/>
      <c r="B411" t="s">
        <v>4340</v>
      </c>
      <c r="C411" t="s">
        <v>4341</v>
      </c>
      <c r="D411" s="12">
        <v>40150</v>
      </c>
      <c r="E411" t="s">
        <v>1914</v>
      </c>
      <c r="F411" t="s">
        <v>4342</v>
      </c>
      <c r="G411" t="s">
        <v>707</v>
      </c>
    </row>
    <row r="412" spans="1:15" ht="15">
      <c r="A412" s="9">
        <v>214</v>
      </c>
      <c r="B412" t="str">
        <f ca="1">IFERROR(__xludf.DUMMYFUNCTION((TRANSPOSE(ImportHTML("http://spending.data.al/sq/moneypower/view/id/214/year/2014",  "table", 0)))),"*Emër Subjekti*")</f>
        <v>*Emër Subjekti*</v>
      </c>
      <c r="C412" t="s">
        <v>698</v>
      </c>
      <c r="D412" t="s">
        <v>699</v>
      </c>
      <c r="E412" t="s">
        <v>700</v>
      </c>
      <c r="F412" t="s">
        <v>701</v>
      </c>
      <c r="G412" t="s">
        <v>702</v>
      </c>
    </row>
    <row r="413" spans="1:15" ht="15">
      <c r="A413" s="11"/>
      <c r="B413" t="s">
        <v>3446</v>
      </c>
      <c r="C413" t="s">
        <v>3447</v>
      </c>
      <c r="D413" s="12">
        <v>40725</v>
      </c>
      <c r="E413" t="s">
        <v>706</v>
      </c>
      <c r="F413" t="s">
        <v>3448</v>
      </c>
      <c r="G413" t="s">
        <v>3449</v>
      </c>
    </row>
    <row r="414" spans="1:15" ht="15">
      <c r="A414" s="9">
        <v>215</v>
      </c>
      <c r="B414" t="str">
        <f ca="1">IFERROR(__xludf.DUMMYFUNCTION((TRANSPOSE(ImportHTML("http://spending.data.al/sq/moneypower/view/id/215/year/2014",  "table", 0)))),"*Emër Subjekti*")</f>
        <v>*Emër Subjekti*</v>
      </c>
      <c r="C414" t="s">
        <v>698</v>
      </c>
      <c r="D414" t="s">
        <v>699</v>
      </c>
      <c r="E414" t="s">
        <v>700</v>
      </c>
      <c r="F414" t="s">
        <v>701</v>
      </c>
      <c r="G414" t="s">
        <v>702</v>
      </c>
    </row>
    <row r="415" spans="1:15" ht="15">
      <c r="A415" s="11"/>
      <c r="B415" t="s">
        <v>4343</v>
      </c>
      <c r="C415" t="s">
        <v>4344</v>
      </c>
      <c r="D415" s="12">
        <v>39161</v>
      </c>
      <c r="E415" t="s">
        <v>706</v>
      </c>
      <c r="F415" t="s">
        <v>4345</v>
      </c>
      <c r="G415" t="s">
        <v>1918</v>
      </c>
    </row>
    <row r="416" spans="1:15" ht="15">
      <c r="A416" s="9">
        <v>216</v>
      </c>
      <c r="B416" t="str">
        <f ca="1">IFERROR(__xludf.DUMMYFUNCTION((TRANSPOSE(ImportHTML("http://spending.data.al/sq/moneypower/view/id/216/year/2014",  "table", 0)))),"*Emër Subjekti*")</f>
        <v>*Emër Subjekti*</v>
      </c>
      <c r="C416" t="s">
        <v>698</v>
      </c>
      <c r="D416" t="s">
        <v>699</v>
      </c>
      <c r="E416" t="s">
        <v>700</v>
      </c>
      <c r="F416" t="s">
        <v>701</v>
      </c>
      <c r="G416" t="s">
        <v>702</v>
      </c>
    </row>
    <row r="417" spans="1:15" ht="15">
      <c r="A417" s="11"/>
      <c r="B417" t="s">
        <v>3453</v>
      </c>
      <c r="C417" t="s">
        <v>3454</v>
      </c>
      <c r="D417" s="12">
        <v>40732</v>
      </c>
      <c r="E417" t="s">
        <v>1914</v>
      </c>
      <c r="F417" t="s">
        <v>3455</v>
      </c>
      <c r="G417" t="s">
        <v>707</v>
      </c>
    </row>
    <row r="418" spans="1:15" ht="15">
      <c r="A418" s="9">
        <v>217</v>
      </c>
      <c r="B418" t="str">
        <f ca="1">IFERROR(__xludf.DUMMYFUNCTION((TRANSPOSE(ImportHTML("http://spending.data.al/sq/moneypower/view/id/217/year/2014",  "table", 0)))),"*Kategoria*")</f>
        <v>*Kategoria*</v>
      </c>
      <c r="C418" t="s">
        <v>673</v>
      </c>
      <c r="D418" t="s">
        <v>674</v>
      </c>
      <c r="E418" t="s">
        <v>675</v>
      </c>
      <c r="F418" t="s">
        <v>676</v>
      </c>
      <c r="G418" t="s">
        <v>677</v>
      </c>
      <c r="H418" t="s">
        <v>678</v>
      </c>
      <c r="I418" t="s">
        <v>679</v>
      </c>
      <c r="J418" t="s">
        <v>680</v>
      </c>
      <c r="K418" t="s">
        <v>681</v>
      </c>
      <c r="L418" t="s">
        <v>682</v>
      </c>
      <c r="M418" t="s">
        <v>683</v>
      </c>
      <c r="N418" t="s">
        <v>684</v>
      </c>
      <c r="O418" t="s">
        <v>685</v>
      </c>
    </row>
    <row r="419" spans="1:15" ht="15">
      <c r="A419" s="11"/>
      <c r="B419" t="s">
        <v>686</v>
      </c>
      <c r="C419" t="s">
        <v>1458</v>
      </c>
      <c r="D419" t="s">
        <v>1459</v>
      </c>
      <c r="E419" t="s">
        <v>1460</v>
      </c>
      <c r="F419" t="s">
        <v>1461</v>
      </c>
      <c r="G419" t="s">
        <v>688</v>
      </c>
      <c r="H419" t="s">
        <v>688</v>
      </c>
      <c r="I419" t="s">
        <v>688</v>
      </c>
      <c r="J419" t="s">
        <v>688</v>
      </c>
      <c r="K419" t="s">
        <v>688</v>
      </c>
      <c r="L419" t="s">
        <v>1462</v>
      </c>
      <c r="M419" t="s">
        <v>688</v>
      </c>
      <c r="O419" t="s">
        <v>1463</v>
      </c>
    </row>
    <row r="420" spans="1:15" ht="15">
      <c r="A420" s="9">
        <v>218</v>
      </c>
      <c r="B420" t="str">
        <f ca="1">IFERROR(__xludf.DUMMYFUNCTION((TRANSPOSE(ImportHTML("http://spending.data.al/sq/moneypower/view/id/218/year/2014",  "table", 0)))),"*Emër Subjekti*")</f>
        <v>*Emër Subjekti*</v>
      </c>
      <c r="C420" t="s">
        <v>698</v>
      </c>
      <c r="D420" t="s">
        <v>699</v>
      </c>
      <c r="E420" t="s">
        <v>700</v>
      </c>
      <c r="F420" t="s">
        <v>701</v>
      </c>
      <c r="G420" t="s">
        <v>702</v>
      </c>
    </row>
    <row r="421" spans="1:15" ht="15">
      <c r="A421" s="11"/>
      <c r="B421" t="s">
        <v>4346</v>
      </c>
      <c r="C421" t="s">
        <v>4347</v>
      </c>
      <c r="D421" s="12">
        <v>39165</v>
      </c>
      <c r="E421" t="s">
        <v>1914</v>
      </c>
      <c r="F421" t="s">
        <v>4348</v>
      </c>
      <c r="G421" t="s">
        <v>4349</v>
      </c>
    </row>
    <row r="422" spans="1:15" ht="15">
      <c r="A422" s="9">
        <v>219</v>
      </c>
      <c r="B422" t="str">
        <f ca="1">IFERROR(__xludf.DUMMYFUNCTION((TRANSPOSE(ImportHTML("http://spending.data.al/sq/moneypower/view/id/219/year/2014",  "table", 0)))),"*Emër Subjekti*")</f>
        <v>*Emër Subjekti*</v>
      </c>
      <c r="C422" t="s">
        <v>698</v>
      </c>
      <c r="D422" t="s">
        <v>699</v>
      </c>
      <c r="E422" t="s">
        <v>700</v>
      </c>
      <c r="F422" t="s">
        <v>701</v>
      </c>
      <c r="G422" t="s">
        <v>702</v>
      </c>
    </row>
    <row r="423" spans="1:15" ht="15">
      <c r="A423" s="11"/>
      <c r="B423" t="s">
        <v>4350</v>
      </c>
      <c r="C423" t="s">
        <v>4351</v>
      </c>
      <c r="D423" s="12">
        <v>37943</v>
      </c>
      <c r="E423" t="s">
        <v>1914</v>
      </c>
      <c r="F423" t="s">
        <v>4352</v>
      </c>
      <c r="G423" t="s">
        <v>707</v>
      </c>
    </row>
    <row r="424" spans="1:15" ht="15">
      <c r="A424" s="9">
        <v>220</v>
      </c>
      <c r="B424" t="str">
        <f ca="1">IFERROR(__xludf.DUMMYFUNCTION((TRANSPOSE(ImportHTML("http://spending.data.al/sq/moneypower/view/id/220/year/2014",  "table", 0)))),"*Emër Subjekti*")</f>
        <v>*Emër Subjekti*</v>
      </c>
      <c r="C424" t="s">
        <v>698</v>
      </c>
      <c r="D424" t="s">
        <v>699</v>
      </c>
      <c r="E424" t="s">
        <v>700</v>
      </c>
      <c r="F424" t="s">
        <v>701</v>
      </c>
      <c r="G424" t="s">
        <v>702</v>
      </c>
    </row>
    <row r="425" spans="1:15" ht="15">
      <c r="A425" s="11"/>
      <c r="B425" t="s">
        <v>4353</v>
      </c>
      <c r="C425" t="s">
        <v>4354</v>
      </c>
      <c r="D425" s="12">
        <v>40721</v>
      </c>
      <c r="E425" t="s">
        <v>706</v>
      </c>
      <c r="F425" t="s">
        <v>4355</v>
      </c>
      <c r="G425" t="s">
        <v>707</v>
      </c>
    </row>
    <row r="426" spans="1:15" ht="15">
      <c r="A426" s="9">
        <v>221</v>
      </c>
      <c r="B426" t="str">
        <f ca="1">IFERROR(__xludf.DUMMYFUNCTION((TRANSPOSE(ImportHTML("http://spending.data.al/sq/moneypower/view/id/221/year/2014",  "table", 0)))),"*Emër Subjekti*")</f>
        <v>*Emër Subjekti*</v>
      </c>
      <c r="C426" t="s">
        <v>698</v>
      </c>
      <c r="D426" t="s">
        <v>699</v>
      </c>
      <c r="E426" t="s">
        <v>700</v>
      </c>
      <c r="F426" t="s">
        <v>701</v>
      </c>
      <c r="G426" t="s">
        <v>702</v>
      </c>
    </row>
    <row r="427" spans="1:15" ht="15">
      <c r="A427" s="11"/>
      <c r="B427" t="s">
        <v>4356</v>
      </c>
      <c r="C427" t="s">
        <v>4357</v>
      </c>
      <c r="D427" s="12">
        <v>40722</v>
      </c>
      <c r="E427" t="s">
        <v>1914</v>
      </c>
      <c r="F427" t="s">
        <v>4358</v>
      </c>
      <c r="G427" t="s">
        <v>4359</v>
      </c>
    </row>
    <row r="428" spans="1:15" ht="15">
      <c r="A428" s="9">
        <v>222</v>
      </c>
      <c r="B428" t="str">
        <f ca="1">IFERROR(__xludf.DUMMYFUNCTION((TRANSPOSE(ImportHTML("http://spending.data.al/sq/moneypower/view/id/222/year/2014",  "table", 0)))),"*Emër Subjekti*")</f>
        <v>*Emër Subjekti*</v>
      </c>
      <c r="C428" t="s">
        <v>698</v>
      </c>
      <c r="D428" t="s">
        <v>699</v>
      </c>
      <c r="E428" t="s">
        <v>700</v>
      </c>
      <c r="F428" t="s">
        <v>701</v>
      </c>
      <c r="G428" t="s">
        <v>702</v>
      </c>
    </row>
    <row r="429" spans="1:15" ht="15">
      <c r="A429" s="11"/>
      <c r="B429" t="s">
        <v>4360</v>
      </c>
      <c r="C429" t="s">
        <v>4361</v>
      </c>
      <c r="D429" s="12">
        <v>36586</v>
      </c>
      <c r="E429" t="s">
        <v>706</v>
      </c>
      <c r="F429" t="s">
        <v>4362</v>
      </c>
      <c r="G429" t="s">
        <v>4363</v>
      </c>
    </row>
    <row r="430" spans="1:15" ht="15">
      <c r="A430" s="9">
        <v>223</v>
      </c>
      <c r="B430" t="str">
        <f ca="1">IFERROR(__xludf.DUMMYFUNCTION((TRANSPOSE(ImportHTML("http://spending.data.al/sq/moneypower/view/id/223/year/2014",  "table", 0)))),"*Emër Subjekti*")</f>
        <v>*Emër Subjekti*</v>
      </c>
      <c r="C430" t="s">
        <v>698</v>
      </c>
      <c r="D430" t="s">
        <v>699</v>
      </c>
      <c r="E430" t="s">
        <v>700</v>
      </c>
      <c r="F430" t="s">
        <v>701</v>
      </c>
      <c r="G430" t="s">
        <v>702</v>
      </c>
    </row>
    <row r="431" spans="1:15" ht="15">
      <c r="A431" s="11"/>
      <c r="B431" t="s">
        <v>4364</v>
      </c>
      <c r="C431" t="s">
        <v>4365</v>
      </c>
      <c r="D431" s="12">
        <v>40725</v>
      </c>
      <c r="E431" t="s">
        <v>706</v>
      </c>
      <c r="F431" t="s">
        <v>4366</v>
      </c>
      <c r="G431" t="s">
        <v>4367</v>
      </c>
    </row>
    <row r="432" spans="1:15" ht="15">
      <c r="A432" s="9">
        <v>224</v>
      </c>
      <c r="B432" t="str">
        <f ca="1">IFERROR(__xludf.DUMMYFUNCTION((TRANSPOSE(ImportHTML("http://spending.data.al/sq/moneypower/view/id/224/year/2014",  "table", 0)))),"*Emër Subjekti*")</f>
        <v>*Emër Subjekti*</v>
      </c>
      <c r="C432" t="s">
        <v>698</v>
      </c>
      <c r="D432" t="s">
        <v>699</v>
      </c>
      <c r="E432" t="s">
        <v>700</v>
      </c>
      <c r="F432" t="s">
        <v>701</v>
      </c>
      <c r="G432" t="s">
        <v>702</v>
      </c>
    </row>
    <row r="433" spans="1:15" ht="15">
      <c r="A433" s="11"/>
      <c r="B433" t="s">
        <v>4368</v>
      </c>
      <c r="C433" t="s">
        <v>4369</v>
      </c>
      <c r="D433" s="12">
        <v>39151</v>
      </c>
      <c r="E433" t="s">
        <v>1914</v>
      </c>
      <c r="F433" t="s">
        <v>4370</v>
      </c>
      <c r="G433" t="s">
        <v>4371</v>
      </c>
    </row>
    <row r="434" spans="1:15" ht="15">
      <c r="A434" s="9">
        <v>225</v>
      </c>
      <c r="B434" t="str">
        <f ca="1">IFERROR(__xludf.DUMMYFUNCTION((TRANSPOSE(ImportHTML("http://spending.data.al/sq/moneypower/view/id/225/year/2014",  "table", 0)))),"*Emër Subjekti*")</f>
        <v>*Emër Subjekti*</v>
      </c>
      <c r="C434" t="s">
        <v>698</v>
      </c>
      <c r="D434" t="s">
        <v>699</v>
      </c>
      <c r="E434" t="s">
        <v>700</v>
      </c>
      <c r="F434" t="s">
        <v>701</v>
      </c>
      <c r="G434" t="s">
        <v>702</v>
      </c>
    </row>
    <row r="435" spans="1:15" ht="15">
      <c r="A435" s="11"/>
      <c r="B435" t="s">
        <v>4372</v>
      </c>
      <c r="C435" t="s">
        <v>4373</v>
      </c>
      <c r="D435" s="12">
        <v>40734</v>
      </c>
      <c r="E435" t="s">
        <v>1914</v>
      </c>
      <c r="F435" t="s">
        <v>4374</v>
      </c>
      <c r="G435" t="s">
        <v>4375</v>
      </c>
    </row>
    <row r="436" spans="1:15" ht="15">
      <c r="A436" s="9">
        <v>226</v>
      </c>
      <c r="B436" t="str">
        <f ca="1">IFERROR(__xludf.DUMMYFUNCTION((TRANSPOSE(ImportHTML("http://spending.data.al/sq/moneypower/view/id/226/year/2014",  "table", 0)))),"*Emër Subjekti*")</f>
        <v>*Emër Subjekti*</v>
      </c>
      <c r="C436" t="s">
        <v>698</v>
      </c>
      <c r="D436" t="s">
        <v>699</v>
      </c>
      <c r="E436" t="s">
        <v>700</v>
      </c>
      <c r="F436" t="s">
        <v>701</v>
      </c>
      <c r="G436" t="s">
        <v>702</v>
      </c>
    </row>
    <row r="437" spans="1:15" ht="15">
      <c r="A437" s="11"/>
      <c r="B437" t="s">
        <v>4376</v>
      </c>
      <c r="C437" t="s">
        <v>4377</v>
      </c>
      <c r="D437" s="12">
        <v>40742</v>
      </c>
      <c r="E437" t="s">
        <v>706</v>
      </c>
      <c r="F437" t="s">
        <v>4378</v>
      </c>
      <c r="G437" t="s">
        <v>4379</v>
      </c>
    </row>
    <row r="438" spans="1:15" ht="15">
      <c r="A438" s="9">
        <v>227</v>
      </c>
      <c r="B438" t="str">
        <f ca="1">IFERROR(__xludf.DUMMYFUNCTION((TRANSPOSE(ImportHTML("http://spending.data.al/sq/moneypower/view/id/227/year/2014",  "table", 0)))),"*Emër Subjekti*")</f>
        <v>*Emër Subjekti*</v>
      </c>
      <c r="C438" t="s">
        <v>698</v>
      </c>
      <c r="D438" t="s">
        <v>699</v>
      </c>
      <c r="E438" t="s">
        <v>700</v>
      </c>
      <c r="F438" t="s">
        <v>701</v>
      </c>
      <c r="G438" t="s">
        <v>702</v>
      </c>
    </row>
    <row r="439" spans="1:15" ht="15">
      <c r="A439" s="11"/>
      <c r="B439" t="s">
        <v>4380</v>
      </c>
      <c r="C439" t="s">
        <v>4381</v>
      </c>
      <c r="D439" s="12">
        <v>40723</v>
      </c>
      <c r="E439" t="s">
        <v>706</v>
      </c>
      <c r="F439" t="s">
        <v>4382</v>
      </c>
      <c r="G439" t="s">
        <v>4383</v>
      </c>
    </row>
    <row r="440" spans="1:15" ht="15">
      <c r="A440" s="9">
        <v>228</v>
      </c>
      <c r="B440" t="str">
        <f ca="1">IFERROR(__xludf.DUMMYFUNCTION((TRANSPOSE(ImportHTML("http://spending.data.al/sq/moneypower/view/id/228/year/2014",  "table", 0)))),"*Emër Subjekti*")</f>
        <v>*Emër Subjekti*</v>
      </c>
      <c r="C440" t="s">
        <v>698</v>
      </c>
      <c r="D440" t="s">
        <v>699</v>
      </c>
      <c r="E440" t="s">
        <v>700</v>
      </c>
      <c r="F440" t="s">
        <v>701</v>
      </c>
      <c r="G440" t="s">
        <v>702</v>
      </c>
    </row>
    <row r="441" spans="1:15" ht="15">
      <c r="A441" s="11"/>
      <c r="B441" t="s">
        <v>4384</v>
      </c>
      <c r="C441" t="s">
        <v>4385</v>
      </c>
      <c r="D441" s="12">
        <v>40729</v>
      </c>
      <c r="E441" t="s">
        <v>706</v>
      </c>
      <c r="F441" t="s">
        <v>4386</v>
      </c>
      <c r="G441" t="s">
        <v>4387</v>
      </c>
    </row>
    <row r="442" spans="1:15" ht="15">
      <c r="A442" s="9">
        <v>229</v>
      </c>
      <c r="B442" t="str">
        <f ca="1">IFERROR(__xludf.DUMMYFUNCTION((TRANSPOSE(ImportHTML("http://spending.data.al/sq/moneypower/view/id/229/year/2014",  "table", 0)))),"*Emër Subjekti*")</f>
        <v>*Emër Subjekti*</v>
      </c>
      <c r="C442" t="s">
        <v>698</v>
      </c>
      <c r="D442" t="s">
        <v>699</v>
      </c>
      <c r="E442" t="s">
        <v>700</v>
      </c>
      <c r="F442" t="s">
        <v>701</v>
      </c>
      <c r="G442" t="s">
        <v>702</v>
      </c>
    </row>
    <row r="443" spans="1:15" ht="15">
      <c r="A443" s="11"/>
      <c r="B443" t="s">
        <v>4388</v>
      </c>
      <c r="C443" t="s">
        <v>4389</v>
      </c>
      <c r="D443" s="12">
        <v>40742</v>
      </c>
      <c r="E443" t="s">
        <v>1914</v>
      </c>
      <c r="F443" t="s">
        <v>4390</v>
      </c>
      <c r="G443" t="s">
        <v>707</v>
      </c>
    </row>
    <row r="444" spans="1:15" ht="15">
      <c r="A444" s="9">
        <v>230</v>
      </c>
      <c r="B444" t="str">
        <f ca="1">IFERROR(__xludf.DUMMYFUNCTION((TRANSPOSE(ImportHTML("http://spending.data.al/sq/moneypower/view/id/230/year/2014",  "table", 0)))),"*Emër Subjekti*")</f>
        <v>*Emër Subjekti*</v>
      </c>
      <c r="C444" t="s">
        <v>698</v>
      </c>
      <c r="D444" t="s">
        <v>699</v>
      </c>
      <c r="E444" t="s">
        <v>700</v>
      </c>
      <c r="F444" t="s">
        <v>701</v>
      </c>
      <c r="G444" t="s">
        <v>702</v>
      </c>
    </row>
    <row r="445" spans="1:15" ht="15">
      <c r="A445" s="11"/>
      <c r="B445" t="s">
        <v>4391</v>
      </c>
      <c r="C445" t="s">
        <v>4392</v>
      </c>
      <c r="D445" s="12">
        <v>39146</v>
      </c>
      <c r="E445" t="s">
        <v>1914</v>
      </c>
      <c r="F445" t="s">
        <v>4393</v>
      </c>
      <c r="G445" t="s">
        <v>1918</v>
      </c>
    </row>
    <row r="446" spans="1:15" ht="15">
      <c r="A446" s="9">
        <v>231</v>
      </c>
      <c r="B446" t="str">
        <f ca="1">IFERROR(__xludf.DUMMYFUNCTION((TRANSPOSE(ImportHTML("http://spending.data.al/sq/moneypower/view/id/231/year/2014",  "table", 0)))),"*Emër Subjekti*")</f>
        <v>*Emër Subjekti*</v>
      </c>
      <c r="C446" t="s">
        <v>698</v>
      </c>
      <c r="D446" t="s">
        <v>699</v>
      </c>
      <c r="E446" t="s">
        <v>700</v>
      </c>
      <c r="F446" t="s">
        <v>701</v>
      </c>
      <c r="G446" t="s">
        <v>702</v>
      </c>
    </row>
    <row r="447" spans="1:15" ht="15">
      <c r="A447" s="11"/>
      <c r="B447" t="s">
        <v>4394</v>
      </c>
      <c r="C447" t="s">
        <v>4395</v>
      </c>
      <c r="D447" s="12">
        <v>40148</v>
      </c>
      <c r="E447" t="s">
        <v>1914</v>
      </c>
      <c r="F447" t="s">
        <v>4396</v>
      </c>
      <c r="G447" t="s">
        <v>707</v>
      </c>
    </row>
    <row r="448" spans="1:15" ht="15">
      <c r="A448" s="9">
        <v>232</v>
      </c>
      <c r="B448" t="str">
        <f ca="1">IFERROR(__xludf.DUMMYFUNCTION((TRANSPOSE(ImportHTML("http://spending.data.al/sq/moneypower/view/id/232/year/2014",  "table", 0)))),"*Kategoria*")</f>
        <v>*Kategoria*</v>
      </c>
      <c r="C448" t="s">
        <v>673</v>
      </c>
      <c r="D448" t="s">
        <v>674</v>
      </c>
      <c r="E448" t="s">
        <v>675</v>
      </c>
      <c r="F448" t="s">
        <v>676</v>
      </c>
      <c r="G448" t="s">
        <v>677</v>
      </c>
      <c r="H448" t="s">
        <v>678</v>
      </c>
      <c r="I448" t="s">
        <v>679</v>
      </c>
      <c r="J448" t="s">
        <v>680</v>
      </c>
      <c r="K448" t="s">
        <v>681</v>
      </c>
      <c r="L448" t="s">
        <v>682</v>
      </c>
      <c r="M448" t="s">
        <v>683</v>
      </c>
      <c r="N448" t="s">
        <v>684</v>
      </c>
      <c r="O448" t="s">
        <v>685</v>
      </c>
    </row>
    <row r="449" spans="1:15" ht="15">
      <c r="A449" s="11"/>
      <c r="B449" t="s">
        <v>686</v>
      </c>
      <c r="C449" t="s">
        <v>1508</v>
      </c>
      <c r="D449" t="s">
        <v>688</v>
      </c>
      <c r="E449" t="s">
        <v>688</v>
      </c>
      <c r="F449" t="s">
        <v>688</v>
      </c>
      <c r="G449" t="s">
        <v>688</v>
      </c>
      <c r="H449" t="s">
        <v>688</v>
      </c>
      <c r="I449" t="s">
        <v>688</v>
      </c>
      <c r="J449" t="s">
        <v>688</v>
      </c>
      <c r="K449" t="s">
        <v>688</v>
      </c>
      <c r="L449" t="s">
        <v>1509</v>
      </c>
      <c r="M449" t="s">
        <v>688</v>
      </c>
      <c r="O449" t="s">
        <v>1510</v>
      </c>
    </row>
    <row r="450" spans="1:15" ht="15">
      <c r="A450" s="9">
        <v>233</v>
      </c>
      <c r="B450" t="str">
        <f ca="1">IFERROR(__xludf.DUMMYFUNCTION((TRANSPOSE(ImportHTML("http://spending.data.al/sq/moneypower/view/id/233/year/2014",  "table", 0)))),"*Emër Subjekti*")</f>
        <v>*Emër Subjekti*</v>
      </c>
      <c r="C450" t="s">
        <v>698</v>
      </c>
      <c r="D450" t="s">
        <v>699</v>
      </c>
      <c r="E450" t="s">
        <v>700</v>
      </c>
      <c r="F450" t="s">
        <v>701</v>
      </c>
      <c r="G450" t="s">
        <v>702</v>
      </c>
    </row>
    <row r="451" spans="1:15" ht="15">
      <c r="A451" s="11"/>
      <c r="B451" t="s">
        <v>4397</v>
      </c>
      <c r="C451" t="s">
        <v>4398</v>
      </c>
      <c r="D451" s="12">
        <v>40723</v>
      </c>
      <c r="E451" t="s">
        <v>1914</v>
      </c>
      <c r="F451" t="s">
        <v>4399</v>
      </c>
      <c r="G451" t="s">
        <v>4400</v>
      </c>
    </row>
    <row r="452" spans="1:15" ht="15">
      <c r="A452" s="9">
        <v>234</v>
      </c>
      <c r="B452" t="str">
        <f ca="1">IFERROR(__xludf.DUMMYFUNCTION((TRANSPOSE(ImportHTML("http://spending.data.al/sq/moneypower/view/id/234/year/2014",  "table", 0)))),"*Emër Subjekti*")</f>
        <v>*Emër Subjekti*</v>
      </c>
      <c r="C452" t="s">
        <v>698</v>
      </c>
      <c r="D452" t="s">
        <v>699</v>
      </c>
      <c r="E452" t="s">
        <v>700</v>
      </c>
      <c r="F452" t="s">
        <v>701</v>
      </c>
      <c r="G452" t="s">
        <v>702</v>
      </c>
    </row>
    <row r="453" spans="1:15" ht="15">
      <c r="A453" s="11"/>
      <c r="B453" t="s">
        <v>4401</v>
      </c>
      <c r="C453" t="s">
        <v>4402</v>
      </c>
      <c r="D453" s="12">
        <v>40723</v>
      </c>
      <c r="E453" t="s">
        <v>1914</v>
      </c>
      <c r="F453" t="s">
        <v>4403</v>
      </c>
      <c r="G453" t="s">
        <v>4404</v>
      </c>
    </row>
    <row r="454" spans="1:15" ht="15">
      <c r="A454" s="9">
        <v>235</v>
      </c>
      <c r="B454" t="str">
        <f ca="1">IFERROR(__xludf.DUMMYFUNCTION((TRANSPOSE(ImportHTML("http://spending.data.al/sq/moneypower/view/id/235/year/2014",  "table", 0)))),"*Emër Subjekti*")</f>
        <v>*Emër Subjekti*</v>
      </c>
      <c r="C454" t="s">
        <v>698</v>
      </c>
      <c r="D454" t="s">
        <v>699</v>
      </c>
      <c r="E454" t="s">
        <v>700</v>
      </c>
      <c r="F454" t="s">
        <v>701</v>
      </c>
      <c r="G454" t="s">
        <v>702</v>
      </c>
    </row>
    <row r="455" spans="1:15" ht="15">
      <c r="A455" s="11"/>
      <c r="B455" t="s">
        <v>4405</v>
      </c>
      <c r="C455" t="s">
        <v>4406</v>
      </c>
      <c r="D455" s="12">
        <v>37973</v>
      </c>
      <c r="E455" t="s">
        <v>1914</v>
      </c>
      <c r="F455" t="s">
        <v>4407</v>
      </c>
      <c r="G455" t="s">
        <v>4408</v>
      </c>
    </row>
    <row r="456" spans="1:15" ht="15">
      <c r="A456" s="9">
        <v>236</v>
      </c>
      <c r="B456" t="str">
        <f ca="1">IFERROR(__xludf.DUMMYFUNCTION((TRANSPOSE(ImportHTML("http://spending.data.al/sq/moneypower/view/id/236/year/2014",  "table", 0)))),"*Kategoria*")</f>
        <v>*Kategoria*</v>
      </c>
      <c r="C456" t="s">
        <v>673</v>
      </c>
      <c r="D456" t="s">
        <v>674</v>
      </c>
      <c r="E456" t="s">
        <v>675</v>
      </c>
      <c r="F456" t="s">
        <v>676</v>
      </c>
      <c r="G456" t="s">
        <v>677</v>
      </c>
      <c r="H456" t="s">
        <v>678</v>
      </c>
      <c r="I456" t="s">
        <v>679</v>
      </c>
      <c r="J456" t="s">
        <v>680</v>
      </c>
      <c r="K456" t="s">
        <v>681</v>
      </c>
      <c r="L456" t="s">
        <v>682</v>
      </c>
      <c r="M456" t="s">
        <v>683</v>
      </c>
      <c r="N456" t="s">
        <v>684</v>
      </c>
      <c r="O456" t="s">
        <v>685</v>
      </c>
    </row>
    <row r="457" spans="1:15" ht="15">
      <c r="A457" s="11"/>
      <c r="B457" t="s">
        <v>686</v>
      </c>
      <c r="C457" t="s">
        <v>1519</v>
      </c>
      <c r="D457" t="s">
        <v>1520</v>
      </c>
      <c r="E457" t="s">
        <v>688</v>
      </c>
      <c r="F457" t="s">
        <v>688</v>
      </c>
      <c r="G457" t="s">
        <v>688</v>
      </c>
      <c r="H457" t="s">
        <v>1521</v>
      </c>
      <c r="I457" t="s">
        <v>688</v>
      </c>
      <c r="J457" t="s">
        <v>688</v>
      </c>
      <c r="K457" t="s">
        <v>688</v>
      </c>
      <c r="L457" t="s">
        <v>1522</v>
      </c>
      <c r="M457" t="s">
        <v>1523</v>
      </c>
      <c r="O457" t="s">
        <v>1524</v>
      </c>
    </row>
    <row r="458" spans="1:15" ht="15">
      <c r="A458" s="9">
        <v>237</v>
      </c>
      <c r="B458" t="str">
        <f ca="1">IFERROR(__xludf.DUMMYFUNCTION((TRANSPOSE(ImportHTML("http://spending.data.al/sq/moneypower/view/id/237/year/2014",  "table", 0)))),"*Kategoria*")</f>
        <v>*Kategoria*</v>
      </c>
      <c r="C458" t="s">
        <v>673</v>
      </c>
      <c r="D458" t="s">
        <v>674</v>
      </c>
      <c r="E458" t="s">
        <v>675</v>
      </c>
      <c r="F458" t="s">
        <v>676</v>
      </c>
      <c r="G458" t="s">
        <v>677</v>
      </c>
      <c r="H458" t="s">
        <v>678</v>
      </c>
      <c r="I458" t="s">
        <v>679</v>
      </c>
      <c r="J458" t="s">
        <v>680</v>
      </c>
      <c r="K458" t="s">
        <v>681</v>
      </c>
      <c r="L458" t="s">
        <v>682</v>
      </c>
      <c r="M458" t="s">
        <v>683</v>
      </c>
      <c r="N458" t="s">
        <v>684</v>
      </c>
      <c r="O458" t="s">
        <v>685</v>
      </c>
    </row>
    <row r="459" spans="1:15" ht="15">
      <c r="A459" s="11"/>
      <c r="B459" t="s">
        <v>686</v>
      </c>
      <c r="C459" t="s">
        <v>1525</v>
      </c>
      <c r="D459" t="s">
        <v>1526</v>
      </c>
      <c r="E459" t="s">
        <v>688</v>
      </c>
      <c r="F459" t="s">
        <v>1527</v>
      </c>
      <c r="G459" t="s">
        <v>1528</v>
      </c>
      <c r="H459" t="s">
        <v>688</v>
      </c>
      <c r="I459" t="s">
        <v>688</v>
      </c>
      <c r="J459" t="s">
        <v>688</v>
      </c>
      <c r="K459" t="s">
        <v>688</v>
      </c>
      <c r="L459" t="s">
        <v>1529</v>
      </c>
      <c r="M459" t="s">
        <v>688</v>
      </c>
      <c r="O459" t="s">
        <v>1530</v>
      </c>
    </row>
    <row r="460" spans="1:15" ht="15">
      <c r="A460" s="9">
        <v>238</v>
      </c>
      <c r="B460" t="str">
        <f ca="1">IFERROR(__xludf.DUMMYFUNCTION((TRANSPOSE(ImportHTML("http://spending.data.al/sq/moneypower/view/id/238/year/2014",  "table", 0)))),"*Kategoria*")</f>
        <v>*Kategoria*</v>
      </c>
      <c r="C460" t="s">
        <v>673</v>
      </c>
      <c r="D460" t="s">
        <v>674</v>
      </c>
      <c r="E460" t="s">
        <v>675</v>
      </c>
      <c r="F460" t="s">
        <v>676</v>
      </c>
      <c r="G460" t="s">
        <v>677</v>
      </c>
      <c r="H460" t="s">
        <v>678</v>
      </c>
      <c r="I460" t="s">
        <v>679</v>
      </c>
      <c r="J460" t="s">
        <v>680</v>
      </c>
      <c r="K460" t="s">
        <v>681</v>
      </c>
      <c r="L460" t="s">
        <v>682</v>
      </c>
      <c r="M460" t="s">
        <v>683</v>
      </c>
      <c r="N460" t="s">
        <v>684</v>
      </c>
      <c r="O460" t="s">
        <v>685</v>
      </c>
    </row>
    <row r="461" spans="1:15" ht="15">
      <c r="A461" s="11"/>
      <c r="B461" t="s">
        <v>686</v>
      </c>
      <c r="C461" t="s">
        <v>1531</v>
      </c>
      <c r="D461" t="s">
        <v>1532</v>
      </c>
      <c r="E461" t="s">
        <v>688</v>
      </c>
      <c r="F461" t="s">
        <v>688</v>
      </c>
      <c r="G461" t="s">
        <v>688</v>
      </c>
      <c r="H461" t="s">
        <v>688</v>
      </c>
      <c r="I461" t="s">
        <v>688</v>
      </c>
      <c r="J461" t="s">
        <v>688</v>
      </c>
      <c r="K461" t="s">
        <v>688</v>
      </c>
      <c r="L461" t="s">
        <v>1533</v>
      </c>
      <c r="M461" t="s">
        <v>688</v>
      </c>
      <c r="O461" t="s">
        <v>1534</v>
      </c>
    </row>
    <row r="462" spans="1:15" ht="15">
      <c r="A462" s="9">
        <v>239</v>
      </c>
      <c r="B462" t="str">
        <f ca="1">IFERROR(__xludf.DUMMYFUNCTION((TRANSPOSE(ImportHTML("http://spending.data.al/sq/moneypower/view/id/239/year/2014",  "table", 0)))),"*Kategoria*")</f>
        <v>*Kategoria*</v>
      </c>
      <c r="C462" t="s">
        <v>673</v>
      </c>
      <c r="D462" t="s">
        <v>674</v>
      </c>
      <c r="E462" t="s">
        <v>675</v>
      </c>
      <c r="F462" t="s">
        <v>676</v>
      </c>
      <c r="G462" t="s">
        <v>677</v>
      </c>
      <c r="H462" t="s">
        <v>678</v>
      </c>
      <c r="I462" t="s">
        <v>679</v>
      </c>
      <c r="J462" t="s">
        <v>680</v>
      </c>
      <c r="K462" t="s">
        <v>681</v>
      </c>
      <c r="L462" t="s">
        <v>682</v>
      </c>
      <c r="M462" t="s">
        <v>683</v>
      </c>
      <c r="N462" t="s">
        <v>684</v>
      </c>
      <c r="O462" t="s">
        <v>685</v>
      </c>
    </row>
    <row r="463" spans="1:15" ht="15">
      <c r="A463" s="11"/>
      <c r="B463" t="s">
        <v>686</v>
      </c>
      <c r="C463" t="s">
        <v>1535</v>
      </c>
      <c r="D463" t="s">
        <v>688</v>
      </c>
      <c r="E463" t="s">
        <v>688</v>
      </c>
      <c r="F463" t="s">
        <v>688</v>
      </c>
      <c r="G463" t="s">
        <v>1536</v>
      </c>
      <c r="H463" t="s">
        <v>688</v>
      </c>
      <c r="I463" t="s">
        <v>688</v>
      </c>
      <c r="J463" t="s">
        <v>688</v>
      </c>
      <c r="K463" t="s">
        <v>688</v>
      </c>
      <c r="L463" t="s">
        <v>1537</v>
      </c>
      <c r="M463" t="s">
        <v>688</v>
      </c>
      <c r="O463" t="s">
        <v>1538</v>
      </c>
    </row>
    <row r="464" spans="1:15" ht="15">
      <c r="A464" s="9">
        <v>240</v>
      </c>
      <c r="B464" t="str">
        <f ca="1">IFERROR(__xludf.DUMMYFUNCTION((TRANSPOSE(ImportHTML("http://spending.data.al/sq/moneypower/view/id/240/year/2014",  "table", 0)))),"*Kategoria*")</f>
        <v>*Kategoria*</v>
      </c>
      <c r="C464" t="s">
        <v>673</v>
      </c>
      <c r="D464" t="s">
        <v>674</v>
      </c>
      <c r="E464" t="s">
        <v>675</v>
      </c>
      <c r="F464" t="s">
        <v>676</v>
      </c>
      <c r="G464" t="s">
        <v>677</v>
      </c>
      <c r="H464" t="s">
        <v>678</v>
      </c>
      <c r="I464" t="s">
        <v>679</v>
      </c>
      <c r="J464" t="s">
        <v>680</v>
      </c>
      <c r="K464" t="s">
        <v>681</v>
      </c>
      <c r="L464" t="s">
        <v>682</v>
      </c>
      <c r="M464" t="s">
        <v>683</v>
      </c>
      <c r="N464" t="s">
        <v>684</v>
      </c>
      <c r="O464" t="s">
        <v>685</v>
      </c>
    </row>
    <row r="465" spans="1:15" ht="15">
      <c r="A465" s="11"/>
      <c r="B465" t="s">
        <v>686</v>
      </c>
      <c r="C465" t="s">
        <v>1539</v>
      </c>
      <c r="D465" t="s">
        <v>688</v>
      </c>
      <c r="E465" t="s">
        <v>688</v>
      </c>
      <c r="F465" t="s">
        <v>688</v>
      </c>
      <c r="G465" t="s">
        <v>688</v>
      </c>
      <c r="H465" t="s">
        <v>688</v>
      </c>
      <c r="I465" t="s">
        <v>688</v>
      </c>
      <c r="J465" t="s">
        <v>688</v>
      </c>
      <c r="K465" t="s">
        <v>688</v>
      </c>
      <c r="L465" t="s">
        <v>1540</v>
      </c>
      <c r="M465" t="s">
        <v>688</v>
      </c>
      <c r="O465" t="s">
        <v>1541</v>
      </c>
    </row>
    <row r="466" spans="1:15" ht="15">
      <c r="A466" s="9">
        <v>241</v>
      </c>
      <c r="B466" t="str">
        <f ca="1">IFERROR(__xludf.DUMMYFUNCTION((TRANSPOSE(ImportHTML("http://spending.data.al/sq/moneypower/view/id/241/year/2014",  "table", 0)))),"*Kategoria*")</f>
        <v>*Kategoria*</v>
      </c>
      <c r="C466" t="s">
        <v>673</v>
      </c>
      <c r="D466" t="s">
        <v>674</v>
      </c>
      <c r="E466" t="s">
        <v>675</v>
      </c>
      <c r="F466" t="s">
        <v>676</v>
      </c>
      <c r="G466" t="s">
        <v>677</v>
      </c>
      <c r="H466" t="s">
        <v>678</v>
      </c>
      <c r="I466" t="s">
        <v>679</v>
      </c>
      <c r="J466" t="s">
        <v>680</v>
      </c>
      <c r="K466" t="s">
        <v>681</v>
      </c>
      <c r="L466" t="s">
        <v>682</v>
      </c>
      <c r="M466" t="s">
        <v>683</v>
      </c>
      <c r="N466" t="s">
        <v>684</v>
      </c>
      <c r="O466" t="s">
        <v>685</v>
      </c>
    </row>
    <row r="467" spans="1:15" ht="15">
      <c r="A467" s="11"/>
      <c r="B467" t="s">
        <v>686</v>
      </c>
      <c r="C467" t="s">
        <v>1542</v>
      </c>
      <c r="D467" t="s">
        <v>688</v>
      </c>
      <c r="E467" t="s">
        <v>688</v>
      </c>
      <c r="F467" t="s">
        <v>688</v>
      </c>
      <c r="G467" t="s">
        <v>688</v>
      </c>
      <c r="H467" t="s">
        <v>688</v>
      </c>
      <c r="I467" t="s">
        <v>688</v>
      </c>
      <c r="J467" t="s">
        <v>688</v>
      </c>
      <c r="K467" t="s">
        <v>688</v>
      </c>
      <c r="L467" t="s">
        <v>1543</v>
      </c>
      <c r="M467" t="s">
        <v>688</v>
      </c>
      <c r="O467" t="s">
        <v>1544</v>
      </c>
    </row>
    <row r="468" spans="1:15" ht="15">
      <c r="A468" s="9">
        <v>242</v>
      </c>
      <c r="B468" t="str">
        <f ca="1">IFERROR(__xludf.DUMMYFUNCTION((TRANSPOSE(ImportHTML("http://spending.data.al/sq/moneypower/view/id/242/year/2014",  "table", 0)))),"*Kategoria*")</f>
        <v>*Kategoria*</v>
      </c>
      <c r="C468" t="s">
        <v>673</v>
      </c>
      <c r="D468" t="s">
        <v>674</v>
      </c>
      <c r="E468" t="s">
        <v>675</v>
      </c>
      <c r="F468" t="s">
        <v>676</v>
      </c>
      <c r="G468" t="s">
        <v>677</v>
      </c>
      <c r="H468" t="s">
        <v>678</v>
      </c>
      <c r="I468" t="s">
        <v>679</v>
      </c>
      <c r="J468" t="s">
        <v>680</v>
      </c>
      <c r="K468" t="s">
        <v>681</v>
      </c>
      <c r="L468" t="s">
        <v>682</v>
      </c>
      <c r="M468" t="s">
        <v>683</v>
      </c>
      <c r="N468" t="s">
        <v>684</v>
      </c>
      <c r="O468" t="s">
        <v>685</v>
      </c>
    </row>
    <row r="469" spans="1:15" ht="15">
      <c r="A469" s="11"/>
      <c r="B469" t="s">
        <v>686</v>
      </c>
      <c r="C469" t="s">
        <v>1545</v>
      </c>
      <c r="D469" t="s">
        <v>688</v>
      </c>
      <c r="E469" t="s">
        <v>688</v>
      </c>
      <c r="F469" t="s">
        <v>688</v>
      </c>
      <c r="G469" t="s">
        <v>688</v>
      </c>
      <c r="H469" t="s">
        <v>688</v>
      </c>
      <c r="I469" t="s">
        <v>688</v>
      </c>
      <c r="J469" t="s">
        <v>688</v>
      </c>
      <c r="K469" t="s">
        <v>688</v>
      </c>
      <c r="L469" t="s">
        <v>1546</v>
      </c>
      <c r="M469" t="s">
        <v>688</v>
      </c>
      <c r="O469" t="s">
        <v>1547</v>
      </c>
    </row>
    <row r="470" spans="1:15" ht="15">
      <c r="A470" s="9">
        <v>243</v>
      </c>
      <c r="B470" t="str">
        <f ca="1">IFERROR(__xludf.DUMMYFUNCTION((TRANSPOSE(ImportHTML("http://spending.data.al/sq/moneypower/view/id/243/year/2014",  "table", 0)))),"*Kategoria*")</f>
        <v>*Kategoria*</v>
      </c>
      <c r="C470" t="s">
        <v>673</v>
      </c>
      <c r="D470" t="s">
        <v>674</v>
      </c>
      <c r="E470" t="s">
        <v>675</v>
      </c>
      <c r="F470" t="s">
        <v>676</v>
      </c>
      <c r="G470" t="s">
        <v>677</v>
      </c>
      <c r="H470" t="s">
        <v>678</v>
      </c>
      <c r="I470" t="s">
        <v>679</v>
      </c>
      <c r="J470" t="s">
        <v>680</v>
      </c>
      <c r="K470" t="s">
        <v>681</v>
      </c>
      <c r="L470" t="s">
        <v>682</v>
      </c>
      <c r="M470" t="s">
        <v>683</v>
      </c>
      <c r="N470" t="s">
        <v>684</v>
      </c>
      <c r="O470" t="s">
        <v>685</v>
      </c>
    </row>
    <row r="471" spans="1:15" ht="15">
      <c r="A471" s="11"/>
      <c r="B471" t="s">
        <v>686</v>
      </c>
      <c r="C471" t="s">
        <v>1545</v>
      </c>
      <c r="D471" t="s">
        <v>688</v>
      </c>
      <c r="E471" t="s">
        <v>688</v>
      </c>
      <c r="F471" t="s">
        <v>688</v>
      </c>
      <c r="G471" t="s">
        <v>688</v>
      </c>
      <c r="H471" t="s">
        <v>688</v>
      </c>
      <c r="I471" t="s">
        <v>688</v>
      </c>
      <c r="J471" t="s">
        <v>688</v>
      </c>
      <c r="K471" t="s">
        <v>688</v>
      </c>
      <c r="L471" t="s">
        <v>1548</v>
      </c>
      <c r="M471" t="s">
        <v>688</v>
      </c>
      <c r="O471" t="s">
        <v>1549</v>
      </c>
    </row>
    <row r="472" spans="1:15" ht="15">
      <c r="A472" s="9">
        <v>244</v>
      </c>
      <c r="B472" t="str">
        <f ca="1">IFERROR(__xludf.DUMMYFUNCTION((TRANSPOSE(ImportHTML("http://spending.data.al/sq/moneypower/view/id/244/year/2014",  "table", 0)))),"*Kategoria*")</f>
        <v>*Kategoria*</v>
      </c>
      <c r="C472" t="s">
        <v>673</v>
      </c>
      <c r="D472" t="s">
        <v>674</v>
      </c>
      <c r="E472" t="s">
        <v>675</v>
      </c>
      <c r="F472" t="s">
        <v>676</v>
      </c>
      <c r="G472" t="s">
        <v>677</v>
      </c>
      <c r="H472" t="s">
        <v>678</v>
      </c>
      <c r="I472" t="s">
        <v>679</v>
      </c>
      <c r="J472" t="s">
        <v>680</v>
      </c>
      <c r="K472" t="s">
        <v>681</v>
      </c>
      <c r="L472" t="s">
        <v>682</v>
      </c>
      <c r="M472" t="s">
        <v>683</v>
      </c>
      <c r="N472" t="s">
        <v>684</v>
      </c>
      <c r="O472" t="s">
        <v>685</v>
      </c>
    </row>
    <row r="473" spans="1:15" ht="15">
      <c r="A473" s="11"/>
      <c r="B473" t="s">
        <v>686</v>
      </c>
      <c r="C473" t="s">
        <v>1550</v>
      </c>
      <c r="D473" t="s">
        <v>688</v>
      </c>
      <c r="E473" t="s">
        <v>688</v>
      </c>
      <c r="F473" t="s">
        <v>688</v>
      </c>
      <c r="G473" t="s">
        <v>1551</v>
      </c>
      <c r="H473" t="s">
        <v>688</v>
      </c>
      <c r="I473" t="s">
        <v>688</v>
      </c>
      <c r="J473" t="s">
        <v>688</v>
      </c>
      <c r="K473" t="s">
        <v>688</v>
      </c>
      <c r="L473" t="s">
        <v>1552</v>
      </c>
      <c r="M473" t="s">
        <v>688</v>
      </c>
      <c r="O473" t="s">
        <v>1553</v>
      </c>
    </row>
    <row r="474" spans="1:15" ht="15">
      <c r="A474" s="9">
        <v>245</v>
      </c>
      <c r="B474" t="str">
        <f ca="1">IFERROR(__xludf.DUMMYFUNCTION((TRANSPOSE(ImportHTML("http://spending.data.al/sq/moneypower/view/id/245/year/2014",  "table", 0)))),"*Kategoria*")</f>
        <v>*Kategoria*</v>
      </c>
      <c r="C474" t="s">
        <v>673</v>
      </c>
      <c r="D474" t="s">
        <v>674</v>
      </c>
      <c r="E474" t="s">
        <v>675</v>
      </c>
      <c r="F474" t="s">
        <v>676</v>
      </c>
      <c r="G474" t="s">
        <v>677</v>
      </c>
      <c r="H474" t="s">
        <v>678</v>
      </c>
      <c r="I474" t="s">
        <v>679</v>
      </c>
      <c r="J474" t="s">
        <v>680</v>
      </c>
      <c r="K474" t="s">
        <v>681</v>
      </c>
      <c r="L474" t="s">
        <v>682</v>
      </c>
      <c r="M474" t="s">
        <v>683</v>
      </c>
      <c r="N474" t="s">
        <v>684</v>
      </c>
      <c r="O474" t="s">
        <v>685</v>
      </c>
    </row>
    <row r="475" spans="1:15" ht="15">
      <c r="A475" s="11"/>
      <c r="B475" t="s">
        <v>686</v>
      </c>
      <c r="C475" t="s">
        <v>1554</v>
      </c>
      <c r="D475" t="s">
        <v>688</v>
      </c>
      <c r="E475" t="s">
        <v>688</v>
      </c>
      <c r="F475" t="s">
        <v>688</v>
      </c>
      <c r="G475" t="s">
        <v>688</v>
      </c>
      <c r="H475" t="s">
        <v>688</v>
      </c>
      <c r="I475" t="s">
        <v>688</v>
      </c>
      <c r="J475" t="s">
        <v>688</v>
      </c>
      <c r="K475" t="s">
        <v>688</v>
      </c>
      <c r="L475" t="s">
        <v>1555</v>
      </c>
      <c r="M475" t="s">
        <v>688</v>
      </c>
      <c r="O475" t="s">
        <v>1556</v>
      </c>
    </row>
    <row r="476" spans="1:15" ht="15">
      <c r="A476" s="9">
        <v>246</v>
      </c>
      <c r="B476" t="str">
        <f ca="1">IFERROR(__xludf.DUMMYFUNCTION((TRANSPOSE(ImportHTML("http://spending.data.al/sq/moneypower/view/id/246/year/2014",  "table", 0)))),"*Kategoria*")</f>
        <v>*Kategoria*</v>
      </c>
      <c r="C476" t="s">
        <v>673</v>
      </c>
      <c r="D476" t="s">
        <v>674</v>
      </c>
      <c r="E476" t="s">
        <v>675</v>
      </c>
      <c r="F476" t="s">
        <v>676</v>
      </c>
      <c r="G476" t="s">
        <v>677</v>
      </c>
      <c r="H476" t="s">
        <v>678</v>
      </c>
      <c r="I476" t="s">
        <v>679</v>
      </c>
      <c r="J476" t="s">
        <v>680</v>
      </c>
      <c r="K476" t="s">
        <v>681</v>
      </c>
      <c r="L476" t="s">
        <v>682</v>
      </c>
      <c r="M476" t="s">
        <v>683</v>
      </c>
      <c r="N476" t="s">
        <v>684</v>
      </c>
      <c r="O476" t="s">
        <v>685</v>
      </c>
    </row>
    <row r="477" spans="1:15" ht="15">
      <c r="A477" s="11"/>
      <c r="B477" t="s">
        <v>686</v>
      </c>
      <c r="C477" t="s">
        <v>1545</v>
      </c>
      <c r="D477" t="s">
        <v>688</v>
      </c>
      <c r="E477" t="s">
        <v>688</v>
      </c>
      <c r="F477" t="s">
        <v>688</v>
      </c>
      <c r="G477" t="s">
        <v>688</v>
      </c>
      <c r="H477" t="s">
        <v>688</v>
      </c>
      <c r="I477" t="s">
        <v>688</v>
      </c>
      <c r="J477" t="s">
        <v>688</v>
      </c>
      <c r="K477" t="s">
        <v>688</v>
      </c>
      <c r="L477" t="s">
        <v>1557</v>
      </c>
      <c r="M477" t="s">
        <v>688</v>
      </c>
      <c r="O477" t="s">
        <v>688</v>
      </c>
    </row>
    <row r="478" spans="1:15" ht="15">
      <c r="A478" s="9">
        <v>247</v>
      </c>
      <c r="B478" t="str">
        <f ca="1">IFERROR(__xludf.DUMMYFUNCTION((TRANSPOSE(ImportHTML("http://spending.data.al/sq/moneypower/view/id/247/year/2014",  "table", 0)))),"*Kategoria*")</f>
        <v>*Kategoria*</v>
      </c>
      <c r="C478" t="s">
        <v>673</v>
      </c>
      <c r="D478" t="s">
        <v>674</v>
      </c>
      <c r="E478" t="s">
        <v>675</v>
      </c>
      <c r="F478" t="s">
        <v>676</v>
      </c>
      <c r="G478" t="s">
        <v>677</v>
      </c>
      <c r="H478" t="s">
        <v>678</v>
      </c>
      <c r="I478" t="s">
        <v>679</v>
      </c>
      <c r="J478" t="s">
        <v>680</v>
      </c>
      <c r="K478" t="s">
        <v>681</v>
      </c>
      <c r="L478" t="s">
        <v>682</v>
      </c>
      <c r="M478" t="s">
        <v>683</v>
      </c>
      <c r="N478" t="s">
        <v>684</v>
      </c>
      <c r="O478" t="s">
        <v>685</v>
      </c>
    </row>
    <row r="479" spans="1:15" ht="15">
      <c r="A479" s="11"/>
      <c r="B479" t="s">
        <v>686</v>
      </c>
      <c r="C479" t="s">
        <v>1558</v>
      </c>
      <c r="D479" t="s">
        <v>1520</v>
      </c>
      <c r="E479" t="s">
        <v>688</v>
      </c>
      <c r="F479" t="s">
        <v>688</v>
      </c>
      <c r="G479" t="s">
        <v>688</v>
      </c>
      <c r="H479" t="s">
        <v>688</v>
      </c>
      <c r="I479" t="s">
        <v>688</v>
      </c>
      <c r="J479" t="s">
        <v>688</v>
      </c>
      <c r="K479" t="s">
        <v>688</v>
      </c>
      <c r="L479" t="s">
        <v>1559</v>
      </c>
      <c r="M479" t="s">
        <v>688</v>
      </c>
      <c r="O479" t="s">
        <v>1560</v>
      </c>
    </row>
    <row r="480" spans="1:15" ht="15">
      <c r="A480" s="9">
        <v>248</v>
      </c>
      <c r="B480" t="str">
        <f ca="1">IFERROR(__xludf.DUMMYFUNCTION((TRANSPOSE(ImportHTML("http://spending.data.al/sq/moneypower/view/id/248/year/2014",  "table", 0)))),"*Emër Subjekti*")</f>
        <v>*Emër Subjekti*</v>
      </c>
      <c r="C480" t="s">
        <v>698</v>
      </c>
      <c r="D480" t="s">
        <v>699</v>
      </c>
      <c r="E480" t="s">
        <v>700</v>
      </c>
      <c r="F480" t="s">
        <v>701</v>
      </c>
      <c r="G480" t="s">
        <v>702</v>
      </c>
    </row>
    <row r="481" spans="1:15" ht="15">
      <c r="A481" s="11"/>
      <c r="B481" t="s">
        <v>4409</v>
      </c>
      <c r="C481" t="s">
        <v>4410</v>
      </c>
      <c r="D481" s="12">
        <v>40719</v>
      </c>
      <c r="E481" t="s">
        <v>1914</v>
      </c>
      <c r="F481" t="s">
        <v>4411</v>
      </c>
      <c r="G481" t="s">
        <v>4412</v>
      </c>
    </row>
    <row r="482" spans="1:15" ht="15">
      <c r="A482" s="9">
        <v>249</v>
      </c>
      <c r="B482" t="str">
        <f ca="1">IFERROR(__xludf.DUMMYFUNCTION((TRANSPOSE(ImportHTML("http://spending.data.al/sq/moneypower/view/id/249/year/2014",  "table", 0)))),"*Kategoria*")</f>
        <v>*Kategoria*</v>
      </c>
      <c r="C482" t="s">
        <v>673</v>
      </c>
      <c r="D482" t="s">
        <v>674</v>
      </c>
      <c r="E482" t="s">
        <v>675</v>
      </c>
      <c r="F482" t="s">
        <v>676</v>
      </c>
      <c r="G482" t="s">
        <v>677</v>
      </c>
      <c r="H482" t="s">
        <v>678</v>
      </c>
      <c r="I482" t="s">
        <v>679</v>
      </c>
      <c r="J482" t="s">
        <v>680</v>
      </c>
      <c r="K482" t="s">
        <v>681</v>
      </c>
      <c r="L482" t="s">
        <v>682</v>
      </c>
      <c r="M482" t="s">
        <v>683</v>
      </c>
      <c r="N482" t="s">
        <v>684</v>
      </c>
      <c r="O482" t="s">
        <v>685</v>
      </c>
    </row>
    <row r="483" spans="1:15" ht="15">
      <c r="A483" s="11"/>
      <c r="B483" t="s">
        <v>686</v>
      </c>
      <c r="C483" t="s">
        <v>1566</v>
      </c>
      <c r="D483" t="s">
        <v>688</v>
      </c>
      <c r="E483" t="s">
        <v>688</v>
      </c>
      <c r="F483" t="s">
        <v>1567</v>
      </c>
      <c r="G483" t="s">
        <v>688</v>
      </c>
      <c r="H483" t="s">
        <v>688</v>
      </c>
      <c r="I483" t="s">
        <v>688</v>
      </c>
      <c r="J483" t="s">
        <v>688</v>
      </c>
      <c r="K483" t="s">
        <v>688</v>
      </c>
      <c r="L483" t="s">
        <v>1568</v>
      </c>
      <c r="M483" t="s">
        <v>688</v>
      </c>
      <c r="O483" t="s">
        <v>1569</v>
      </c>
    </row>
    <row r="484" spans="1:15" ht="15">
      <c r="A484" s="9">
        <v>250</v>
      </c>
      <c r="B484" t="str">
        <f ca="1">IFERROR(__xludf.DUMMYFUNCTION((TRANSPOSE(ImportHTML("http://spending.data.al/sq/moneypower/view/id/250/year/2014",  "table", 0)))),"*Kategoria*")</f>
        <v>*Kategoria*</v>
      </c>
      <c r="C484" t="s">
        <v>673</v>
      </c>
      <c r="D484" t="s">
        <v>674</v>
      </c>
      <c r="E484" t="s">
        <v>675</v>
      </c>
      <c r="F484" t="s">
        <v>676</v>
      </c>
      <c r="G484" t="s">
        <v>677</v>
      </c>
      <c r="H484" t="s">
        <v>678</v>
      </c>
      <c r="I484" t="s">
        <v>679</v>
      </c>
      <c r="J484" t="s">
        <v>680</v>
      </c>
      <c r="K484" t="s">
        <v>681</v>
      </c>
      <c r="L484" t="s">
        <v>682</v>
      </c>
      <c r="M484" t="s">
        <v>683</v>
      </c>
      <c r="N484" t="s">
        <v>684</v>
      </c>
      <c r="O484" t="s">
        <v>685</v>
      </c>
    </row>
    <row r="485" spans="1:15" ht="15">
      <c r="A485" s="11"/>
      <c r="B485" t="s">
        <v>686</v>
      </c>
      <c r="C485" t="s">
        <v>1570</v>
      </c>
      <c r="D485" t="s">
        <v>688</v>
      </c>
      <c r="E485" t="s">
        <v>688</v>
      </c>
      <c r="F485" t="s">
        <v>1571</v>
      </c>
      <c r="G485" t="s">
        <v>688</v>
      </c>
      <c r="H485" t="s">
        <v>688</v>
      </c>
      <c r="I485" t="s">
        <v>688</v>
      </c>
      <c r="J485" t="s">
        <v>688</v>
      </c>
      <c r="K485" t="s">
        <v>688</v>
      </c>
      <c r="L485" t="s">
        <v>1572</v>
      </c>
      <c r="M485" t="s">
        <v>688</v>
      </c>
      <c r="O485" t="s">
        <v>1573</v>
      </c>
    </row>
    <row r="486" spans="1:15" ht="15">
      <c r="A486" s="9">
        <v>251</v>
      </c>
      <c r="B486" t="str">
        <f ca="1">IFERROR(__xludf.DUMMYFUNCTION((TRANSPOSE(ImportHTML("http://spending.data.al/sq/moneypower/view/id/251/year/2014",  "table", 0)))),"*Kategoria*")</f>
        <v>*Kategoria*</v>
      </c>
      <c r="C486" t="s">
        <v>673</v>
      </c>
      <c r="D486" t="s">
        <v>674</v>
      </c>
      <c r="E486" t="s">
        <v>675</v>
      </c>
      <c r="F486" t="s">
        <v>676</v>
      </c>
      <c r="G486" t="s">
        <v>677</v>
      </c>
      <c r="H486" t="s">
        <v>678</v>
      </c>
      <c r="I486" t="s">
        <v>679</v>
      </c>
      <c r="J486" t="s">
        <v>680</v>
      </c>
      <c r="K486" t="s">
        <v>681</v>
      </c>
      <c r="L486" t="s">
        <v>682</v>
      </c>
      <c r="M486" t="s">
        <v>683</v>
      </c>
      <c r="N486" t="s">
        <v>684</v>
      </c>
      <c r="O486" t="s">
        <v>685</v>
      </c>
    </row>
    <row r="487" spans="1:15" ht="15">
      <c r="A487" s="11"/>
      <c r="B487" t="s">
        <v>686</v>
      </c>
      <c r="C487" t="s">
        <v>1574</v>
      </c>
      <c r="D487" t="s">
        <v>688</v>
      </c>
      <c r="E487" t="s">
        <v>688</v>
      </c>
      <c r="F487" t="s">
        <v>688</v>
      </c>
      <c r="G487" t="s">
        <v>688</v>
      </c>
      <c r="H487" t="s">
        <v>688</v>
      </c>
      <c r="I487" t="s">
        <v>688</v>
      </c>
      <c r="J487" t="s">
        <v>688</v>
      </c>
      <c r="K487" t="s">
        <v>688</v>
      </c>
      <c r="L487" t="s">
        <v>1575</v>
      </c>
      <c r="M487" t="s">
        <v>688</v>
      </c>
      <c r="O487" t="s">
        <v>1576</v>
      </c>
    </row>
    <row r="488" spans="1:15" ht="15">
      <c r="A488" s="9">
        <v>252</v>
      </c>
      <c r="B488" t="str">
        <f ca="1">IFERROR(__xludf.DUMMYFUNCTION((TRANSPOSE(ImportHTML("http://spending.data.al/sq/moneypower/view/id/252/year/2014",  "table", 0)))),"*Kategoria*")</f>
        <v>*Kategoria*</v>
      </c>
      <c r="C488" t="s">
        <v>673</v>
      </c>
      <c r="D488" t="s">
        <v>674</v>
      </c>
      <c r="E488" t="s">
        <v>675</v>
      </c>
      <c r="F488" t="s">
        <v>676</v>
      </c>
      <c r="G488" t="s">
        <v>677</v>
      </c>
      <c r="H488" t="s">
        <v>678</v>
      </c>
      <c r="I488" t="s">
        <v>679</v>
      </c>
      <c r="J488" t="s">
        <v>680</v>
      </c>
      <c r="K488" t="s">
        <v>681</v>
      </c>
      <c r="L488" t="s">
        <v>682</v>
      </c>
      <c r="M488" t="s">
        <v>683</v>
      </c>
      <c r="N488" t="s">
        <v>684</v>
      </c>
      <c r="O488" t="s">
        <v>685</v>
      </c>
    </row>
    <row r="489" spans="1:15" ht="15">
      <c r="A489" s="11"/>
      <c r="B489" t="s">
        <v>686</v>
      </c>
      <c r="C489" t="s">
        <v>1577</v>
      </c>
      <c r="D489" t="s">
        <v>688</v>
      </c>
      <c r="E489" t="s">
        <v>688</v>
      </c>
      <c r="F489" t="s">
        <v>688</v>
      </c>
      <c r="G489" t="s">
        <v>688</v>
      </c>
      <c r="H489" t="s">
        <v>688</v>
      </c>
      <c r="I489" t="s">
        <v>688</v>
      </c>
      <c r="J489" t="s">
        <v>688</v>
      </c>
      <c r="K489" t="s">
        <v>688</v>
      </c>
      <c r="L489" t="s">
        <v>688</v>
      </c>
      <c r="M489" t="s">
        <v>688</v>
      </c>
      <c r="O489" t="s">
        <v>1578</v>
      </c>
    </row>
    <row r="490" spans="1:15" ht="15">
      <c r="A490" s="9">
        <v>253</v>
      </c>
      <c r="B490" t="str">
        <f ca="1">IFERROR(__xludf.DUMMYFUNCTION((TRANSPOSE(ImportHTML("http://spending.data.al/sq/moneypower/view/id/253/year/2014",  "table", 0)))),"*Kategoria*")</f>
        <v>*Kategoria*</v>
      </c>
      <c r="C490" t="s">
        <v>673</v>
      </c>
      <c r="D490" t="s">
        <v>674</v>
      </c>
      <c r="E490" t="s">
        <v>675</v>
      </c>
      <c r="F490" t="s">
        <v>676</v>
      </c>
      <c r="G490" t="s">
        <v>677</v>
      </c>
      <c r="H490" t="s">
        <v>678</v>
      </c>
      <c r="I490" t="s">
        <v>679</v>
      </c>
      <c r="J490" t="s">
        <v>680</v>
      </c>
      <c r="K490" t="s">
        <v>681</v>
      </c>
      <c r="L490" t="s">
        <v>682</v>
      </c>
      <c r="M490" t="s">
        <v>683</v>
      </c>
      <c r="N490" t="s">
        <v>684</v>
      </c>
      <c r="O490" t="s">
        <v>685</v>
      </c>
    </row>
    <row r="491" spans="1:15" ht="15">
      <c r="A491" s="11"/>
      <c r="B491" t="s">
        <v>686</v>
      </c>
      <c r="C491" t="s">
        <v>1579</v>
      </c>
      <c r="D491" t="s">
        <v>688</v>
      </c>
      <c r="E491" t="s">
        <v>688</v>
      </c>
      <c r="F491" t="s">
        <v>688</v>
      </c>
      <c r="G491" t="s">
        <v>688</v>
      </c>
      <c r="H491" t="s">
        <v>688</v>
      </c>
      <c r="I491" t="s">
        <v>688</v>
      </c>
      <c r="J491" t="s">
        <v>688</v>
      </c>
      <c r="K491" t="s">
        <v>688</v>
      </c>
      <c r="L491" t="s">
        <v>1580</v>
      </c>
      <c r="M491" t="s">
        <v>688</v>
      </c>
      <c r="O491" t="s">
        <v>1581</v>
      </c>
    </row>
    <row r="492" spans="1:15" ht="15">
      <c r="A492" s="9">
        <v>254</v>
      </c>
      <c r="B492" t="str">
        <f ca="1">IFERROR(__xludf.DUMMYFUNCTION((TRANSPOSE(ImportHTML("http://spending.data.al/sq/moneypower/view/id/254/year/2014",  "table", 0)))),"*Kategoria*")</f>
        <v>*Kategoria*</v>
      </c>
      <c r="C492" t="s">
        <v>673</v>
      </c>
      <c r="D492" t="s">
        <v>674</v>
      </c>
      <c r="E492" t="s">
        <v>675</v>
      </c>
      <c r="F492" t="s">
        <v>676</v>
      </c>
      <c r="G492" t="s">
        <v>677</v>
      </c>
      <c r="H492" t="s">
        <v>678</v>
      </c>
      <c r="I492" t="s">
        <v>679</v>
      </c>
      <c r="J492" t="s">
        <v>680</v>
      </c>
      <c r="K492" t="s">
        <v>681</v>
      </c>
      <c r="L492" t="s">
        <v>682</v>
      </c>
      <c r="M492" t="s">
        <v>683</v>
      </c>
      <c r="N492" t="s">
        <v>684</v>
      </c>
      <c r="O492" t="s">
        <v>685</v>
      </c>
    </row>
    <row r="493" spans="1:15" ht="15">
      <c r="A493" s="11"/>
      <c r="B493" t="s">
        <v>686</v>
      </c>
      <c r="C493" t="s">
        <v>1582</v>
      </c>
      <c r="D493" t="s">
        <v>688</v>
      </c>
      <c r="E493" t="s">
        <v>688</v>
      </c>
      <c r="F493" t="s">
        <v>1583</v>
      </c>
      <c r="G493" t="s">
        <v>688</v>
      </c>
      <c r="H493" t="s">
        <v>688</v>
      </c>
      <c r="I493" t="s">
        <v>688</v>
      </c>
      <c r="J493" t="s">
        <v>688</v>
      </c>
      <c r="K493" t="s">
        <v>688</v>
      </c>
      <c r="M493" t="s">
        <v>688</v>
      </c>
      <c r="O493" t="s">
        <v>1584</v>
      </c>
    </row>
    <row r="494" spans="1:15" ht="15">
      <c r="A494" s="9">
        <v>255</v>
      </c>
      <c r="B494" t="str">
        <f ca="1">IFERROR(__xludf.DUMMYFUNCTION((TRANSPOSE(ImportHTML("http://spending.data.al/sq/moneypower/view/id/255/year/2014",  "table", 0)))),"*Kategoria*")</f>
        <v>*Kategoria*</v>
      </c>
      <c r="C494" t="s">
        <v>673</v>
      </c>
      <c r="D494" t="s">
        <v>674</v>
      </c>
      <c r="E494" t="s">
        <v>675</v>
      </c>
      <c r="F494" t="s">
        <v>676</v>
      </c>
      <c r="G494" t="s">
        <v>677</v>
      </c>
      <c r="H494" t="s">
        <v>678</v>
      </c>
      <c r="I494" t="s">
        <v>679</v>
      </c>
      <c r="J494" t="s">
        <v>680</v>
      </c>
      <c r="K494" t="s">
        <v>681</v>
      </c>
      <c r="L494" t="s">
        <v>682</v>
      </c>
      <c r="M494" t="s">
        <v>683</v>
      </c>
      <c r="N494" t="s">
        <v>684</v>
      </c>
      <c r="O494" t="s">
        <v>685</v>
      </c>
    </row>
    <row r="495" spans="1:15" ht="15">
      <c r="A495" s="11"/>
      <c r="B495" t="s">
        <v>686</v>
      </c>
      <c r="C495" t="s">
        <v>1585</v>
      </c>
      <c r="D495" t="s">
        <v>688</v>
      </c>
      <c r="E495" t="s">
        <v>688</v>
      </c>
      <c r="F495" t="s">
        <v>688</v>
      </c>
      <c r="G495" t="s">
        <v>1586</v>
      </c>
      <c r="H495" t="s">
        <v>688</v>
      </c>
      <c r="I495" t="s">
        <v>688</v>
      </c>
      <c r="J495" t="s">
        <v>688</v>
      </c>
      <c r="K495" t="s">
        <v>688</v>
      </c>
      <c r="L495" t="s">
        <v>1587</v>
      </c>
      <c r="M495" t="s">
        <v>688</v>
      </c>
      <c r="O495" t="s">
        <v>1588</v>
      </c>
    </row>
    <row r="496" spans="1:15" ht="15">
      <c r="A496" s="9">
        <v>256</v>
      </c>
      <c r="B496" t="str">
        <f ca="1">IFERROR(__xludf.DUMMYFUNCTION((TRANSPOSE(ImportHTML("http://spending.data.al/sq/moneypower/view/id/256/year/2014",  "table", 0)))),"*Kategoria*")</f>
        <v>*Kategoria*</v>
      </c>
      <c r="C496" t="s">
        <v>673</v>
      </c>
      <c r="D496" t="s">
        <v>674</v>
      </c>
      <c r="E496" t="s">
        <v>675</v>
      </c>
      <c r="F496" t="s">
        <v>676</v>
      </c>
      <c r="G496" t="s">
        <v>677</v>
      </c>
      <c r="H496" t="s">
        <v>678</v>
      </c>
      <c r="I496" t="s">
        <v>679</v>
      </c>
      <c r="J496" t="s">
        <v>680</v>
      </c>
      <c r="K496" t="s">
        <v>681</v>
      </c>
      <c r="L496" t="s">
        <v>682</v>
      </c>
      <c r="M496" t="s">
        <v>683</v>
      </c>
      <c r="N496" t="s">
        <v>684</v>
      </c>
      <c r="O496" t="s">
        <v>685</v>
      </c>
    </row>
    <row r="497" spans="1:15" ht="15">
      <c r="A497" s="11"/>
      <c r="B497" t="s">
        <v>686</v>
      </c>
      <c r="C497" t="s">
        <v>1589</v>
      </c>
      <c r="D497" t="s">
        <v>688</v>
      </c>
      <c r="E497" t="s">
        <v>688</v>
      </c>
      <c r="F497" t="s">
        <v>1590</v>
      </c>
      <c r="G497" t="s">
        <v>688</v>
      </c>
      <c r="H497" t="s">
        <v>688</v>
      </c>
      <c r="I497" t="s">
        <v>688</v>
      </c>
      <c r="J497" t="s">
        <v>688</v>
      </c>
      <c r="K497" t="s">
        <v>688</v>
      </c>
      <c r="L497" t="s">
        <v>1591</v>
      </c>
      <c r="M497" t="s">
        <v>688</v>
      </c>
      <c r="O497" t="s">
        <v>1592</v>
      </c>
    </row>
    <row r="498" spans="1:15" ht="15">
      <c r="A498" s="9">
        <v>257</v>
      </c>
      <c r="B498" t="str">
        <f ca="1">IFERROR(__xludf.DUMMYFUNCTION((TRANSPOSE(ImportHTML("http://spending.data.al/sq/moneypower/view/id/257/year/2014",  "table", 0)))),"*Kategoria*")</f>
        <v>*Kategoria*</v>
      </c>
      <c r="C498" t="s">
        <v>673</v>
      </c>
      <c r="D498" t="s">
        <v>674</v>
      </c>
      <c r="E498" t="s">
        <v>675</v>
      </c>
      <c r="F498" t="s">
        <v>676</v>
      </c>
      <c r="G498" t="s">
        <v>677</v>
      </c>
      <c r="H498" t="s">
        <v>678</v>
      </c>
      <c r="I498" t="s">
        <v>679</v>
      </c>
      <c r="J498" t="s">
        <v>680</v>
      </c>
      <c r="K498" t="s">
        <v>681</v>
      </c>
      <c r="L498" t="s">
        <v>682</v>
      </c>
      <c r="M498" t="s">
        <v>683</v>
      </c>
      <c r="N498" t="s">
        <v>684</v>
      </c>
      <c r="O498" t="s">
        <v>685</v>
      </c>
    </row>
    <row r="499" spans="1:15" ht="15">
      <c r="A499" s="11"/>
      <c r="B499" t="s">
        <v>686</v>
      </c>
      <c r="C499" t="s">
        <v>1593</v>
      </c>
      <c r="D499" t="s">
        <v>688</v>
      </c>
      <c r="E499" t="s">
        <v>688</v>
      </c>
      <c r="F499" t="s">
        <v>688</v>
      </c>
      <c r="G499" t="s">
        <v>688</v>
      </c>
      <c r="H499" t="s">
        <v>688</v>
      </c>
      <c r="I499" t="s">
        <v>688</v>
      </c>
      <c r="J499" t="s">
        <v>688</v>
      </c>
      <c r="K499" t="s">
        <v>688</v>
      </c>
      <c r="L499" t="s">
        <v>688</v>
      </c>
      <c r="M499" t="s">
        <v>688</v>
      </c>
      <c r="O499" t="s">
        <v>1594</v>
      </c>
    </row>
    <row r="500" spans="1:15" ht="15">
      <c r="A500" s="9">
        <v>258</v>
      </c>
      <c r="B500" t="str">
        <f ca="1">IFERROR(__xludf.DUMMYFUNCTION((TRANSPOSE(ImportHTML("http://spending.data.al/sq/moneypower/view/id/258/year/2014",  "table", 0)))),"*Kategoria*")</f>
        <v>*Kategoria*</v>
      </c>
      <c r="C500" t="s">
        <v>673</v>
      </c>
      <c r="D500" t="s">
        <v>674</v>
      </c>
      <c r="E500" t="s">
        <v>675</v>
      </c>
      <c r="F500" t="s">
        <v>676</v>
      </c>
      <c r="G500" t="s">
        <v>677</v>
      </c>
      <c r="H500" t="s">
        <v>678</v>
      </c>
      <c r="I500" t="s">
        <v>679</v>
      </c>
      <c r="J500" t="s">
        <v>680</v>
      </c>
      <c r="K500" t="s">
        <v>681</v>
      </c>
      <c r="L500" t="s">
        <v>682</v>
      </c>
      <c r="M500" t="s">
        <v>683</v>
      </c>
      <c r="N500" t="s">
        <v>684</v>
      </c>
      <c r="O500" t="s">
        <v>685</v>
      </c>
    </row>
    <row r="501" spans="1:15" ht="15">
      <c r="A501" s="11"/>
      <c r="B501" t="s">
        <v>686</v>
      </c>
      <c r="C501" t="s">
        <v>1595</v>
      </c>
      <c r="D501" t="s">
        <v>1596</v>
      </c>
      <c r="E501" t="s">
        <v>688</v>
      </c>
      <c r="F501" t="s">
        <v>688</v>
      </c>
      <c r="G501" t="s">
        <v>688</v>
      </c>
      <c r="H501" t="s">
        <v>688</v>
      </c>
      <c r="I501" t="s">
        <v>688</v>
      </c>
      <c r="J501" t="s">
        <v>688</v>
      </c>
      <c r="K501" t="s">
        <v>688</v>
      </c>
      <c r="L501" t="s">
        <v>1597</v>
      </c>
      <c r="M501" t="s">
        <v>688</v>
      </c>
      <c r="O501" t="s">
        <v>1598</v>
      </c>
    </row>
    <row r="502" spans="1:15" ht="15">
      <c r="A502" s="9">
        <v>259</v>
      </c>
      <c r="B502" t="str">
        <f ca="1">IFERROR(__xludf.DUMMYFUNCTION((TRANSPOSE(ImportHTML("http://spending.data.al/sq/moneypower/view/id/259/year/2014",  "table", 0)))),"*Kategoria*")</f>
        <v>*Kategoria*</v>
      </c>
      <c r="C502" t="s">
        <v>673</v>
      </c>
      <c r="D502" t="s">
        <v>674</v>
      </c>
      <c r="E502" t="s">
        <v>675</v>
      </c>
      <c r="F502" t="s">
        <v>676</v>
      </c>
      <c r="G502" t="s">
        <v>677</v>
      </c>
      <c r="H502" t="s">
        <v>678</v>
      </c>
      <c r="I502" t="s">
        <v>679</v>
      </c>
      <c r="J502" t="s">
        <v>680</v>
      </c>
      <c r="K502" t="s">
        <v>681</v>
      </c>
      <c r="L502" t="s">
        <v>682</v>
      </c>
      <c r="M502" t="s">
        <v>683</v>
      </c>
      <c r="N502" t="s">
        <v>684</v>
      </c>
      <c r="O502" t="s">
        <v>685</v>
      </c>
    </row>
    <row r="503" spans="1:15" ht="15">
      <c r="A503" s="11"/>
      <c r="B503" t="s">
        <v>686</v>
      </c>
      <c r="C503" t="s">
        <v>1599</v>
      </c>
      <c r="D503" t="s">
        <v>688</v>
      </c>
      <c r="E503" t="s">
        <v>688</v>
      </c>
      <c r="F503" t="s">
        <v>688</v>
      </c>
      <c r="G503" t="s">
        <v>688</v>
      </c>
      <c r="H503" t="s">
        <v>688</v>
      </c>
      <c r="I503" t="s">
        <v>688</v>
      </c>
      <c r="J503" t="s">
        <v>688</v>
      </c>
      <c r="K503" t="s">
        <v>688</v>
      </c>
      <c r="L503" t="s">
        <v>1600</v>
      </c>
      <c r="M503" t="s">
        <v>688</v>
      </c>
      <c r="O503" t="s">
        <v>1601</v>
      </c>
    </row>
    <row r="504" spans="1:15" ht="15">
      <c r="A504" s="9">
        <v>260</v>
      </c>
      <c r="B504" t="str">
        <f ca="1">IFERROR(__xludf.DUMMYFUNCTION((TRANSPOSE(ImportHTML("http://spending.data.al/sq/moneypower/view/id/260/year/2014",  "table", 0)))),"*Kategoria*")</f>
        <v>*Kategoria*</v>
      </c>
      <c r="C504" t="s">
        <v>673</v>
      </c>
      <c r="D504" t="s">
        <v>674</v>
      </c>
      <c r="E504" t="s">
        <v>675</v>
      </c>
      <c r="F504" t="s">
        <v>676</v>
      </c>
      <c r="G504" t="s">
        <v>677</v>
      </c>
      <c r="H504" t="s">
        <v>678</v>
      </c>
      <c r="I504" t="s">
        <v>679</v>
      </c>
      <c r="J504" t="s">
        <v>680</v>
      </c>
      <c r="K504" t="s">
        <v>681</v>
      </c>
      <c r="L504" t="s">
        <v>682</v>
      </c>
      <c r="M504" t="s">
        <v>683</v>
      </c>
      <c r="N504" t="s">
        <v>684</v>
      </c>
      <c r="O504" t="s">
        <v>685</v>
      </c>
    </row>
    <row r="505" spans="1:15" ht="15">
      <c r="A505" s="11"/>
      <c r="B505" t="s">
        <v>686</v>
      </c>
      <c r="C505" t="s">
        <v>1602</v>
      </c>
      <c r="D505" t="s">
        <v>688</v>
      </c>
      <c r="E505" t="s">
        <v>688</v>
      </c>
      <c r="F505" t="s">
        <v>688</v>
      </c>
      <c r="G505" t="s">
        <v>688</v>
      </c>
      <c r="H505" t="s">
        <v>688</v>
      </c>
      <c r="I505" t="s">
        <v>688</v>
      </c>
      <c r="J505" t="s">
        <v>688</v>
      </c>
      <c r="K505" t="s">
        <v>688</v>
      </c>
      <c r="L505" t="s">
        <v>1603</v>
      </c>
      <c r="M505" t="s">
        <v>688</v>
      </c>
      <c r="O505" t="s">
        <v>1604</v>
      </c>
    </row>
    <row r="506" spans="1:15" ht="15">
      <c r="A506" s="9">
        <v>261</v>
      </c>
      <c r="B506" t="str">
        <f ca="1">IFERROR(__xludf.DUMMYFUNCTION((TRANSPOSE(ImportHTML("http://spending.data.al/sq/moneypower/view/id/261/year/2014",  "table", 0)))),"*Kategoria*")</f>
        <v>*Kategoria*</v>
      </c>
      <c r="C506" t="s">
        <v>673</v>
      </c>
      <c r="D506" t="s">
        <v>674</v>
      </c>
      <c r="E506" t="s">
        <v>675</v>
      </c>
      <c r="F506" t="s">
        <v>676</v>
      </c>
      <c r="G506" t="s">
        <v>677</v>
      </c>
      <c r="H506" t="s">
        <v>678</v>
      </c>
      <c r="I506" t="s">
        <v>679</v>
      </c>
      <c r="J506" t="s">
        <v>680</v>
      </c>
      <c r="K506" t="s">
        <v>681</v>
      </c>
      <c r="L506" t="s">
        <v>682</v>
      </c>
      <c r="M506" t="s">
        <v>683</v>
      </c>
      <c r="N506" t="s">
        <v>684</v>
      </c>
      <c r="O506" t="s">
        <v>685</v>
      </c>
    </row>
    <row r="507" spans="1:15" ht="15">
      <c r="A507" s="11"/>
      <c r="B507" t="s">
        <v>686</v>
      </c>
      <c r="C507" t="s">
        <v>1605</v>
      </c>
      <c r="D507" t="s">
        <v>688</v>
      </c>
      <c r="E507" t="s">
        <v>688</v>
      </c>
      <c r="F507" t="s">
        <v>688</v>
      </c>
      <c r="G507" t="s">
        <v>688</v>
      </c>
      <c r="H507" t="s">
        <v>688</v>
      </c>
      <c r="I507" t="s">
        <v>688</v>
      </c>
      <c r="J507" t="s">
        <v>688</v>
      </c>
      <c r="K507" t="s">
        <v>688</v>
      </c>
      <c r="L507" t="s">
        <v>688</v>
      </c>
      <c r="M507" t="s">
        <v>688</v>
      </c>
      <c r="O507" t="s">
        <v>1606</v>
      </c>
    </row>
    <row r="508" spans="1:15" ht="15">
      <c r="A508" s="9">
        <v>262</v>
      </c>
      <c r="B508" t="str">
        <f ca="1">IFERROR(__xludf.DUMMYFUNCTION((TRANSPOSE(ImportHTML("http://spending.data.al/sq/moneypower/view/id/262/year/2014",  "table", 0)))),"*Kategoria*")</f>
        <v>*Kategoria*</v>
      </c>
      <c r="C508" t="s">
        <v>673</v>
      </c>
      <c r="D508" t="s">
        <v>674</v>
      </c>
      <c r="E508" t="s">
        <v>675</v>
      </c>
      <c r="F508" t="s">
        <v>676</v>
      </c>
      <c r="G508" t="s">
        <v>677</v>
      </c>
      <c r="H508" t="s">
        <v>678</v>
      </c>
      <c r="I508" t="s">
        <v>679</v>
      </c>
      <c r="J508" t="s">
        <v>680</v>
      </c>
      <c r="K508" t="s">
        <v>681</v>
      </c>
      <c r="L508" t="s">
        <v>682</v>
      </c>
      <c r="M508" t="s">
        <v>683</v>
      </c>
      <c r="N508" t="s">
        <v>684</v>
      </c>
      <c r="O508" t="s">
        <v>685</v>
      </c>
    </row>
    <row r="509" spans="1:15" ht="15">
      <c r="A509" s="11"/>
      <c r="B509" t="s">
        <v>686</v>
      </c>
      <c r="C509" t="s">
        <v>1607</v>
      </c>
      <c r="D509" t="s">
        <v>688</v>
      </c>
      <c r="E509" t="s">
        <v>688</v>
      </c>
      <c r="F509" t="s">
        <v>688</v>
      </c>
      <c r="G509" t="s">
        <v>1608</v>
      </c>
      <c r="H509" t="s">
        <v>688</v>
      </c>
      <c r="I509" t="s">
        <v>688</v>
      </c>
      <c r="J509" t="s">
        <v>688</v>
      </c>
      <c r="K509" t="s">
        <v>688</v>
      </c>
      <c r="L509" t="s">
        <v>1609</v>
      </c>
      <c r="M509" t="s">
        <v>1610</v>
      </c>
      <c r="O509" t="s">
        <v>1611</v>
      </c>
    </row>
    <row r="510" spans="1:15" ht="15">
      <c r="A510" s="9">
        <v>263</v>
      </c>
      <c r="B510" t="str">
        <f ca="1">IFERROR(__xludf.DUMMYFUNCTION((TRANSPOSE(ImportHTML("http://spending.data.al/sq/moneypower/view/id/263/year/2014",  "table", 0)))),"*Kategoria*")</f>
        <v>*Kategoria*</v>
      </c>
      <c r="C510" t="s">
        <v>673</v>
      </c>
      <c r="D510" t="s">
        <v>674</v>
      </c>
      <c r="E510" t="s">
        <v>675</v>
      </c>
      <c r="F510" t="s">
        <v>676</v>
      </c>
      <c r="G510" t="s">
        <v>677</v>
      </c>
      <c r="H510" t="s">
        <v>678</v>
      </c>
      <c r="I510" t="s">
        <v>679</v>
      </c>
      <c r="J510" t="s">
        <v>680</v>
      </c>
      <c r="K510" t="s">
        <v>681</v>
      </c>
      <c r="L510" t="s">
        <v>682</v>
      </c>
      <c r="M510" t="s">
        <v>683</v>
      </c>
      <c r="N510" t="s">
        <v>684</v>
      </c>
      <c r="O510" t="s">
        <v>685</v>
      </c>
    </row>
    <row r="511" spans="1:15" ht="15">
      <c r="A511" s="11"/>
      <c r="B511" t="s">
        <v>686</v>
      </c>
      <c r="C511" t="s">
        <v>1612</v>
      </c>
      <c r="D511" t="s">
        <v>688</v>
      </c>
      <c r="E511" t="s">
        <v>688</v>
      </c>
      <c r="F511" t="s">
        <v>688</v>
      </c>
      <c r="G511" t="s">
        <v>688</v>
      </c>
      <c r="H511" t="s">
        <v>688</v>
      </c>
      <c r="I511" t="s">
        <v>688</v>
      </c>
      <c r="J511" t="s">
        <v>688</v>
      </c>
      <c r="K511" t="s">
        <v>688</v>
      </c>
      <c r="L511" t="s">
        <v>1613</v>
      </c>
      <c r="M511" t="s">
        <v>688</v>
      </c>
      <c r="O511" t="s">
        <v>1614</v>
      </c>
    </row>
    <row r="512" spans="1:15" ht="15">
      <c r="A512" s="9">
        <v>264</v>
      </c>
      <c r="B512" t="str">
        <f ca="1">IFERROR(__xludf.DUMMYFUNCTION((TRANSPOSE(ImportHTML("http://spending.data.al/sq/moneypower/view/id/264/year/2014",  "table", 0)))),"*Kategoria*")</f>
        <v>*Kategoria*</v>
      </c>
      <c r="C512" t="s">
        <v>673</v>
      </c>
      <c r="D512" t="s">
        <v>674</v>
      </c>
      <c r="E512" t="s">
        <v>675</v>
      </c>
      <c r="F512" t="s">
        <v>676</v>
      </c>
      <c r="G512" t="s">
        <v>677</v>
      </c>
      <c r="H512" t="s">
        <v>678</v>
      </c>
      <c r="I512" t="s">
        <v>679</v>
      </c>
      <c r="J512" t="s">
        <v>680</v>
      </c>
      <c r="K512" t="s">
        <v>681</v>
      </c>
      <c r="L512" t="s">
        <v>682</v>
      </c>
      <c r="M512" t="s">
        <v>683</v>
      </c>
      <c r="N512" t="s">
        <v>684</v>
      </c>
      <c r="O512" t="s">
        <v>685</v>
      </c>
    </row>
    <row r="513" spans="1:15" ht="15">
      <c r="A513" s="11"/>
      <c r="B513" t="s">
        <v>686</v>
      </c>
      <c r="C513" t="s">
        <v>1615</v>
      </c>
      <c r="D513" t="s">
        <v>688</v>
      </c>
      <c r="E513" t="s">
        <v>688</v>
      </c>
      <c r="F513" t="s">
        <v>688</v>
      </c>
      <c r="G513" t="s">
        <v>688</v>
      </c>
      <c r="H513" t="s">
        <v>688</v>
      </c>
      <c r="I513" t="s">
        <v>688</v>
      </c>
      <c r="J513" t="s">
        <v>688</v>
      </c>
      <c r="K513" t="s">
        <v>688</v>
      </c>
      <c r="L513" t="s">
        <v>1616</v>
      </c>
      <c r="M513" t="s">
        <v>688</v>
      </c>
      <c r="O513" t="s">
        <v>1617</v>
      </c>
    </row>
    <row r="514" spans="1:15" ht="15">
      <c r="A514" s="9">
        <v>265</v>
      </c>
      <c r="B514" t="str">
        <f ca="1">IFERROR(__xludf.DUMMYFUNCTION((TRANSPOSE(ImportHTML("http://spending.data.al/sq/moneypower/view/id/265/year/2014",  "table", 0)))),"*Kategoria*")</f>
        <v>*Kategoria*</v>
      </c>
      <c r="C514" t="s">
        <v>673</v>
      </c>
      <c r="D514" t="s">
        <v>674</v>
      </c>
      <c r="E514" t="s">
        <v>675</v>
      </c>
      <c r="F514" t="s">
        <v>676</v>
      </c>
      <c r="G514" t="s">
        <v>677</v>
      </c>
      <c r="H514" t="s">
        <v>678</v>
      </c>
      <c r="I514" t="s">
        <v>679</v>
      </c>
      <c r="J514" t="s">
        <v>680</v>
      </c>
      <c r="K514" t="s">
        <v>681</v>
      </c>
      <c r="L514" t="s">
        <v>682</v>
      </c>
      <c r="M514" t="s">
        <v>683</v>
      </c>
      <c r="N514" t="s">
        <v>684</v>
      </c>
      <c r="O514" t="s">
        <v>685</v>
      </c>
    </row>
    <row r="515" spans="1:15" ht="15">
      <c r="A515" s="11"/>
      <c r="B515" t="s">
        <v>686</v>
      </c>
      <c r="C515" t="s">
        <v>1618</v>
      </c>
      <c r="D515" t="s">
        <v>688</v>
      </c>
      <c r="E515" t="s">
        <v>688</v>
      </c>
      <c r="F515" t="s">
        <v>1619</v>
      </c>
      <c r="G515" t="s">
        <v>688</v>
      </c>
      <c r="H515" t="s">
        <v>688</v>
      </c>
      <c r="I515" t="s">
        <v>688</v>
      </c>
      <c r="J515" t="s">
        <v>688</v>
      </c>
      <c r="K515" t="s">
        <v>688</v>
      </c>
      <c r="L515" t="s">
        <v>1620</v>
      </c>
      <c r="M515" t="s">
        <v>688</v>
      </c>
      <c r="O515" t="s">
        <v>1621</v>
      </c>
    </row>
    <row r="516" spans="1:15" ht="15">
      <c r="A516" s="9">
        <v>266</v>
      </c>
      <c r="B516" t="str">
        <f ca="1">IFERROR(__xludf.DUMMYFUNCTION((TRANSPOSE(ImportHTML("http://spending.data.al/sq/moneypower/view/id/266/year/2014",  "table", 0)))),"*Kategoria*")</f>
        <v>*Kategoria*</v>
      </c>
      <c r="C516" t="s">
        <v>673</v>
      </c>
      <c r="D516" t="s">
        <v>674</v>
      </c>
      <c r="E516" t="s">
        <v>675</v>
      </c>
      <c r="F516" t="s">
        <v>676</v>
      </c>
      <c r="G516" t="s">
        <v>677</v>
      </c>
      <c r="H516" t="s">
        <v>678</v>
      </c>
      <c r="I516" t="s">
        <v>679</v>
      </c>
      <c r="J516" t="s">
        <v>680</v>
      </c>
      <c r="K516" t="s">
        <v>681</v>
      </c>
      <c r="L516" t="s">
        <v>682</v>
      </c>
      <c r="M516" t="s">
        <v>683</v>
      </c>
      <c r="N516" t="s">
        <v>684</v>
      </c>
      <c r="O516" t="s">
        <v>685</v>
      </c>
    </row>
    <row r="517" spans="1:15" ht="15">
      <c r="A517" s="11"/>
      <c r="B517" t="s">
        <v>686</v>
      </c>
      <c r="C517" t="s">
        <v>1622</v>
      </c>
      <c r="D517" t="s">
        <v>688</v>
      </c>
      <c r="E517" t="s">
        <v>688</v>
      </c>
      <c r="F517" t="s">
        <v>1623</v>
      </c>
      <c r="G517" t="s">
        <v>1624</v>
      </c>
      <c r="H517" t="s">
        <v>688</v>
      </c>
      <c r="I517" t="s">
        <v>688</v>
      </c>
      <c r="J517" t="s">
        <v>688</v>
      </c>
      <c r="K517" t="s">
        <v>688</v>
      </c>
      <c r="L517" t="s">
        <v>1625</v>
      </c>
      <c r="M517" t="s">
        <v>688</v>
      </c>
      <c r="O517" t="s">
        <v>1626</v>
      </c>
    </row>
    <row r="518" spans="1:15" ht="15">
      <c r="A518" s="9">
        <v>267</v>
      </c>
      <c r="B518" t="str">
        <f ca="1">IFERROR(__xludf.DUMMYFUNCTION((TRANSPOSE(ImportHTML("http://spending.data.al/sq/moneypower/view/id/267/year/2014",  "table", 0)))),"*Kategoria*")</f>
        <v>*Kategoria*</v>
      </c>
      <c r="C518" t="s">
        <v>673</v>
      </c>
      <c r="D518" t="s">
        <v>674</v>
      </c>
      <c r="E518" t="s">
        <v>675</v>
      </c>
      <c r="F518" t="s">
        <v>676</v>
      </c>
      <c r="G518" t="s">
        <v>677</v>
      </c>
      <c r="H518" t="s">
        <v>678</v>
      </c>
      <c r="I518" t="s">
        <v>679</v>
      </c>
      <c r="J518" t="s">
        <v>680</v>
      </c>
      <c r="K518" t="s">
        <v>681</v>
      </c>
      <c r="L518" t="s">
        <v>682</v>
      </c>
      <c r="M518" t="s">
        <v>683</v>
      </c>
      <c r="N518" t="s">
        <v>684</v>
      </c>
      <c r="O518" t="s">
        <v>685</v>
      </c>
    </row>
    <row r="519" spans="1:15" ht="15">
      <c r="A519" s="11"/>
      <c r="B519" t="s">
        <v>686</v>
      </c>
      <c r="C519" t="s">
        <v>1627</v>
      </c>
      <c r="D519" t="s">
        <v>688</v>
      </c>
      <c r="E519" t="s">
        <v>688</v>
      </c>
      <c r="F519" t="s">
        <v>688</v>
      </c>
      <c r="G519" t="s">
        <v>1628</v>
      </c>
      <c r="H519" t="s">
        <v>688</v>
      </c>
      <c r="I519" t="s">
        <v>688</v>
      </c>
      <c r="J519" t="s">
        <v>688</v>
      </c>
      <c r="K519" t="s">
        <v>688</v>
      </c>
      <c r="L519" t="s">
        <v>1629</v>
      </c>
      <c r="M519" t="s">
        <v>688</v>
      </c>
      <c r="O519" t="s">
        <v>1630</v>
      </c>
    </row>
    <row r="520" spans="1:15" ht="15">
      <c r="A520" s="9">
        <v>268</v>
      </c>
      <c r="B520" t="str">
        <f ca="1">IFERROR(__xludf.DUMMYFUNCTION((TRANSPOSE(ImportHTML("http://spending.data.al/sq/moneypower/view/id/268/year/2014",  "table", 0)))),"*Kategoria*")</f>
        <v>*Kategoria*</v>
      </c>
      <c r="C520" t="s">
        <v>673</v>
      </c>
      <c r="D520" t="s">
        <v>674</v>
      </c>
      <c r="E520" t="s">
        <v>675</v>
      </c>
      <c r="F520" t="s">
        <v>676</v>
      </c>
      <c r="G520" t="s">
        <v>677</v>
      </c>
      <c r="H520" t="s">
        <v>678</v>
      </c>
      <c r="I520" t="s">
        <v>679</v>
      </c>
      <c r="J520" t="s">
        <v>680</v>
      </c>
      <c r="K520" t="s">
        <v>681</v>
      </c>
      <c r="L520" t="s">
        <v>682</v>
      </c>
      <c r="M520" t="s">
        <v>683</v>
      </c>
      <c r="N520" t="s">
        <v>684</v>
      </c>
      <c r="O520" t="s">
        <v>685</v>
      </c>
    </row>
    <row r="521" spans="1:15" ht="15">
      <c r="A521" s="11"/>
      <c r="B521" t="s">
        <v>686</v>
      </c>
      <c r="C521" t="s">
        <v>1631</v>
      </c>
      <c r="D521" t="s">
        <v>1632</v>
      </c>
      <c r="E521" t="s">
        <v>688</v>
      </c>
      <c r="F521" t="s">
        <v>688</v>
      </c>
      <c r="G521" t="s">
        <v>688</v>
      </c>
      <c r="H521" t="s">
        <v>688</v>
      </c>
      <c r="I521" t="s">
        <v>688</v>
      </c>
      <c r="J521" t="s">
        <v>688</v>
      </c>
      <c r="K521" t="s">
        <v>688</v>
      </c>
      <c r="L521" t="s">
        <v>1633</v>
      </c>
      <c r="M521" t="s">
        <v>688</v>
      </c>
      <c r="O521" t="s">
        <v>1634</v>
      </c>
    </row>
    <row r="522" spans="1:15" ht="15">
      <c r="A522" s="9">
        <v>269</v>
      </c>
      <c r="B522" t="str">
        <f ca="1">IFERROR(__xludf.DUMMYFUNCTION((TRANSPOSE(ImportHTML("http://spending.data.al/sq/moneypower/view/id/269/year/2014",  "table", 0)))),"*Kategoria*")</f>
        <v>*Kategoria*</v>
      </c>
      <c r="C522" t="s">
        <v>673</v>
      </c>
      <c r="D522" t="s">
        <v>674</v>
      </c>
      <c r="E522" t="s">
        <v>675</v>
      </c>
      <c r="F522" t="s">
        <v>676</v>
      </c>
      <c r="G522" t="s">
        <v>677</v>
      </c>
      <c r="H522" t="s">
        <v>678</v>
      </c>
      <c r="I522" t="s">
        <v>679</v>
      </c>
      <c r="J522" t="s">
        <v>680</v>
      </c>
      <c r="K522" t="s">
        <v>681</v>
      </c>
      <c r="L522" t="s">
        <v>682</v>
      </c>
      <c r="M522" t="s">
        <v>683</v>
      </c>
      <c r="N522" t="s">
        <v>684</v>
      </c>
      <c r="O522" t="s">
        <v>685</v>
      </c>
    </row>
    <row r="523" spans="1:15" ht="15">
      <c r="A523" s="11"/>
      <c r="B523" t="s">
        <v>686</v>
      </c>
      <c r="C523" t="s">
        <v>1635</v>
      </c>
      <c r="D523" t="s">
        <v>688</v>
      </c>
      <c r="E523" t="s">
        <v>688</v>
      </c>
      <c r="F523" t="s">
        <v>688</v>
      </c>
      <c r="G523" t="s">
        <v>1636</v>
      </c>
      <c r="H523" t="s">
        <v>688</v>
      </c>
      <c r="I523" t="s">
        <v>688</v>
      </c>
      <c r="J523" t="s">
        <v>688</v>
      </c>
      <c r="K523" t="s">
        <v>688</v>
      </c>
      <c r="L523" t="s">
        <v>1637</v>
      </c>
      <c r="M523" t="s">
        <v>688</v>
      </c>
      <c r="O523" t="s">
        <v>1638</v>
      </c>
    </row>
    <row r="524" spans="1:15" ht="15">
      <c r="A524" s="9">
        <v>270</v>
      </c>
      <c r="B524" t="str">
        <f ca="1">IFERROR(__xludf.DUMMYFUNCTION((TRANSPOSE(ImportHTML("http://spending.data.al/sq/moneypower/view/id/270/year/2014",  "table", 0)))),"*Kategoria*")</f>
        <v>*Kategoria*</v>
      </c>
      <c r="C524" t="s">
        <v>673</v>
      </c>
      <c r="D524" t="s">
        <v>674</v>
      </c>
      <c r="E524" t="s">
        <v>675</v>
      </c>
      <c r="F524" t="s">
        <v>676</v>
      </c>
      <c r="G524" t="s">
        <v>677</v>
      </c>
      <c r="H524" t="s">
        <v>678</v>
      </c>
      <c r="I524" t="s">
        <v>679</v>
      </c>
      <c r="J524" t="s">
        <v>680</v>
      </c>
      <c r="K524" t="s">
        <v>681</v>
      </c>
      <c r="L524" t="s">
        <v>682</v>
      </c>
      <c r="M524" t="s">
        <v>683</v>
      </c>
      <c r="N524" t="s">
        <v>684</v>
      </c>
      <c r="O524" t="s">
        <v>685</v>
      </c>
    </row>
    <row r="525" spans="1:15" ht="15">
      <c r="A525" s="11"/>
      <c r="B525" t="s">
        <v>686</v>
      </c>
      <c r="C525" t="s">
        <v>1639</v>
      </c>
      <c r="D525" t="s">
        <v>688</v>
      </c>
      <c r="E525" t="s">
        <v>688</v>
      </c>
      <c r="F525" t="s">
        <v>688</v>
      </c>
      <c r="G525" t="s">
        <v>688</v>
      </c>
      <c r="H525" t="s">
        <v>1640</v>
      </c>
      <c r="I525" t="s">
        <v>688</v>
      </c>
      <c r="J525" t="s">
        <v>688</v>
      </c>
      <c r="K525" t="s">
        <v>688</v>
      </c>
      <c r="L525" t="s">
        <v>1641</v>
      </c>
      <c r="M525" t="s">
        <v>688</v>
      </c>
      <c r="O525" t="s">
        <v>1642</v>
      </c>
    </row>
    <row r="526" spans="1:15" ht="15">
      <c r="A526" s="9">
        <v>271</v>
      </c>
      <c r="B526" t="str">
        <f ca="1">IFERROR(__xludf.DUMMYFUNCTION((TRANSPOSE(ImportHTML("http://spending.data.al/sq/moneypower/view/id/271/year/2014",  "table", 0)))),"*Kategoria*")</f>
        <v>*Kategoria*</v>
      </c>
      <c r="C526" t="s">
        <v>673</v>
      </c>
      <c r="D526" t="s">
        <v>674</v>
      </c>
      <c r="E526" t="s">
        <v>675</v>
      </c>
      <c r="F526" t="s">
        <v>676</v>
      </c>
      <c r="G526" t="s">
        <v>677</v>
      </c>
      <c r="H526" t="s">
        <v>678</v>
      </c>
      <c r="I526" t="s">
        <v>679</v>
      </c>
      <c r="J526" t="s">
        <v>680</v>
      </c>
      <c r="K526" t="s">
        <v>681</v>
      </c>
      <c r="L526" t="s">
        <v>682</v>
      </c>
      <c r="M526" t="s">
        <v>683</v>
      </c>
      <c r="N526" t="s">
        <v>684</v>
      </c>
      <c r="O526" t="s">
        <v>685</v>
      </c>
    </row>
    <row r="527" spans="1:15" ht="15">
      <c r="A527" s="11"/>
      <c r="B527" t="s">
        <v>686</v>
      </c>
      <c r="C527" t="s">
        <v>1643</v>
      </c>
      <c r="D527" t="s">
        <v>688</v>
      </c>
      <c r="E527" t="s">
        <v>688</v>
      </c>
      <c r="F527" t="s">
        <v>1644</v>
      </c>
      <c r="H527" t="s">
        <v>688</v>
      </c>
      <c r="I527" t="s">
        <v>688</v>
      </c>
      <c r="J527" t="s">
        <v>1645</v>
      </c>
      <c r="K527" t="s">
        <v>688</v>
      </c>
      <c r="L527" t="s">
        <v>1646</v>
      </c>
      <c r="M527" t="s">
        <v>688</v>
      </c>
      <c r="O527" t="s">
        <v>1647</v>
      </c>
    </row>
    <row r="528" spans="1:15" ht="15">
      <c r="A528" s="9">
        <v>272</v>
      </c>
      <c r="B528" t="str">
        <f ca="1">IFERROR(__xludf.DUMMYFUNCTION((TRANSPOSE(ImportHTML("http://spending.data.al/sq/moneypower/view/id/272/year/2014",  "table", 0)))),"*Kategoria*")</f>
        <v>*Kategoria*</v>
      </c>
      <c r="C528" t="s">
        <v>673</v>
      </c>
      <c r="D528" t="s">
        <v>674</v>
      </c>
      <c r="E528" t="s">
        <v>675</v>
      </c>
      <c r="F528" t="s">
        <v>676</v>
      </c>
      <c r="G528" t="s">
        <v>677</v>
      </c>
      <c r="H528" t="s">
        <v>678</v>
      </c>
      <c r="I528" t="s">
        <v>679</v>
      </c>
      <c r="J528" t="s">
        <v>680</v>
      </c>
      <c r="K528" t="s">
        <v>681</v>
      </c>
      <c r="L528" t="s">
        <v>682</v>
      </c>
      <c r="M528" t="s">
        <v>683</v>
      </c>
      <c r="N528" t="s">
        <v>684</v>
      </c>
      <c r="O528" t="s">
        <v>685</v>
      </c>
    </row>
    <row r="529" spans="1:15" ht="15">
      <c r="A529" s="11"/>
      <c r="B529" t="s">
        <v>686</v>
      </c>
      <c r="C529" t="s">
        <v>1648</v>
      </c>
      <c r="D529" t="s">
        <v>688</v>
      </c>
      <c r="E529" t="s">
        <v>688</v>
      </c>
      <c r="F529" t="s">
        <v>688</v>
      </c>
      <c r="G529" t="s">
        <v>688</v>
      </c>
      <c r="H529" t="s">
        <v>688</v>
      </c>
      <c r="I529" t="s">
        <v>688</v>
      </c>
      <c r="J529" t="s">
        <v>688</v>
      </c>
      <c r="K529" t="s">
        <v>688</v>
      </c>
      <c r="L529" t="s">
        <v>1649</v>
      </c>
      <c r="M529" t="s">
        <v>688</v>
      </c>
      <c r="O529" t="s">
        <v>1650</v>
      </c>
    </row>
    <row r="530" spans="1:15" ht="15">
      <c r="A530" s="9">
        <v>273</v>
      </c>
      <c r="B530" t="str">
        <f ca="1">IFERROR(__xludf.DUMMYFUNCTION((TRANSPOSE(ImportHTML("http://spending.data.al/sq/moneypower/view/id/273/year/2014",  "table", 0)))),"*Kategoria*")</f>
        <v>*Kategoria*</v>
      </c>
      <c r="C530" t="s">
        <v>673</v>
      </c>
      <c r="D530" t="s">
        <v>674</v>
      </c>
      <c r="E530" t="s">
        <v>675</v>
      </c>
      <c r="F530" t="s">
        <v>676</v>
      </c>
      <c r="G530" t="s">
        <v>677</v>
      </c>
      <c r="H530" t="s">
        <v>678</v>
      </c>
      <c r="I530" t="s">
        <v>679</v>
      </c>
      <c r="J530" t="s">
        <v>680</v>
      </c>
      <c r="K530" t="s">
        <v>681</v>
      </c>
      <c r="L530" t="s">
        <v>682</v>
      </c>
      <c r="M530" t="s">
        <v>683</v>
      </c>
      <c r="N530" t="s">
        <v>684</v>
      </c>
      <c r="O530" t="s">
        <v>685</v>
      </c>
    </row>
    <row r="531" spans="1:15" ht="15">
      <c r="A531" s="11"/>
      <c r="B531" t="s">
        <v>686</v>
      </c>
      <c r="C531" t="s">
        <v>1651</v>
      </c>
      <c r="D531" t="s">
        <v>1652</v>
      </c>
      <c r="E531" t="s">
        <v>688</v>
      </c>
      <c r="F531" t="s">
        <v>688</v>
      </c>
      <c r="G531" t="s">
        <v>1653</v>
      </c>
      <c r="H531" t="s">
        <v>688</v>
      </c>
      <c r="I531" t="s">
        <v>688</v>
      </c>
      <c r="J531" t="s">
        <v>688</v>
      </c>
      <c r="K531" t="s">
        <v>688</v>
      </c>
      <c r="L531" t="s">
        <v>1654</v>
      </c>
      <c r="M531" t="s">
        <v>688</v>
      </c>
      <c r="O531" t="s">
        <v>1655</v>
      </c>
    </row>
    <row r="532" spans="1:15" ht="15">
      <c r="A532" s="9">
        <v>274</v>
      </c>
      <c r="B532" t="str">
        <f ca="1">IFERROR(__xludf.DUMMYFUNCTION((TRANSPOSE(ImportHTML("http://spending.data.al/sq/moneypower/view/id/274/year/2014",  "table", 0)))),"*Kategoria*")</f>
        <v>*Kategoria*</v>
      </c>
      <c r="C532" t="s">
        <v>673</v>
      </c>
      <c r="D532" t="s">
        <v>674</v>
      </c>
      <c r="E532" t="s">
        <v>675</v>
      </c>
      <c r="F532" t="s">
        <v>676</v>
      </c>
      <c r="G532" t="s">
        <v>677</v>
      </c>
      <c r="H532" t="s">
        <v>678</v>
      </c>
      <c r="I532" t="s">
        <v>679</v>
      </c>
      <c r="J532" t="s">
        <v>680</v>
      </c>
      <c r="K532" t="s">
        <v>681</v>
      </c>
      <c r="L532" t="s">
        <v>682</v>
      </c>
      <c r="M532" t="s">
        <v>683</v>
      </c>
      <c r="N532" t="s">
        <v>684</v>
      </c>
      <c r="O532" t="s">
        <v>685</v>
      </c>
    </row>
    <row r="533" spans="1:15" ht="15">
      <c r="A533" s="11"/>
      <c r="B533" t="s">
        <v>686</v>
      </c>
      <c r="C533" t="s">
        <v>1656</v>
      </c>
      <c r="D533" t="s">
        <v>688</v>
      </c>
      <c r="E533" t="s">
        <v>688</v>
      </c>
      <c r="F533" t="s">
        <v>688</v>
      </c>
      <c r="G533" t="s">
        <v>688</v>
      </c>
      <c r="H533" t="s">
        <v>688</v>
      </c>
      <c r="I533" t="s">
        <v>688</v>
      </c>
      <c r="J533" t="s">
        <v>688</v>
      </c>
      <c r="K533" t="s">
        <v>688</v>
      </c>
      <c r="L533" t="s">
        <v>1657</v>
      </c>
      <c r="M533" t="s">
        <v>688</v>
      </c>
      <c r="O533" t="s">
        <v>1658</v>
      </c>
    </row>
    <row r="534" spans="1:15" ht="15">
      <c r="A534" s="9">
        <v>275</v>
      </c>
      <c r="B534" t="str">
        <f ca="1">IFERROR(__xludf.DUMMYFUNCTION((TRANSPOSE(ImportHTML("http://spending.data.al/sq/moneypower/view/id/275/year/2014",  "table", 0)))),"*Kategoria*")</f>
        <v>*Kategoria*</v>
      </c>
      <c r="C534" t="s">
        <v>673</v>
      </c>
      <c r="D534" t="s">
        <v>674</v>
      </c>
      <c r="E534" t="s">
        <v>675</v>
      </c>
      <c r="F534" t="s">
        <v>676</v>
      </c>
      <c r="G534" t="s">
        <v>677</v>
      </c>
      <c r="H534" t="s">
        <v>678</v>
      </c>
      <c r="I534" t="s">
        <v>679</v>
      </c>
      <c r="J534" t="s">
        <v>680</v>
      </c>
      <c r="K534" t="s">
        <v>681</v>
      </c>
      <c r="L534" t="s">
        <v>682</v>
      </c>
      <c r="M534" t="s">
        <v>683</v>
      </c>
      <c r="N534" t="s">
        <v>684</v>
      </c>
      <c r="O534" t="s">
        <v>685</v>
      </c>
    </row>
    <row r="535" spans="1:15" ht="15">
      <c r="A535" s="11"/>
      <c r="B535" t="s">
        <v>686</v>
      </c>
      <c r="C535" t="s">
        <v>1659</v>
      </c>
      <c r="D535" t="s">
        <v>688</v>
      </c>
      <c r="E535" t="s">
        <v>688</v>
      </c>
      <c r="F535" t="s">
        <v>688</v>
      </c>
      <c r="G535" t="s">
        <v>688</v>
      </c>
      <c r="H535" t="s">
        <v>688</v>
      </c>
      <c r="I535" t="s">
        <v>688</v>
      </c>
      <c r="J535" t="s">
        <v>688</v>
      </c>
      <c r="K535" t="s">
        <v>688</v>
      </c>
      <c r="L535" t="s">
        <v>1660</v>
      </c>
      <c r="M535" t="s">
        <v>688</v>
      </c>
      <c r="O535" t="s">
        <v>1661</v>
      </c>
    </row>
    <row r="536" spans="1:15" ht="15">
      <c r="A536" s="9">
        <v>276</v>
      </c>
      <c r="B536" t="str">
        <f ca="1">IFERROR(__xludf.DUMMYFUNCTION((TRANSPOSE(ImportHTML("http://spending.data.al/sq/moneypower/view/id/276/year/2014",  "table", 0)))),"*Kategoria*")</f>
        <v>*Kategoria*</v>
      </c>
      <c r="C536" t="s">
        <v>673</v>
      </c>
      <c r="D536" t="s">
        <v>674</v>
      </c>
      <c r="E536" t="s">
        <v>675</v>
      </c>
      <c r="F536" t="s">
        <v>676</v>
      </c>
      <c r="G536" t="s">
        <v>677</v>
      </c>
      <c r="H536" t="s">
        <v>678</v>
      </c>
      <c r="I536" t="s">
        <v>679</v>
      </c>
      <c r="J536" t="s">
        <v>680</v>
      </c>
      <c r="K536" t="s">
        <v>681</v>
      </c>
      <c r="L536" t="s">
        <v>682</v>
      </c>
      <c r="M536" t="s">
        <v>683</v>
      </c>
      <c r="N536" t="s">
        <v>684</v>
      </c>
      <c r="O536" t="s">
        <v>685</v>
      </c>
    </row>
    <row r="537" spans="1:15" ht="15">
      <c r="A537" s="11"/>
      <c r="B537" t="s">
        <v>686</v>
      </c>
      <c r="C537" t="s">
        <v>1662</v>
      </c>
      <c r="D537" t="s">
        <v>688</v>
      </c>
      <c r="E537" t="s">
        <v>1663</v>
      </c>
      <c r="F537" t="s">
        <v>1664</v>
      </c>
      <c r="G537" t="s">
        <v>1665</v>
      </c>
      <c r="H537" t="s">
        <v>688</v>
      </c>
      <c r="I537" t="s">
        <v>688</v>
      </c>
      <c r="J537" t="s">
        <v>688</v>
      </c>
      <c r="K537" t="s">
        <v>688</v>
      </c>
      <c r="L537" t="s">
        <v>1666</v>
      </c>
      <c r="M537" t="s">
        <v>1667</v>
      </c>
      <c r="O537" t="s">
        <v>1668</v>
      </c>
    </row>
    <row r="538" spans="1:15" ht="15">
      <c r="A538" s="9">
        <v>277</v>
      </c>
      <c r="B538" t="str">
        <f ca="1">IFERROR(__xludf.DUMMYFUNCTION((TRANSPOSE(ImportHTML("http://spending.data.al/sq/moneypower/view/id/277/year/2014",  "table", 0)))),"*Kategoria*")</f>
        <v>*Kategoria*</v>
      </c>
      <c r="C538" t="s">
        <v>673</v>
      </c>
      <c r="D538" t="s">
        <v>674</v>
      </c>
      <c r="E538" t="s">
        <v>675</v>
      </c>
      <c r="F538" t="s">
        <v>676</v>
      </c>
      <c r="G538" t="s">
        <v>677</v>
      </c>
      <c r="H538" t="s">
        <v>678</v>
      </c>
      <c r="I538" t="s">
        <v>679</v>
      </c>
      <c r="J538" t="s">
        <v>680</v>
      </c>
      <c r="K538" t="s">
        <v>681</v>
      </c>
      <c r="L538" t="s">
        <v>682</v>
      </c>
      <c r="M538" t="s">
        <v>683</v>
      </c>
      <c r="N538" t="s">
        <v>684</v>
      </c>
      <c r="O538" t="s">
        <v>685</v>
      </c>
    </row>
    <row r="539" spans="1:15" ht="15">
      <c r="A539" s="11"/>
      <c r="B539" t="s">
        <v>686</v>
      </c>
      <c r="C539" t="s">
        <v>1669</v>
      </c>
      <c r="D539" t="s">
        <v>688</v>
      </c>
      <c r="E539" t="s">
        <v>688</v>
      </c>
      <c r="F539" t="s">
        <v>688</v>
      </c>
      <c r="G539" t="s">
        <v>688</v>
      </c>
      <c r="H539" t="s">
        <v>1670</v>
      </c>
      <c r="I539" t="s">
        <v>688</v>
      </c>
      <c r="J539" t="s">
        <v>688</v>
      </c>
      <c r="K539" t="s">
        <v>688</v>
      </c>
      <c r="L539" t="s">
        <v>688</v>
      </c>
      <c r="M539" t="s">
        <v>688</v>
      </c>
      <c r="O539" t="s">
        <v>1671</v>
      </c>
    </row>
    <row r="540" spans="1:15" ht="15">
      <c r="A540" s="9">
        <v>278</v>
      </c>
      <c r="B540" t="str">
        <f ca="1">IFERROR(__xludf.DUMMYFUNCTION((TRANSPOSE(ImportHTML("http://spending.data.al/sq/moneypower/view/id/278/year/2014",  "table", 0)))),"*Kategoria*")</f>
        <v>*Kategoria*</v>
      </c>
      <c r="C540" t="s">
        <v>673</v>
      </c>
      <c r="D540" t="s">
        <v>674</v>
      </c>
      <c r="E540" t="s">
        <v>675</v>
      </c>
      <c r="F540" t="s">
        <v>676</v>
      </c>
      <c r="G540" t="s">
        <v>677</v>
      </c>
      <c r="H540" t="s">
        <v>678</v>
      </c>
      <c r="I540" t="s">
        <v>679</v>
      </c>
      <c r="J540" t="s">
        <v>680</v>
      </c>
      <c r="K540" t="s">
        <v>681</v>
      </c>
      <c r="L540" t="s">
        <v>682</v>
      </c>
      <c r="M540" t="s">
        <v>683</v>
      </c>
      <c r="N540" t="s">
        <v>684</v>
      </c>
      <c r="O540" t="s">
        <v>685</v>
      </c>
    </row>
    <row r="541" spans="1:15" ht="15">
      <c r="A541" s="11"/>
      <c r="B541" t="s">
        <v>686</v>
      </c>
      <c r="C541" t="s">
        <v>1672</v>
      </c>
      <c r="D541" t="s">
        <v>688</v>
      </c>
      <c r="E541" t="s">
        <v>688</v>
      </c>
      <c r="F541" t="s">
        <v>688</v>
      </c>
      <c r="G541" t="s">
        <v>1673</v>
      </c>
      <c r="H541" t="s">
        <v>688</v>
      </c>
      <c r="I541" t="s">
        <v>688</v>
      </c>
      <c r="J541" t="s">
        <v>688</v>
      </c>
      <c r="K541" t="s">
        <v>688</v>
      </c>
      <c r="L541" t="s">
        <v>1674</v>
      </c>
      <c r="M541" t="s">
        <v>688</v>
      </c>
      <c r="O541" t="s">
        <v>1675</v>
      </c>
    </row>
    <row r="542" spans="1:15" ht="15">
      <c r="A542" s="9">
        <v>279</v>
      </c>
      <c r="B542" t="str">
        <f ca="1">IFERROR(__xludf.DUMMYFUNCTION((TRANSPOSE(ImportHTML("http://spending.data.al/sq/moneypower/view/id/279/year/2014",  "table", 0)))),"*Kategoria*")</f>
        <v>*Kategoria*</v>
      </c>
      <c r="C542" t="s">
        <v>673</v>
      </c>
      <c r="D542" t="s">
        <v>674</v>
      </c>
      <c r="E542" t="s">
        <v>675</v>
      </c>
      <c r="F542" t="s">
        <v>676</v>
      </c>
      <c r="G542" t="s">
        <v>677</v>
      </c>
      <c r="H542" t="s">
        <v>678</v>
      </c>
      <c r="I542" t="s">
        <v>679</v>
      </c>
      <c r="J542" t="s">
        <v>680</v>
      </c>
      <c r="K542" t="s">
        <v>681</v>
      </c>
      <c r="L542" t="s">
        <v>682</v>
      </c>
      <c r="M542" t="s">
        <v>683</v>
      </c>
      <c r="N542" t="s">
        <v>684</v>
      </c>
      <c r="O542" t="s">
        <v>685</v>
      </c>
    </row>
    <row r="543" spans="1:15" ht="15">
      <c r="A543" s="11"/>
      <c r="B543" t="s">
        <v>686</v>
      </c>
      <c r="C543" t="s">
        <v>1676</v>
      </c>
      <c r="D543" t="s">
        <v>688</v>
      </c>
      <c r="E543" t="s">
        <v>688</v>
      </c>
      <c r="F543" t="s">
        <v>688</v>
      </c>
      <c r="G543" t="s">
        <v>688</v>
      </c>
      <c r="H543" t="s">
        <v>688</v>
      </c>
      <c r="I543" t="s">
        <v>688</v>
      </c>
      <c r="J543" t="s">
        <v>688</v>
      </c>
      <c r="K543" t="s">
        <v>688</v>
      </c>
      <c r="L543" t="s">
        <v>1677</v>
      </c>
      <c r="M543" t="s">
        <v>688</v>
      </c>
      <c r="O543" t="s">
        <v>1678</v>
      </c>
    </row>
    <row r="544" spans="1:15" ht="15">
      <c r="A544" s="9">
        <v>280</v>
      </c>
      <c r="B544" t="str">
        <f ca="1">IFERROR(__xludf.DUMMYFUNCTION((TRANSPOSE(ImportHTML("http://spending.data.al/sq/moneypower/view/id/280/year/2014",  "table", 0)))),"*Kategoria*")</f>
        <v>*Kategoria*</v>
      </c>
      <c r="C544" t="s">
        <v>673</v>
      </c>
      <c r="D544" t="s">
        <v>674</v>
      </c>
      <c r="E544" t="s">
        <v>675</v>
      </c>
      <c r="F544" t="s">
        <v>676</v>
      </c>
      <c r="G544" t="s">
        <v>677</v>
      </c>
      <c r="H544" t="s">
        <v>678</v>
      </c>
      <c r="I544" t="s">
        <v>679</v>
      </c>
      <c r="J544" t="s">
        <v>680</v>
      </c>
      <c r="K544" t="s">
        <v>681</v>
      </c>
      <c r="L544" t="s">
        <v>682</v>
      </c>
      <c r="M544" t="s">
        <v>683</v>
      </c>
      <c r="N544" t="s">
        <v>684</v>
      </c>
      <c r="O544" t="s">
        <v>685</v>
      </c>
    </row>
    <row r="545" spans="1:15" ht="15">
      <c r="A545" s="11"/>
      <c r="B545" t="s">
        <v>686</v>
      </c>
      <c r="C545" t="s">
        <v>1679</v>
      </c>
      <c r="D545" t="s">
        <v>688</v>
      </c>
      <c r="E545" t="s">
        <v>688</v>
      </c>
      <c r="F545" t="s">
        <v>688</v>
      </c>
      <c r="G545" t="s">
        <v>688</v>
      </c>
      <c r="H545" t="s">
        <v>688</v>
      </c>
      <c r="I545" t="s">
        <v>688</v>
      </c>
      <c r="J545" t="s">
        <v>688</v>
      </c>
      <c r="K545" t="s">
        <v>688</v>
      </c>
      <c r="L545" t="s">
        <v>688</v>
      </c>
      <c r="M545" t="s">
        <v>688</v>
      </c>
      <c r="O545" t="s">
        <v>688</v>
      </c>
    </row>
    <row r="546" spans="1:15" ht="15">
      <c r="A546" s="9">
        <v>281</v>
      </c>
      <c r="B546" t="str">
        <f ca="1">IFERROR(__xludf.DUMMYFUNCTION((TRANSPOSE(ImportHTML("http://spending.data.al/sq/moneypower/view/id/281/year/2014",  "table", 0)))),"*Kategoria*")</f>
        <v>*Kategoria*</v>
      </c>
      <c r="C546" t="s">
        <v>673</v>
      </c>
      <c r="D546" t="s">
        <v>674</v>
      </c>
      <c r="E546" t="s">
        <v>675</v>
      </c>
      <c r="F546" t="s">
        <v>676</v>
      </c>
      <c r="G546" t="s">
        <v>677</v>
      </c>
      <c r="H546" t="s">
        <v>678</v>
      </c>
      <c r="I546" t="s">
        <v>679</v>
      </c>
      <c r="J546" t="s">
        <v>680</v>
      </c>
      <c r="K546" t="s">
        <v>681</v>
      </c>
      <c r="L546" t="s">
        <v>682</v>
      </c>
      <c r="M546" t="s">
        <v>683</v>
      </c>
      <c r="N546" t="s">
        <v>684</v>
      </c>
      <c r="O546" t="s">
        <v>685</v>
      </c>
    </row>
    <row r="547" spans="1:15" ht="15">
      <c r="A547" s="11"/>
      <c r="B547" t="s">
        <v>686</v>
      </c>
      <c r="C547" t="s">
        <v>1680</v>
      </c>
      <c r="D547" t="s">
        <v>688</v>
      </c>
      <c r="E547" t="s">
        <v>688</v>
      </c>
      <c r="F547" t="s">
        <v>688</v>
      </c>
      <c r="G547" t="s">
        <v>688</v>
      </c>
      <c r="H547" t="s">
        <v>688</v>
      </c>
      <c r="I547" t="s">
        <v>688</v>
      </c>
      <c r="J547" t="s">
        <v>688</v>
      </c>
      <c r="K547" t="s">
        <v>688</v>
      </c>
      <c r="L547" t="s">
        <v>1681</v>
      </c>
      <c r="M547" t="s">
        <v>688</v>
      </c>
      <c r="O547" t="s">
        <v>1682</v>
      </c>
    </row>
    <row r="548" spans="1:15" ht="15">
      <c r="A548" s="9">
        <v>282</v>
      </c>
      <c r="B548" t="str">
        <f ca="1">IFERROR(__xludf.DUMMYFUNCTION((TRANSPOSE(ImportHTML("http://spending.data.al/sq/moneypower/view/id/282/year/2014",  "table", 0)))),"*Kategoria*")</f>
        <v>*Kategoria*</v>
      </c>
      <c r="C548" t="s">
        <v>673</v>
      </c>
      <c r="D548" t="s">
        <v>674</v>
      </c>
      <c r="E548" t="s">
        <v>675</v>
      </c>
      <c r="F548" t="s">
        <v>676</v>
      </c>
      <c r="G548" t="s">
        <v>677</v>
      </c>
      <c r="H548" t="s">
        <v>678</v>
      </c>
      <c r="I548" t="s">
        <v>679</v>
      </c>
      <c r="J548" t="s">
        <v>680</v>
      </c>
      <c r="K548" t="s">
        <v>681</v>
      </c>
      <c r="L548" t="s">
        <v>682</v>
      </c>
      <c r="M548" t="s">
        <v>683</v>
      </c>
      <c r="N548" t="s">
        <v>684</v>
      </c>
      <c r="O548" t="s">
        <v>685</v>
      </c>
    </row>
    <row r="549" spans="1:15" ht="15">
      <c r="A549" s="11"/>
      <c r="B549" t="s">
        <v>686</v>
      </c>
      <c r="C549" t="s">
        <v>1683</v>
      </c>
      <c r="D549" t="s">
        <v>1684</v>
      </c>
      <c r="E549" t="s">
        <v>1685</v>
      </c>
      <c r="F549" t="s">
        <v>688</v>
      </c>
      <c r="G549" t="s">
        <v>688</v>
      </c>
      <c r="H549" t="s">
        <v>688</v>
      </c>
      <c r="I549" t="s">
        <v>688</v>
      </c>
      <c r="J549" t="s">
        <v>688</v>
      </c>
      <c r="K549" t="s">
        <v>688</v>
      </c>
      <c r="L549" t="s">
        <v>1686</v>
      </c>
      <c r="M549" t="s">
        <v>688</v>
      </c>
      <c r="O549" t="s">
        <v>1687</v>
      </c>
    </row>
    <row r="550" spans="1:15" ht="15">
      <c r="A550" s="9">
        <v>283</v>
      </c>
      <c r="B550" t="str">
        <f ca="1">IFERROR(__xludf.DUMMYFUNCTION((TRANSPOSE(ImportHTML("http://spending.data.al/sq/moneypower/view/id/283/year/2014",  "table", 0)))),"*Kategoria*")</f>
        <v>*Kategoria*</v>
      </c>
      <c r="C550" t="s">
        <v>673</v>
      </c>
      <c r="D550" t="s">
        <v>674</v>
      </c>
      <c r="E550" t="s">
        <v>675</v>
      </c>
      <c r="F550" t="s">
        <v>676</v>
      </c>
      <c r="G550" t="s">
        <v>677</v>
      </c>
      <c r="H550" t="s">
        <v>678</v>
      </c>
      <c r="I550" t="s">
        <v>679</v>
      </c>
      <c r="J550" t="s">
        <v>680</v>
      </c>
      <c r="K550" t="s">
        <v>681</v>
      </c>
      <c r="L550" t="s">
        <v>682</v>
      </c>
      <c r="M550" t="s">
        <v>683</v>
      </c>
      <c r="N550" t="s">
        <v>684</v>
      </c>
      <c r="O550" t="s">
        <v>685</v>
      </c>
    </row>
    <row r="551" spans="1:15" ht="15">
      <c r="A551" s="11"/>
      <c r="B551" t="s">
        <v>686</v>
      </c>
      <c r="C551" t="s">
        <v>688</v>
      </c>
      <c r="D551" t="s">
        <v>688</v>
      </c>
      <c r="E551" t="s">
        <v>688</v>
      </c>
      <c r="F551" t="s">
        <v>688</v>
      </c>
      <c r="G551" t="s">
        <v>688</v>
      </c>
      <c r="H551" t="s">
        <v>688</v>
      </c>
      <c r="I551" t="s">
        <v>688</v>
      </c>
      <c r="J551" t="s">
        <v>688</v>
      </c>
      <c r="K551" t="s">
        <v>688</v>
      </c>
      <c r="L551" t="s">
        <v>688</v>
      </c>
      <c r="M551" t="s">
        <v>688</v>
      </c>
      <c r="O551" t="s">
        <v>1688</v>
      </c>
    </row>
    <row r="552" spans="1:15" ht="15">
      <c r="A552" s="9">
        <v>284</v>
      </c>
      <c r="B552" t="str">
        <f ca="1">IFERROR(__xludf.DUMMYFUNCTION((TRANSPOSE(ImportHTML("http://spending.data.al/sq/moneypower/view/id/284/year/2014",  "table", 0)))),"*Kategoria*")</f>
        <v>*Kategoria*</v>
      </c>
      <c r="C552" t="s">
        <v>673</v>
      </c>
      <c r="D552" t="s">
        <v>674</v>
      </c>
      <c r="E552" t="s">
        <v>675</v>
      </c>
      <c r="F552" t="s">
        <v>676</v>
      </c>
      <c r="G552" t="s">
        <v>677</v>
      </c>
      <c r="H552" t="s">
        <v>678</v>
      </c>
      <c r="I552" t="s">
        <v>679</v>
      </c>
      <c r="J552" t="s">
        <v>680</v>
      </c>
      <c r="K552" t="s">
        <v>681</v>
      </c>
      <c r="L552" t="s">
        <v>682</v>
      </c>
      <c r="M552" t="s">
        <v>683</v>
      </c>
      <c r="N552" t="s">
        <v>684</v>
      </c>
      <c r="O552" t="s">
        <v>685</v>
      </c>
    </row>
    <row r="553" spans="1:15" ht="15">
      <c r="A553" s="11"/>
      <c r="B553" t="s">
        <v>686</v>
      </c>
      <c r="C553" t="s">
        <v>1689</v>
      </c>
      <c r="D553" t="s">
        <v>688</v>
      </c>
      <c r="E553" t="s">
        <v>688</v>
      </c>
      <c r="F553" t="s">
        <v>688</v>
      </c>
      <c r="G553" t="s">
        <v>688</v>
      </c>
      <c r="H553" t="s">
        <v>688</v>
      </c>
      <c r="I553" t="s">
        <v>688</v>
      </c>
      <c r="J553" t="s">
        <v>688</v>
      </c>
      <c r="K553" t="s">
        <v>688</v>
      </c>
      <c r="L553" t="s">
        <v>1690</v>
      </c>
      <c r="M553" t="s">
        <v>688</v>
      </c>
      <c r="O553" t="s">
        <v>1691</v>
      </c>
    </row>
    <row r="554" spans="1:15" ht="15">
      <c r="A554" s="9">
        <v>285</v>
      </c>
      <c r="B554" t="str">
        <f ca="1">IFERROR(__xludf.DUMMYFUNCTION((TRANSPOSE(ImportHTML("http://spending.data.al/sq/moneypower/view/id/285/year/2014",  "table", 0)))),"*Kategoria*")</f>
        <v>*Kategoria*</v>
      </c>
      <c r="C554" t="s">
        <v>673</v>
      </c>
      <c r="D554" t="s">
        <v>674</v>
      </c>
      <c r="E554" t="s">
        <v>675</v>
      </c>
      <c r="F554" t="s">
        <v>676</v>
      </c>
      <c r="G554" t="s">
        <v>677</v>
      </c>
      <c r="H554" t="s">
        <v>678</v>
      </c>
      <c r="I554" t="s">
        <v>679</v>
      </c>
      <c r="J554" t="s">
        <v>680</v>
      </c>
      <c r="K554" t="s">
        <v>681</v>
      </c>
      <c r="L554" t="s">
        <v>682</v>
      </c>
      <c r="M554" t="s">
        <v>683</v>
      </c>
      <c r="N554" t="s">
        <v>684</v>
      </c>
      <c r="O554" t="s">
        <v>685</v>
      </c>
    </row>
    <row r="555" spans="1:15" ht="15">
      <c r="A555" s="11"/>
      <c r="B555" t="s">
        <v>686</v>
      </c>
      <c r="C555" t="s">
        <v>1692</v>
      </c>
      <c r="D555" t="s">
        <v>688</v>
      </c>
      <c r="E555" t="s">
        <v>688</v>
      </c>
      <c r="F555" t="s">
        <v>688</v>
      </c>
      <c r="G555" t="s">
        <v>1693</v>
      </c>
      <c r="H555" t="s">
        <v>688</v>
      </c>
      <c r="I555" t="s">
        <v>688</v>
      </c>
      <c r="J555" t="s">
        <v>1694</v>
      </c>
      <c r="K555" t="s">
        <v>688</v>
      </c>
      <c r="L555" t="s">
        <v>1695</v>
      </c>
      <c r="M555" t="s">
        <v>688</v>
      </c>
      <c r="O555" t="s">
        <v>1696</v>
      </c>
    </row>
    <row r="556" spans="1:15" ht="15">
      <c r="A556" s="9">
        <v>286</v>
      </c>
      <c r="B556" t="str">
        <f ca="1">IFERROR(__xludf.DUMMYFUNCTION((TRANSPOSE(ImportHTML("http://spending.data.al/sq/moneypower/view/id/286/year/2014",  "table", 0)))),"*Kategoria*")</f>
        <v>*Kategoria*</v>
      </c>
      <c r="C556" t="s">
        <v>673</v>
      </c>
      <c r="D556" t="s">
        <v>674</v>
      </c>
      <c r="E556" t="s">
        <v>675</v>
      </c>
      <c r="F556" t="s">
        <v>676</v>
      </c>
      <c r="G556" t="s">
        <v>677</v>
      </c>
      <c r="H556" t="s">
        <v>678</v>
      </c>
      <c r="I556" t="s">
        <v>679</v>
      </c>
      <c r="J556" t="s">
        <v>680</v>
      </c>
      <c r="K556" t="s">
        <v>681</v>
      </c>
      <c r="L556" t="s">
        <v>682</v>
      </c>
      <c r="M556" t="s">
        <v>683</v>
      </c>
      <c r="N556" t="s">
        <v>684</v>
      </c>
      <c r="O556" t="s">
        <v>685</v>
      </c>
    </row>
    <row r="557" spans="1:15" ht="15">
      <c r="A557" s="11"/>
      <c r="B557" t="s">
        <v>686</v>
      </c>
      <c r="C557" t="s">
        <v>1697</v>
      </c>
      <c r="D557" t="s">
        <v>688</v>
      </c>
      <c r="E557" t="s">
        <v>688</v>
      </c>
      <c r="F557" t="s">
        <v>688</v>
      </c>
      <c r="G557" t="s">
        <v>688</v>
      </c>
      <c r="H557" t="s">
        <v>688</v>
      </c>
      <c r="I557" t="s">
        <v>688</v>
      </c>
      <c r="J557" t="s">
        <v>688</v>
      </c>
      <c r="K557" t="s">
        <v>688</v>
      </c>
      <c r="L557" t="s">
        <v>1698</v>
      </c>
      <c r="M557" t="s">
        <v>688</v>
      </c>
      <c r="O557" t="s">
        <v>1699</v>
      </c>
    </row>
    <row r="558" spans="1:15" ht="15">
      <c r="A558" s="9">
        <v>287</v>
      </c>
      <c r="B558" t="str">
        <f ca="1">IFERROR(__xludf.DUMMYFUNCTION((TRANSPOSE(ImportHTML("http://spending.data.al/sq/moneypower/view/id/287/year/2014",  "table", 0)))),"*Kategoria*")</f>
        <v>*Kategoria*</v>
      </c>
      <c r="C558" t="s">
        <v>673</v>
      </c>
      <c r="D558" t="s">
        <v>674</v>
      </c>
      <c r="E558" t="s">
        <v>675</v>
      </c>
      <c r="F558" t="s">
        <v>676</v>
      </c>
      <c r="G558" t="s">
        <v>677</v>
      </c>
      <c r="H558" t="s">
        <v>678</v>
      </c>
      <c r="I558" t="s">
        <v>679</v>
      </c>
      <c r="J558" t="s">
        <v>680</v>
      </c>
      <c r="K558" t="s">
        <v>681</v>
      </c>
      <c r="L558" t="s">
        <v>682</v>
      </c>
      <c r="M558" t="s">
        <v>683</v>
      </c>
      <c r="N558" t="s">
        <v>684</v>
      </c>
      <c r="O558" t="s">
        <v>685</v>
      </c>
    </row>
    <row r="559" spans="1:15" ht="15">
      <c r="A559" s="11"/>
      <c r="B559" t="s">
        <v>686</v>
      </c>
      <c r="C559" t="s">
        <v>1700</v>
      </c>
      <c r="D559" t="s">
        <v>688</v>
      </c>
      <c r="E559" t="s">
        <v>688</v>
      </c>
      <c r="F559" t="s">
        <v>688</v>
      </c>
      <c r="G559" t="s">
        <v>688</v>
      </c>
      <c r="H559" t="s">
        <v>688</v>
      </c>
      <c r="I559" t="s">
        <v>688</v>
      </c>
      <c r="J559" t="s">
        <v>688</v>
      </c>
      <c r="K559" t="s">
        <v>688</v>
      </c>
      <c r="L559" t="s">
        <v>1701</v>
      </c>
      <c r="M559" t="s">
        <v>688</v>
      </c>
      <c r="O559" t="s">
        <v>1702</v>
      </c>
    </row>
    <row r="560" spans="1:15" ht="15">
      <c r="A560" s="9">
        <v>288</v>
      </c>
      <c r="B560" t="str">
        <f ca="1">IFERROR(__xludf.DUMMYFUNCTION((TRANSPOSE(ImportHTML("http://spending.data.al/sq/moneypower/view/id/288/year/2014",  "table", 0)))),"*Kategoria*")</f>
        <v>*Kategoria*</v>
      </c>
      <c r="C560" t="s">
        <v>673</v>
      </c>
      <c r="D560" t="s">
        <v>674</v>
      </c>
      <c r="E560" t="s">
        <v>675</v>
      </c>
      <c r="F560" t="s">
        <v>676</v>
      </c>
      <c r="G560" t="s">
        <v>677</v>
      </c>
      <c r="H560" t="s">
        <v>678</v>
      </c>
      <c r="I560" t="s">
        <v>679</v>
      </c>
      <c r="J560" t="s">
        <v>680</v>
      </c>
      <c r="K560" t="s">
        <v>681</v>
      </c>
      <c r="L560" t="s">
        <v>682</v>
      </c>
      <c r="M560" t="s">
        <v>683</v>
      </c>
      <c r="N560" t="s">
        <v>684</v>
      </c>
      <c r="O560" t="s">
        <v>685</v>
      </c>
    </row>
    <row r="561" spans="1:15" ht="15">
      <c r="A561" s="11"/>
      <c r="B561" t="s">
        <v>686</v>
      </c>
      <c r="C561" t="s">
        <v>1703</v>
      </c>
      <c r="D561" t="s">
        <v>688</v>
      </c>
      <c r="E561" t="s">
        <v>688</v>
      </c>
      <c r="F561" t="s">
        <v>688</v>
      </c>
      <c r="G561" t="s">
        <v>688</v>
      </c>
      <c r="H561" t="s">
        <v>688</v>
      </c>
      <c r="I561" t="s">
        <v>688</v>
      </c>
      <c r="J561" t="s">
        <v>688</v>
      </c>
      <c r="K561" t="s">
        <v>688</v>
      </c>
      <c r="L561" t="s">
        <v>1704</v>
      </c>
      <c r="M561" t="s">
        <v>688</v>
      </c>
      <c r="O561" t="s">
        <v>1705</v>
      </c>
    </row>
    <row r="562" spans="1:15" ht="15">
      <c r="A562" s="9">
        <v>289</v>
      </c>
      <c r="B562" t="str">
        <f ca="1">IFERROR(__xludf.DUMMYFUNCTION((TRANSPOSE(ImportHTML("http://spending.data.al/sq/moneypower/view/id/289/year/2014",  "table", 0)))),"*Kategoria*")</f>
        <v>*Kategoria*</v>
      </c>
      <c r="C562" t="s">
        <v>673</v>
      </c>
      <c r="D562" t="s">
        <v>674</v>
      </c>
      <c r="E562" t="s">
        <v>675</v>
      </c>
      <c r="F562" t="s">
        <v>676</v>
      </c>
      <c r="G562" t="s">
        <v>677</v>
      </c>
      <c r="H562" t="s">
        <v>678</v>
      </c>
      <c r="I562" t="s">
        <v>679</v>
      </c>
      <c r="J562" t="s">
        <v>680</v>
      </c>
      <c r="K562" t="s">
        <v>681</v>
      </c>
      <c r="L562" t="s">
        <v>682</v>
      </c>
      <c r="M562" t="s">
        <v>683</v>
      </c>
      <c r="N562" t="s">
        <v>684</v>
      </c>
      <c r="O562" t="s">
        <v>685</v>
      </c>
    </row>
    <row r="563" spans="1:15" ht="15">
      <c r="A563" s="11"/>
      <c r="B563" t="s">
        <v>686</v>
      </c>
      <c r="C563" t="s">
        <v>1706</v>
      </c>
      <c r="D563" t="s">
        <v>688</v>
      </c>
      <c r="E563" t="s">
        <v>688</v>
      </c>
      <c r="F563" t="s">
        <v>1707</v>
      </c>
      <c r="G563" t="s">
        <v>688</v>
      </c>
      <c r="H563" t="s">
        <v>688</v>
      </c>
      <c r="I563" t="s">
        <v>688</v>
      </c>
      <c r="J563" t="s">
        <v>688</v>
      </c>
      <c r="K563" t="s">
        <v>688</v>
      </c>
      <c r="L563" t="s">
        <v>1708</v>
      </c>
      <c r="M563" t="s">
        <v>688</v>
      </c>
      <c r="O563" t="s">
        <v>1709</v>
      </c>
    </row>
    <row r="564" spans="1:15" ht="15">
      <c r="A564" s="9">
        <v>290</v>
      </c>
      <c r="B564" t="str">
        <f ca="1">IFERROR(__xludf.DUMMYFUNCTION((TRANSPOSE(ImportHTML("http://spending.data.al/sq/moneypower/view/id/290/year/2014",  "table", 0)))),"*Kategoria*")</f>
        <v>*Kategoria*</v>
      </c>
      <c r="C564" t="s">
        <v>673</v>
      </c>
      <c r="D564" t="s">
        <v>674</v>
      </c>
      <c r="E564" t="s">
        <v>675</v>
      </c>
      <c r="F564" t="s">
        <v>676</v>
      </c>
      <c r="G564" t="s">
        <v>677</v>
      </c>
      <c r="H564" t="s">
        <v>678</v>
      </c>
      <c r="I564" t="s">
        <v>679</v>
      </c>
      <c r="J564" t="s">
        <v>680</v>
      </c>
      <c r="K564" t="s">
        <v>681</v>
      </c>
      <c r="L564" t="s">
        <v>682</v>
      </c>
      <c r="M564" t="s">
        <v>683</v>
      </c>
      <c r="N564" t="s">
        <v>684</v>
      </c>
      <c r="O564" t="s">
        <v>685</v>
      </c>
    </row>
    <row r="565" spans="1:15" ht="15">
      <c r="A565" s="11"/>
      <c r="B565" t="s">
        <v>686</v>
      </c>
      <c r="C565" t="s">
        <v>1710</v>
      </c>
      <c r="D565" t="s">
        <v>688</v>
      </c>
      <c r="E565" t="s">
        <v>688</v>
      </c>
      <c r="F565" t="s">
        <v>688</v>
      </c>
      <c r="G565" t="s">
        <v>688</v>
      </c>
      <c r="H565" t="s">
        <v>688</v>
      </c>
      <c r="I565" t="s">
        <v>688</v>
      </c>
      <c r="J565" t="s">
        <v>688</v>
      </c>
      <c r="K565" t="s">
        <v>688</v>
      </c>
      <c r="L565" t="s">
        <v>1711</v>
      </c>
      <c r="M565" t="s">
        <v>688</v>
      </c>
      <c r="O565" t="s">
        <v>1712</v>
      </c>
    </row>
    <row r="566" spans="1:15" ht="15">
      <c r="A566" s="9">
        <v>291</v>
      </c>
      <c r="B566" t="str">
        <f ca="1">IFERROR(__xludf.DUMMYFUNCTION((TRANSPOSE(ImportHTML("http://spending.data.al/sq/moneypower/view/id/291/year/2014",  "table", 0)))),"*Kategoria*")</f>
        <v>*Kategoria*</v>
      </c>
      <c r="C566" t="s">
        <v>673</v>
      </c>
      <c r="D566" t="s">
        <v>674</v>
      </c>
      <c r="E566" t="s">
        <v>675</v>
      </c>
      <c r="F566" t="s">
        <v>676</v>
      </c>
      <c r="G566" t="s">
        <v>677</v>
      </c>
      <c r="H566" t="s">
        <v>678</v>
      </c>
      <c r="I566" t="s">
        <v>679</v>
      </c>
      <c r="J566" t="s">
        <v>680</v>
      </c>
      <c r="K566" t="s">
        <v>681</v>
      </c>
      <c r="L566" t="s">
        <v>682</v>
      </c>
      <c r="M566" t="s">
        <v>683</v>
      </c>
      <c r="N566" t="s">
        <v>684</v>
      </c>
      <c r="O566" t="s">
        <v>685</v>
      </c>
    </row>
    <row r="567" spans="1:15" ht="15">
      <c r="A567" s="11"/>
      <c r="B567" t="s">
        <v>686</v>
      </c>
      <c r="C567" t="s">
        <v>1713</v>
      </c>
      <c r="D567" t="s">
        <v>688</v>
      </c>
      <c r="E567" t="s">
        <v>688</v>
      </c>
      <c r="F567" t="s">
        <v>1714</v>
      </c>
      <c r="G567" t="s">
        <v>688</v>
      </c>
      <c r="H567" t="s">
        <v>688</v>
      </c>
      <c r="I567" t="s">
        <v>688</v>
      </c>
      <c r="J567" t="s">
        <v>688</v>
      </c>
      <c r="K567" t="s">
        <v>688</v>
      </c>
      <c r="L567" t="s">
        <v>1715</v>
      </c>
      <c r="M567" t="s">
        <v>688</v>
      </c>
      <c r="O567" t="s">
        <v>1716</v>
      </c>
    </row>
    <row r="568" spans="1:15" ht="15">
      <c r="A568" s="9">
        <v>292</v>
      </c>
      <c r="B568" t="str">
        <f ca="1">IFERROR(__xludf.DUMMYFUNCTION((TRANSPOSE(ImportHTML("http://spending.data.al/sq/moneypower/view/id/292/year/2014",  "table", 0)))),"*Kategoria*")</f>
        <v>*Kategoria*</v>
      </c>
      <c r="C568" t="s">
        <v>673</v>
      </c>
      <c r="D568" t="s">
        <v>674</v>
      </c>
      <c r="E568" t="s">
        <v>675</v>
      </c>
      <c r="F568" t="s">
        <v>676</v>
      </c>
      <c r="G568" t="s">
        <v>677</v>
      </c>
      <c r="H568" t="s">
        <v>678</v>
      </c>
      <c r="I568" t="s">
        <v>679</v>
      </c>
      <c r="J568" t="s">
        <v>680</v>
      </c>
      <c r="K568" t="s">
        <v>681</v>
      </c>
      <c r="L568" t="s">
        <v>682</v>
      </c>
      <c r="M568" t="s">
        <v>683</v>
      </c>
      <c r="N568" t="s">
        <v>684</v>
      </c>
      <c r="O568" t="s">
        <v>685</v>
      </c>
    </row>
    <row r="569" spans="1:15" ht="15">
      <c r="A569" s="11"/>
      <c r="B569" t="s">
        <v>686</v>
      </c>
      <c r="C569" t="s">
        <v>1717</v>
      </c>
      <c r="D569" t="s">
        <v>688</v>
      </c>
      <c r="E569" t="s">
        <v>688</v>
      </c>
      <c r="F569" t="s">
        <v>688</v>
      </c>
      <c r="G569" t="s">
        <v>1718</v>
      </c>
      <c r="H569" t="s">
        <v>688</v>
      </c>
      <c r="I569" t="s">
        <v>688</v>
      </c>
      <c r="J569" t="s">
        <v>688</v>
      </c>
      <c r="K569" t="s">
        <v>688</v>
      </c>
      <c r="L569" t="s">
        <v>1719</v>
      </c>
      <c r="M569" t="s">
        <v>688</v>
      </c>
      <c r="O569" t="s">
        <v>1720</v>
      </c>
    </row>
    <row r="570" spans="1:15" ht="15">
      <c r="A570" s="9">
        <v>293</v>
      </c>
      <c r="B570" t="str">
        <f ca="1">IFERROR(__xludf.DUMMYFUNCTION((TRANSPOSE(ImportHTML("http://spending.data.al/sq/moneypower/view/id/293/year/2014",  "table", 0)))),"*Kategoria*")</f>
        <v>*Kategoria*</v>
      </c>
      <c r="C570" t="s">
        <v>673</v>
      </c>
      <c r="D570" t="s">
        <v>674</v>
      </c>
      <c r="E570" t="s">
        <v>675</v>
      </c>
      <c r="F570" t="s">
        <v>676</v>
      </c>
      <c r="G570" t="s">
        <v>677</v>
      </c>
      <c r="H570" t="s">
        <v>678</v>
      </c>
      <c r="I570" t="s">
        <v>679</v>
      </c>
      <c r="J570" t="s">
        <v>680</v>
      </c>
      <c r="K570" t="s">
        <v>681</v>
      </c>
      <c r="L570" t="s">
        <v>682</v>
      </c>
      <c r="M570" t="s">
        <v>683</v>
      </c>
      <c r="N570" t="s">
        <v>684</v>
      </c>
      <c r="O570" t="s">
        <v>685</v>
      </c>
    </row>
    <row r="571" spans="1:15" ht="15">
      <c r="A571" s="11"/>
      <c r="B571" t="s">
        <v>686</v>
      </c>
      <c r="C571" t="s">
        <v>1721</v>
      </c>
      <c r="D571" t="s">
        <v>1722</v>
      </c>
      <c r="E571" t="s">
        <v>688</v>
      </c>
      <c r="F571" t="s">
        <v>688</v>
      </c>
      <c r="G571" t="s">
        <v>688</v>
      </c>
      <c r="H571" t="s">
        <v>688</v>
      </c>
      <c r="I571" t="s">
        <v>688</v>
      </c>
      <c r="J571" t="s">
        <v>688</v>
      </c>
      <c r="K571" t="s">
        <v>688</v>
      </c>
      <c r="L571" t="s">
        <v>1723</v>
      </c>
      <c r="M571" t="s">
        <v>688</v>
      </c>
      <c r="O571" t="s">
        <v>1724</v>
      </c>
    </row>
    <row r="572" spans="1:15" ht="15">
      <c r="A572" s="9">
        <v>294</v>
      </c>
      <c r="B572" t="str">
        <f ca="1">IFERROR(__xludf.DUMMYFUNCTION((TRANSPOSE(ImportHTML("http://spending.data.al/sq/moneypower/view/id/294/year/2014",  "table", 0)))),"*Kategoria*")</f>
        <v>*Kategoria*</v>
      </c>
      <c r="C572" t="s">
        <v>673</v>
      </c>
      <c r="D572" t="s">
        <v>674</v>
      </c>
      <c r="E572" t="s">
        <v>675</v>
      </c>
      <c r="F572" t="s">
        <v>676</v>
      </c>
      <c r="G572" t="s">
        <v>677</v>
      </c>
      <c r="H572" t="s">
        <v>678</v>
      </c>
      <c r="I572" t="s">
        <v>679</v>
      </c>
      <c r="J572" t="s">
        <v>680</v>
      </c>
      <c r="K572" t="s">
        <v>681</v>
      </c>
      <c r="L572" t="s">
        <v>682</v>
      </c>
      <c r="M572" t="s">
        <v>683</v>
      </c>
      <c r="N572" t="s">
        <v>684</v>
      </c>
      <c r="O572" t="s">
        <v>685</v>
      </c>
    </row>
    <row r="573" spans="1:15" ht="15">
      <c r="A573" s="11"/>
      <c r="B573" t="s">
        <v>686</v>
      </c>
      <c r="C573" t="s">
        <v>1725</v>
      </c>
      <c r="D573" t="s">
        <v>688</v>
      </c>
      <c r="E573" t="s">
        <v>688</v>
      </c>
      <c r="F573" t="s">
        <v>688</v>
      </c>
      <c r="G573" t="s">
        <v>688</v>
      </c>
      <c r="H573" t="s">
        <v>688</v>
      </c>
      <c r="I573" t="s">
        <v>688</v>
      </c>
      <c r="J573" t="s">
        <v>688</v>
      </c>
      <c r="K573" t="s">
        <v>688</v>
      </c>
      <c r="L573" t="s">
        <v>1726</v>
      </c>
      <c r="M573" t="s">
        <v>688</v>
      </c>
      <c r="O573" t="s">
        <v>1727</v>
      </c>
    </row>
    <row r="574" spans="1:15" ht="15">
      <c r="A574" s="9">
        <v>295</v>
      </c>
      <c r="B574" t="str">
        <f ca="1">IFERROR(__xludf.DUMMYFUNCTION((TRANSPOSE(ImportHTML("http://spending.data.al/sq/moneypower/view/id/295/year/2014",  "table", 0)))),"*Kategoria*")</f>
        <v>*Kategoria*</v>
      </c>
      <c r="C574" t="s">
        <v>673</v>
      </c>
      <c r="D574" t="s">
        <v>674</v>
      </c>
      <c r="E574" t="s">
        <v>675</v>
      </c>
      <c r="F574" t="s">
        <v>676</v>
      </c>
      <c r="G574" t="s">
        <v>677</v>
      </c>
      <c r="H574" t="s">
        <v>678</v>
      </c>
      <c r="I574" t="s">
        <v>679</v>
      </c>
      <c r="J574" t="s">
        <v>680</v>
      </c>
      <c r="K574" t="s">
        <v>681</v>
      </c>
      <c r="L574" t="s">
        <v>682</v>
      </c>
      <c r="M574" t="s">
        <v>683</v>
      </c>
      <c r="N574" t="s">
        <v>684</v>
      </c>
      <c r="O574" t="s">
        <v>685</v>
      </c>
    </row>
    <row r="575" spans="1:15" ht="15">
      <c r="A575" s="11"/>
      <c r="B575" t="s">
        <v>686</v>
      </c>
      <c r="C575" t="s">
        <v>1728</v>
      </c>
      <c r="D575" t="s">
        <v>688</v>
      </c>
      <c r="E575" t="s">
        <v>688</v>
      </c>
      <c r="F575" t="s">
        <v>688</v>
      </c>
      <c r="G575" t="s">
        <v>688</v>
      </c>
      <c r="H575" t="s">
        <v>688</v>
      </c>
      <c r="I575" t="s">
        <v>688</v>
      </c>
      <c r="J575" t="s">
        <v>688</v>
      </c>
      <c r="K575" t="s">
        <v>688</v>
      </c>
      <c r="L575" t="s">
        <v>1729</v>
      </c>
      <c r="M575" t="s">
        <v>688</v>
      </c>
      <c r="O575" t="s">
        <v>1730</v>
      </c>
    </row>
    <row r="576" spans="1:15" ht="15">
      <c r="A576" s="9">
        <v>296</v>
      </c>
      <c r="B576" t="str">
        <f ca="1">IFERROR(__xludf.DUMMYFUNCTION((TRANSPOSE(ImportHTML("http://spending.data.al/sq/moneypower/view/id/296/year/2014",  "table", 0)))),"*Emër Subjekti*")</f>
        <v>*Emër Subjekti*</v>
      </c>
      <c r="C576" t="s">
        <v>698</v>
      </c>
      <c r="D576" t="s">
        <v>699</v>
      </c>
      <c r="E576" t="s">
        <v>700</v>
      </c>
      <c r="F576" t="s">
        <v>701</v>
      </c>
      <c r="G576" t="s">
        <v>702</v>
      </c>
    </row>
    <row r="577" spans="1:15" ht="15">
      <c r="A577" s="11"/>
      <c r="B577" t="s">
        <v>4413</v>
      </c>
      <c r="C577" t="s">
        <v>711</v>
      </c>
      <c r="D577" t="s">
        <v>4414</v>
      </c>
      <c r="E577" t="s">
        <v>712</v>
      </c>
      <c r="F577" t="s">
        <v>4415</v>
      </c>
      <c r="G577" t="s">
        <v>4416</v>
      </c>
    </row>
    <row r="578" spans="1:15" ht="15">
      <c r="A578" s="9">
        <v>297</v>
      </c>
      <c r="B578" t="str">
        <f ca="1">IFERROR(__xludf.DUMMYFUNCTION((TRANSPOSE(ImportHTML("http://spending.data.al/sq/moneypower/view/id/297/year/2014",  "table", 0)))),"*Kategoria*")</f>
        <v>*Kategoria*</v>
      </c>
      <c r="C578" t="s">
        <v>673</v>
      </c>
      <c r="D578" t="s">
        <v>674</v>
      </c>
      <c r="E578" t="s">
        <v>675</v>
      </c>
      <c r="F578" t="s">
        <v>676</v>
      </c>
      <c r="G578" t="s">
        <v>677</v>
      </c>
      <c r="H578" t="s">
        <v>678</v>
      </c>
      <c r="I578" t="s">
        <v>679</v>
      </c>
      <c r="J578" t="s">
        <v>680</v>
      </c>
      <c r="K578" t="s">
        <v>681</v>
      </c>
      <c r="L578" t="s">
        <v>682</v>
      </c>
      <c r="M578" t="s">
        <v>683</v>
      </c>
      <c r="N578" t="s">
        <v>684</v>
      </c>
      <c r="O578" t="s">
        <v>685</v>
      </c>
    </row>
    <row r="579" spans="1:15" ht="15">
      <c r="A579" s="11"/>
      <c r="B579" t="s">
        <v>686</v>
      </c>
      <c r="C579" t="s">
        <v>1734</v>
      </c>
      <c r="D579" t="s">
        <v>688</v>
      </c>
      <c r="E579" t="s">
        <v>688</v>
      </c>
      <c r="F579" t="s">
        <v>688</v>
      </c>
      <c r="G579" t="s">
        <v>688</v>
      </c>
      <c r="H579" t="s">
        <v>688</v>
      </c>
      <c r="I579" t="s">
        <v>688</v>
      </c>
      <c r="J579" t="s">
        <v>688</v>
      </c>
      <c r="K579" t="s">
        <v>688</v>
      </c>
      <c r="L579" t="s">
        <v>1735</v>
      </c>
      <c r="M579" t="s">
        <v>688</v>
      </c>
      <c r="O579" t="s">
        <v>1736</v>
      </c>
    </row>
    <row r="580" spans="1:15" ht="15">
      <c r="A580" s="9">
        <v>298</v>
      </c>
      <c r="B580" t="str">
        <f ca="1">IFERROR(__xludf.DUMMYFUNCTION((TRANSPOSE(ImportHTML("http://spending.data.al/sq/moneypower/view/id/298/year/2014",  "table", 0)))),"*Kategoria*")</f>
        <v>*Kategoria*</v>
      </c>
      <c r="C580" t="s">
        <v>673</v>
      </c>
      <c r="D580" t="s">
        <v>674</v>
      </c>
      <c r="E580" t="s">
        <v>675</v>
      </c>
      <c r="F580" t="s">
        <v>676</v>
      </c>
      <c r="G580" t="s">
        <v>677</v>
      </c>
      <c r="H580" t="s">
        <v>678</v>
      </c>
      <c r="I580" t="s">
        <v>679</v>
      </c>
      <c r="J580" t="s">
        <v>680</v>
      </c>
      <c r="K580" t="s">
        <v>681</v>
      </c>
      <c r="L580" t="s">
        <v>682</v>
      </c>
      <c r="M580" t="s">
        <v>683</v>
      </c>
      <c r="N580" t="s">
        <v>684</v>
      </c>
      <c r="O580" t="s">
        <v>685</v>
      </c>
    </row>
    <row r="581" spans="1:15" ht="15">
      <c r="A581" s="11"/>
      <c r="B581" t="s">
        <v>686</v>
      </c>
      <c r="C581" t="s">
        <v>1737</v>
      </c>
      <c r="D581" t="s">
        <v>688</v>
      </c>
      <c r="E581" t="s">
        <v>688</v>
      </c>
      <c r="F581" t="s">
        <v>688</v>
      </c>
      <c r="G581" t="s">
        <v>688</v>
      </c>
      <c r="H581" t="s">
        <v>688</v>
      </c>
      <c r="I581" t="s">
        <v>688</v>
      </c>
      <c r="J581" t="s">
        <v>688</v>
      </c>
      <c r="K581" t="s">
        <v>688</v>
      </c>
      <c r="L581" t="s">
        <v>1738</v>
      </c>
      <c r="M581" t="s">
        <v>688</v>
      </c>
      <c r="O581" t="s">
        <v>1739</v>
      </c>
    </row>
    <row r="582" spans="1:15" ht="15">
      <c r="A582" s="9">
        <v>299</v>
      </c>
      <c r="B582" t="str">
        <f ca="1">IFERROR(__xludf.DUMMYFUNCTION((TRANSPOSE(ImportHTML("http://spending.data.al/sq/moneypower/view/id/299/year/2014",  "table", 0)))),"*Kategoria*")</f>
        <v>*Kategoria*</v>
      </c>
      <c r="C582" t="s">
        <v>673</v>
      </c>
      <c r="D582" t="s">
        <v>674</v>
      </c>
      <c r="E582" t="s">
        <v>675</v>
      </c>
      <c r="F582" t="s">
        <v>676</v>
      </c>
      <c r="G582" t="s">
        <v>677</v>
      </c>
      <c r="H582" t="s">
        <v>678</v>
      </c>
      <c r="I582" t="s">
        <v>679</v>
      </c>
      <c r="J582" t="s">
        <v>680</v>
      </c>
      <c r="K582" t="s">
        <v>681</v>
      </c>
      <c r="L582" t="s">
        <v>682</v>
      </c>
      <c r="M582" t="s">
        <v>683</v>
      </c>
      <c r="N582" t="s">
        <v>684</v>
      </c>
      <c r="O582" t="s">
        <v>685</v>
      </c>
    </row>
    <row r="583" spans="1:15" ht="15">
      <c r="A583" s="11"/>
      <c r="B583" t="s">
        <v>686</v>
      </c>
      <c r="C583" t="s">
        <v>1740</v>
      </c>
      <c r="D583" t="s">
        <v>688</v>
      </c>
      <c r="E583" t="s">
        <v>688</v>
      </c>
      <c r="F583" t="s">
        <v>688</v>
      </c>
      <c r="G583" t="s">
        <v>688</v>
      </c>
      <c r="H583" t="s">
        <v>688</v>
      </c>
      <c r="I583" t="s">
        <v>688</v>
      </c>
      <c r="J583" t="s">
        <v>688</v>
      </c>
      <c r="K583" t="s">
        <v>688</v>
      </c>
      <c r="L583" t="s">
        <v>1741</v>
      </c>
      <c r="M583" t="s">
        <v>688</v>
      </c>
      <c r="O583" t="s">
        <v>688</v>
      </c>
    </row>
    <row r="584" spans="1:15" ht="15">
      <c r="A584" s="9">
        <v>300</v>
      </c>
      <c r="B584" t="str">
        <f ca="1">IFERROR(__xludf.DUMMYFUNCTION((TRANSPOSE(ImportHTML("http://spending.data.al/sq/moneypower/view/id/300/year/2014",  "table", 0)))),"*Kategoria*")</f>
        <v>*Kategoria*</v>
      </c>
      <c r="C584" t="s">
        <v>673</v>
      </c>
      <c r="D584" t="s">
        <v>674</v>
      </c>
      <c r="E584" t="s">
        <v>675</v>
      </c>
      <c r="F584" t="s">
        <v>676</v>
      </c>
      <c r="G584" t="s">
        <v>677</v>
      </c>
      <c r="H584" t="s">
        <v>678</v>
      </c>
      <c r="I584" t="s">
        <v>679</v>
      </c>
      <c r="J584" t="s">
        <v>680</v>
      </c>
      <c r="K584" t="s">
        <v>681</v>
      </c>
      <c r="L584" t="s">
        <v>682</v>
      </c>
      <c r="M584" t="s">
        <v>683</v>
      </c>
      <c r="N584" t="s">
        <v>684</v>
      </c>
      <c r="O584" t="s">
        <v>685</v>
      </c>
    </row>
    <row r="585" spans="1:15" ht="15">
      <c r="A585" s="11"/>
      <c r="B585" t="s">
        <v>686</v>
      </c>
      <c r="C585" t="s">
        <v>1742</v>
      </c>
      <c r="D585" t="s">
        <v>688</v>
      </c>
      <c r="E585" t="s">
        <v>688</v>
      </c>
      <c r="F585" t="s">
        <v>688</v>
      </c>
      <c r="G585" t="s">
        <v>688</v>
      </c>
      <c r="H585" t="s">
        <v>688</v>
      </c>
      <c r="I585" t="s">
        <v>688</v>
      </c>
      <c r="J585" t="s">
        <v>688</v>
      </c>
      <c r="K585" t="s">
        <v>688</v>
      </c>
      <c r="L585" t="s">
        <v>1743</v>
      </c>
      <c r="M585" t="s">
        <v>688</v>
      </c>
      <c r="O585" t="s">
        <v>1744</v>
      </c>
    </row>
    <row r="586" spans="1:15" ht="15">
      <c r="A586" s="9">
        <v>301</v>
      </c>
      <c r="B586" t="str">
        <f ca="1">IFERROR(__xludf.DUMMYFUNCTION((TRANSPOSE(ImportHTML("http://spending.data.al/sq/moneypower/view/id/301/year/2014",  "table", 0)))),"*Kategoria*")</f>
        <v>*Kategoria*</v>
      </c>
      <c r="C586" t="s">
        <v>673</v>
      </c>
      <c r="D586" t="s">
        <v>674</v>
      </c>
      <c r="E586" t="s">
        <v>675</v>
      </c>
      <c r="F586" t="s">
        <v>676</v>
      </c>
      <c r="G586" t="s">
        <v>677</v>
      </c>
      <c r="H586" t="s">
        <v>678</v>
      </c>
      <c r="I586" t="s">
        <v>679</v>
      </c>
      <c r="J586" t="s">
        <v>680</v>
      </c>
      <c r="K586" t="s">
        <v>681</v>
      </c>
      <c r="L586" t="s">
        <v>682</v>
      </c>
      <c r="M586" t="s">
        <v>683</v>
      </c>
      <c r="N586" t="s">
        <v>684</v>
      </c>
      <c r="O586" t="s">
        <v>685</v>
      </c>
    </row>
    <row r="587" spans="1:15" ht="15">
      <c r="A587" s="11"/>
      <c r="B587" t="s">
        <v>686</v>
      </c>
      <c r="C587" t="s">
        <v>1745</v>
      </c>
      <c r="D587" t="s">
        <v>688</v>
      </c>
      <c r="E587" t="s">
        <v>688</v>
      </c>
      <c r="F587" t="s">
        <v>688</v>
      </c>
      <c r="G587" t="s">
        <v>688</v>
      </c>
      <c r="H587" t="s">
        <v>688</v>
      </c>
      <c r="I587" t="s">
        <v>688</v>
      </c>
      <c r="J587" t="s">
        <v>688</v>
      </c>
      <c r="K587" t="s">
        <v>688</v>
      </c>
      <c r="L587" t="s">
        <v>688</v>
      </c>
      <c r="M587" t="s">
        <v>688</v>
      </c>
      <c r="O587" t="s">
        <v>688</v>
      </c>
    </row>
    <row r="588" spans="1:15" ht="15">
      <c r="A588" s="9">
        <v>302</v>
      </c>
      <c r="B588" t="str">
        <f ca="1">IFERROR(__xludf.DUMMYFUNCTION((TRANSPOSE(ImportHTML("http://spending.data.al/sq/moneypower/view/id/302/year/2014",  "table", 0)))),"*Kategoria*")</f>
        <v>*Kategoria*</v>
      </c>
      <c r="C588" t="s">
        <v>673</v>
      </c>
      <c r="D588" t="s">
        <v>674</v>
      </c>
      <c r="E588" t="s">
        <v>675</v>
      </c>
      <c r="F588" t="s">
        <v>676</v>
      </c>
      <c r="G588" t="s">
        <v>677</v>
      </c>
      <c r="H588" t="s">
        <v>678</v>
      </c>
      <c r="I588" t="s">
        <v>679</v>
      </c>
      <c r="J588" t="s">
        <v>680</v>
      </c>
      <c r="K588" t="s">
        <v>681</v>
      </c>
      <c r="L588" t="s">
        <v>682</v>
      </c>
      <c r="M588" t="s">
        <v>683</v>
      </c>
      <c r="N588" t="s">
        <v>684</v>
      </c>
      <c r="O588" t="s">
        <v>685</v>
      </c>
    </row>
    <row r="589" spans="1:15" ht="15">
      <c r="A589" s="11"/>
      <c r="B589" t="s">
        <v>686</v>
      </c>
      <c r="C589" t="s">
        <v>1746</v>
      </c>
      <c r="D589" t="s">
        <v>688</v>
      </c>
      <c r="E589" t="s">
        <v>688</v>
      </c>
      <c r="F589" t="s">
        <v>688</v>
      </c>
      <c r="G589" t="s">
        <v>688</v>
      </c>
      <c r="H589" t="s">
        <v>688</v>
      </c>
      <c r="I589" t="s">
        <v>688</v>
      </c>
      <c r="J589" t="s">
        <v>688</v>
      </c>
      <c r="K589" t="s">
        <v>688</v>
      </c>
      <c r="L589" t="s">
        <v>688</v>
      </c>
      <c r="M589" t="s">
        <v>688</v>
      </c>
      <c r="O589" t="s">
        <v>688</v>
      </c>
    </row>
    <row r="590" spans="1:15" ht="15">
      <c r="A590" s="9">
        <v>303</v>
      </c>
      <c r="B590" t="str">
        <f ca="1">IFERROR(__xludf.DUMMYFUNCTION((TRANSPOSE(ImportHTML("http://spending.data.al/sq/moneypower/view/id/303/year/2014",  "table", 0)))),"*Kategoria*")</f>
        <v>*Kategoria*</v>
      </c>
      <c r="C590" t="s">
        <v>673</v>
      </c>
      <c r="D590" t="s">
        <v>674</v>
      </c>
      <c r="E590" t="s">
        <v>675</v>
      </c>
      <c r="F590" t="s">
        <v>676</v>
      </c>
      <c r="G590" t="s">
        <v>677</v>
      </c>
      <c r="H590" t="s">
        <v>678</v>
      </c>
      <c r="I590" t="s">
        <v>679</v>
      </c>
      <c r="J590" t="s">
        <v>680</v>
      </c>
      <c r="K590" t="s">
        <v>681</v>
      </c>
      <c r="L590" t="s">
        <v>682</v>
      </c>
      <c r="M590" t="s">
        <v>683</v>
      </c>
      <c r="N590" t="s">
        <v>684</v>
      </c>
      <c r="O590" t="s">
        <v>685</v>
      </c>
    </row>
    <row r="591" spans="1:15" ht="15">
      <c r="A591" s="11"/>
      <c r="B591" t="s">
        <v>686</v>
      </c>
      <c r="C591" t="s">
        <v>1747</v>
      </c>
      <c r="D591" t="s">
        <v>688</v>
      </c>
      <c r="E591" t="s">
        <v>688</v>
      </c>
      <c r="F591" t="s">
        <v>688</v>
      </c>
      <c r="G591" t="s">
        <v>688</v>
      </c>
      <c r="H591" t="s">
        <v>688</v>
      </c>
      <c r="I591" t="s">
        <v>688</v>
      </c>
      <c r="J591" t="s">
        <v>688</v>
      </c>
      <c r="K591" t="s">
        <v>688</v>
      </c>
      <c r="L591" t="s">
        <v>1748</v>
      </c>
      <c r="M591" t="s">
        <v>688</v>
      </c>
      <c r="O591" t="s">
        <v>1749</v>
      </c>
    </row>
    <row r="592" spans="1:15" ht="15">
      <c r="A592" s="9">
        <v>304</v>
      </c>
      <c r="B592" t="str">
        <f ca="1">IFERROR(__xludf.DUMMYFUNCTION((TRANSPOSE(ImportHTML("http://spending.data.al/sq/moneypower/view/id/304/year/2014",  "table", 0)))),"*Kategoria*")</f>
        <v>*Kategoria*</v>
      </c>
      <c r="C592" t="s">
        <v>673</v>
      </c>
      <c r="D592" t="s">
        <v>674</v>
      </c>
      <c r="E592" t="s">
        <v>675</v>
      </c>
      <c r="F592" t="s">
        <v>676</v>
      </c>
      <c r="G592" t="s">
        <v>677</v>
      </c>
      <c r="H592" t="s">
        <v>678</v>
      </c>
      <c r="I592" t="s">
        <v>679</v>
      </c>
      <c r="J592" t="s">
        <v>680</v>
      </c>
      <c r="K592" t="s">
        <v>681</v>
      </c>
      <c r="L592" t="s">
        <v>682</v>
      </c>
      <c r="M592" t="s">
        <v>683</v>
      </c>
      <c r="N592" t="s">
        <v>684</v>
      </c>
      <c r="O592" t="s">
        <v>685</v>
      </c>
    </row>
    <row r="593" spans="1:15" ht="15">
      <c r="A593" s="11"/>
      <c r="B593" t="s">
        <v>686</v>
      </c>
      <c r="C593" t="s">
        <v>1750</v>
      </c>
      <c r="D593" t="s">
        <v>688</v>
      </c>
      <c r="E593" t="s">
        <v>688</v>
      </c>
      <c r="F593" t="s">
        <v>688</v>
      </c>
      <c r="G593" t="s">
        <v>1751</v>
      </c>
      <c r="H593" t="s">
        <v>688</v>
      </c>
      <c r="I593" t="s">
        <v>688</v>
      </c>
      <c r="J593" t="s">
        <v>688</v>
      </c>
      <c r="K593" t="s">
        <v>688</v>
      </c>
      <c r="L593" t="s">
        <v>688</v>
      </c>
      <c r="M593" t="s">
        <v>688</v>
      </c>
      <c r="O593" t="s">
        <v>1752</v>
      </c>
    </row>
    <row r="594" spans="1:15" ht="15">
      <c r="A594" s="9">
        <v>305</v>
      </c>
      <c r="B594" t="str">
        <f ca="1">IFERROR(__xludf.DUMMYFUNCTION((TRANSPOSE(ImportHTML("http://spending.data.al/sq/moneypower/view/id/305/year/2014",  "table", 0)))),"*Kategoria*")</f>
        <v>*Kategoria*</v>
      </c>
      <c r="C594" t="s">
        <v>673</v>
      </c>
      <c r="D594" t="s">
        <v>674</v>
      </c>
      <c r="E594" t="s">
        <v>675</v>
      </c>
      <c r="F594" t="s">
        <v>676</v>
      </c>
      <c r="G594" t="s">
        <v>677</v>
      </c>
      <c r="H594" t="s">
        <v>678</v>
      </c>
      <c r="I594" t="s">
        <v>679</v>
      </c>
      <c r="J594" t="s">
        <v>680</v>
      </c>
      <c r="K594" t="s">
        <v>681</v>
      </c>
      <c r="L594" t="s">
        <v>682</v>
      </c>
      <c r="M594" t="s">
        <v>683</v>
      </c>
      <c r="N594" t="s">
        <v>684</v>
      </c>
      <c r="O594" t="s">
        <v>685</v>
      </c>
    </row>
    <row r="595" spans="1:15" ht="15">
      <c r="A595" s="11"/>
      <c r="B595" t="s">
        <v>686</v>
      </c>
      <c r="C595" t="s">
        <v>1753</v>
      </c>
      <c r="D595" t="s">
        <v>688</v>
      </c>
      <c r="E595" t="s">
        <v>688</v>
      </c>
      <c r="F595" t="s">
        <v>688</v>
      </c>
      <c r="G595" t="s">
        <v>688</v>
      </c>
      <c r="H595" t="s">
        <v>688</v>
      </c>
      <c r="I595" t="s">
        <v>688</v>
      </c>
      <c r="J595" t="s">
        <v>688</v>
      </c>
      <c r="K595" t="s">
        <v>688</v>
      </c>
      <c r="L595" t="s">
        <v>1754</v>
      </c>
      <c r="M595" t="s">
        <v>688</v>
      </c>
      <c r="O595" t="s">
        <v>1755</v>
      </c>
    </row>
    <row r="596" spans="1:15" ht="15">
      <c r="A596" s="9">
        <v>306</v>
      </c>
      <c r="B596" t="str">
        <f ca="1">IFERROR(__xludf.DUMMYFUNCTION((TRANSPOSE(ImportHTML("http://spending.data.al/sq/moneypower/view/id/306/year/2014",  "table", 0)))),"*Kategoria*")</f>
        <v>*Kategoria*</v>
      </c>
      <c r="C596" t="s">
        <v>673</v>
      </c>
      <c r="D596" t="s">
        <v>674</v>
      </c>
      <c r="E596" t="s">
        <v>675</v>
      </c>
      <c r="F596" t="s">
        <v>676</v>
      </c>
      <c r="G596" t="s">
        <v>677</v>
      </c>
      <c r="H596" t="s">
        <v>678</v>
      </c>
      <c r="I596" t="s">
        <v>679</v>
      </c>
      <c r="J596" t="s">
        <v>680</v>
      </c>
      <c r="K596" t="s">
        <v>681</v>
      </c>
      <c r="L596" t="s">
        <v>682</v>
      </c>
      <c r="M596" t="s">
        <v>683</v>
      </c>
      <c r="N596" t="s">
        <v>684</v>
      </c>
      <c r="O596" t="s">
        <v>685</v>
      </c>
    </row>
    <row r="597" spans="1:15" ht="15">
      <c r="A597" s="11"/>
      <c r="B597" t="s">
        <v>686</v>
      </c>
      <c r="C597" t="s">
        <v>1756</v>
      </c>
      <c r="D597" t="s">
        <v>688</v>
      </c>
      <c r="E597" t="s">
        <v>688</v>
      </c>
      <c r="F597" t="s">
        <v>688</v>
      </c>
      <c r="G597" t="s">
        <v>1757</v>
      </c>
      <c r="H597" t="s">
        <v>688</v>
      </c>
      <c r="I597" t="s">
        <v>688</v>
      </c>
      <c r="J597" t="s">
        <v>688</v>
      </c>
      <c r="K597" t="s">
        <v>688</v>
      </c>
      <c r="L597" t="s">
        <v>1758</v>
      </c>
      <c r="M597" t="s">
        <v>688</v>
      </c>
      <c r="O597" t="s">
        <v>1759</v>
      </c>
    </row>
    <row r="598" spans="1:15" ht="15">
      <c r="A598" s="9">
        <v>307</v>
      </c>
      <c r="B598" t="str">
        <f ca="1">IFERROR(__xludf.DUMMYFUNCTION((TRANSPOSE(ImportHTML("http://spending.data.al/sq/moneypower/view/id/307/year/2014",  "table", 0)))),"*Kategoria*")</f>
        <v>*Kategoria*</v>
      </c>
      <c r="C598" t="s">
        <v>673</v>
      </c>
      <c r="D598" t="s">
        <v>674</v>
      </c>
      <c r="E598" t="s">
        <v>675</v>
      </c>
      <c r="F598" t="s">
        <v>676</v>
      </c>
      <c r="G598" t="s">
        <v>677</v>
      </c>
      <c r="H598" t="s">
        <v>678</v>
      </c>
      <c r="I598" t="s">
        <v>679</v>
      </c>
      <c r="J598" t="s">
        <v>680</v>
      </c>
      <c r="K598" t="s">
        <v>681</v>
      </c>
      <c r="L598" t="s">
        <v>682</v>
      </c>
      <c r="M598" t="s">
        <v>683</v>
      </c>
      <c r="N598" t="s">
        <v>684</v>
      </c>
      <c r="O598" t="s">
        <v>685</v>
      </c>
    </row>
    <row r="599" spans="1:15" ht="15">
      <c r="A599" s="11"/>
      <c r="B599" t="s">
        <v>686</v>
      </c>
      <c r="C599" t="s">
        <v>1760</v>
      </c>
      <c r="D599" t="s">
        <v>688</v>
      </c>
      <c r="E599" t="s">
        <v>688</v>
      </c>
      <c r="F599" t="s">
        <v>1761</v>
      </c>
      <c r="G599" t="s">
        <v>688</v>
      </c>
      <c r="H599" t="s">
        <v>688</v>
      </c>
      <c r="I599" t="s">
        <v>688</v>
      </c>
      <c r="J599" t="s">
        <v>688</v>
      </c>
      <c r="K599" t="s">
        <v>688</v>
      </c>
      <c r="L599" t="s">
        <v>1762</v>
      </c>
      <c r="M599" t="s">
        <v>688</v>
      </c>
      <c r="O599" t="s">
        <v>1763</v>
      </c>
    </row>
    <row r="600" spans="1:15" ht="15">
      <c r="A600" s="9">
        <v>308</v>
      </c>
      <c r="B600" t="str">
        <f ca="1">IFERROR(__xludf.DUMMYFUNCTION((TRANSPOSE(ImportHTML("http://spending.data.al/sq/moneypower/view/id/308/year/2014",  "table", 0)))),"*Kategoria*")</f>
        <v>*Kategoria*</v>
      </c>
      <c r="C600" t="s">
        <v>673</v>
      </c>
      <c r="D600" t="s">
        <v>674</v>
      </c>
      <c r="E600" t="s">
        <v>675</v>
      </c>
      <c r="F600" t="s">
        <v>676</v>
      </c>
      <c r="G600" t="s">
        <v>677</v>
      </c>
      <c r="H600" t="s">
        <v>678</v>
      </c>
      <c r="I600" t="s">
        <v>679</v>
      </c>
      <c r="J600" t="s">
        <v>680</v>
      </c>
      <c r="K600" t="s">
        <v>681</v>
      </c>
      <c r="L600" t="s">
        <v>682</v>
      </c>
      <c r="M600" t="s">
        <v>683</v>
      </c>
      <c r="N600" t="s">
        <v>684</v>
      </c>
      <c r="O600" t="s">
        <v>685</v>
      </c>
    </row>
    <row r="601" spans="1:15" ht="15">
      <c r="A601" s="11"/>
      <c r="B601" t="s">
        <v>686</v>
      </c>
      <c r="C601" t="s">
        <v>1764</v>
      </c>
      <c r="D601" t="s">
        <v>688</v>
      </c>
      <c r="E601" t="s">
        <v>688</v>
      </c>
      <c r="F601" t="s">
        <v>688</v>
      </c>
      <c r="G601" t="s">
        <v>688</v>
      </c>
      <c r="H601" t="s">
        <v>688</v>
      </c>
      <c r="I601" t="s">
        <v>688</v>
      </c>
      <c r="J601" t="s">
        <v>688</v>
      </c>
      <c r="K601" t="s">
        <v>688</v>
      </c>
      <c r="L601" t="s">
        <v>688</v>
      </c>
      <c r="M601" t="s">
        <v>688</v>
      </c>
      <c r="O601" t="s">
        <v>1765</v>
      </c>
    </row>
    <row r="602" spans="1:15" ht="15">
      <c r="A602" s="9">
        <v>309</v>
      </c>
      <c r="B602" t="str">
        <f ca="1">IFERROR(__xludf.DUMMYFUNCTION((TRANSPOSE(ImportHTML("http://spending.data.al/sq/moneypower/view/id/309/year/2014",  "table", 0)))),"*Kategoria*")</f>
        <v>*Kategoria*</v>
      </c>
      <c r="C602" t="s">
        <v>673</v>
      </c>
      <c r="D602" t="s">
        <v>674</v>
      </c>
      <c r="E602" t="s">
        <v>675</v>
      </c>
      <c r="F602" t="s">
        <v>676</v>
      </c>
      <c r="G602" t="s">
        <v>677</v>
      </c>
      <c r="H602" t="s">
        <v>678</v>
      </c>
      <c r="I602" t="s">
        <v>679</v>
      </c>
      <c r="J602" t="s">
        <v>680</v>
      </c>
      <c r="K602" t="s">
        <v>681</v>
      </c>
      <c r="L602" t="s">
        <v>682</v>
      </c>
      <c r="M602" t="s">
        <v>683</v>
      </c>
      <c r="N602" t="s">
        <v>684</v>
      </c>
      <c r="O602" t="s">
        <v>685</v>
      </c>
    </row>
    <row r="603" spans="1:15" ht="15">
      <c r="A603" s="11"/>
      <c r="B603" t="s">
        <v>686</v>
      </c>
      <c r="C603" t="s">
        <v>1766</v>
      </c>
      <c r="D603" t="s">
        <v>688</v>
      </c>
      <c r="E603" t="s">
        <v>688</v>
      </c>
      <c r="F603" t="s">
        <v>688</v>
      </c>
      <c r="G603" t="s">
        <v>1767</v>
      </c>
      <c r="H603" t="s">
        <v>688</v>
      </c>
      <c r="I603" t="s">
        <v>688</v>
      </c>
      <c r="J603" t="s">
        <v>688</v>
      </c>
      <c r="K603" t="s">
        <v>688</v>
      </c>
      <c r="L603" t="s">
        <v>1768</v>
      </c>
      <c r="M603" t="s">
        <v>688</v>
      </c>
      <c r="O603" t="s">
        <v>1769</v>
      </c>
    </row>
    <row r="604" spans="1:15" ht="15">
      <c r="A604" s="9">
        <v>310</v>
      </c>
      <c r="B604" t="str">
        <f ca="1">IFERROR(__xludf.DUMMYFUNCTION((TRANSPOSE(ImportHTML("http://spending.data.al/sq/moneypower/view/id/310/year/2014",  "table", 0)))),"*Kategoria*")</f>
        <v>*Kategoria*</v>
      </c>
      <c r="C604" t="s">
        <v>673</v>
      </c>
      <c r="D604" t="s">
        <v>674</v>
      </c>
      <c r="E604" t="s">
        <v>675</v>
      </c>
      <c r="F604" t="s">
        <v>676</v>
      </c>
      <c r="G604" t="s">
        <v>677</v>
      </c>
      <c r="H604" t="s">
        <v>678</v>
      </c>
      <c r="I604" t="s">
        <v>679</v>
      </c>
      <c r="J604" t="s">
        <v>680</v>
      </c>
      <c r="K604" t="s">
        <v>681</v>
      </c>
      <c r="L604" t="s">
        <v>682</v>
      </c>
      <c r="M604" t="s">
        <v>683</v>
      </c>
      <c r="N604" t="s">
        <v>684</v>
      </c>
      <c r="O604" t="s">
        <v>685</v>
      </c>
    </row>
    <row r="605" spans="1:15" ht="15">
      <c r="A605" s="11"/>
      <c r="B605" t="s">
        <v>686</v>
      </c>
      <c r="C605" t="s">
        <v>1770</v>
      </c>
      <c r="D605" t="s">
        <v>688</v>
      </c>
      <c r="E605" t="s">
        <v>688</v>
      </c>
      <c r="F605" t="s">
        <v>688</v>
      </c>
      <c r="G605" t="s">
        <v>688</v>
      </c>
      <c r="H605" t="s">
        <v>688</v>
      </c>
      <c r="I605" t="s">
        <v>688</v>
      </c>
      <c r="J605" t="s">
        <v>688</v>
      </c>
      <c r="K605" t="s">
        <v>688</v>
      </c>
      <c r="L605" t="s">
        <v>1771</v>
      </c>
      <c r="M605" t="s">
        <v>688</v>
      </c>
      <c r="O605" t="s">
        <v>1772</v>
      </c>
    </row>
    <row r="606" spans="1:15" ht="15">
      <c r="A606" s="9">
        <v>311</v>
      </c>
      <c r="B606" t="str">
        <f ca="1">IFERROR(__xludf.DUMMYFUNCTION((TRANSPOSE(ImportHTML("http://spending.data.al/sq/moneypower/view/id/311/year/2014",  "table", 0)))),"*Kategoria*")</f>
        <v>*Kategoria*</v>
      </c>
      <c r="C606" t="s">
        <v>673</v>
      </c>
      <c r="D606" t="s">
        <v>674</v>
      </c>
      <c r="E606" t="s">
        <v>675</v>
      </c>
      <c r="F606" t="s">
        <v>676</v>
      </c>
      <c r="G606" t="s">
        <v>677</v>
      </c>
      <c r="H606" t="s">
        <v>678</v>
      </c>
      <c r="I606" t="s">
        <v>679</v>
      </c>
      <c r="J606" t="s">
        <v>680</v>
      </c>
      <c r="K606" t="s">
        <v>681</v>
      </c>
      <c r="L606" t="s">
        <v>682</v>
      </c>
      <c r="M606" t="s">
        <v>683</v>
      </c>
      <c r="N606" t="s">
        <v>684</v>
      </c>
      <c r="O606" t="s">
        <v>685</v>
      </c>
    </row>
    <row r="607" spans="1:15" ht="15">
      <c r="A607" s="11"/>
      <c r="B607" t="s">
        <v>686</v>
      </c>
      <c r="C607" t="s">
        <v>1773</v>
      </c>
      <c r="D607" t="s">
        <v>688</v>
      </c>
      <c r="E607" t="s">
        <v>688</v>
      </c>
      <c r="F607" t="s">
        <v>688</v>
      </c>
      <c r="G607" t="s">
        <v>688</v>
      </c>
      <c r="H607" t="s">
        <v>688</v>
      </c>
      <c r="I607" t="s">
        <v>688</v>
      </c>
      <c r="J607" t="s">
        <v>688</v>
      </c>
      <c r="K607" t="s">
        <v>688</v>
      </c>
      <c r="L607" t="s">
        <v>1774</v>
      </c>
      <c r="M607" t="s">
        <v>688</v>
      </c>
      <c r="O607" t="s">
        <v>1775</v>
      </c>
    </row>
    <row r="608" spans="1:15" ht="15">
      <c r="A608" s="9">
        <v>312</v>
      </c>
      <c r="B608" t="str">
        <f ca="1">IFERROR(__xludf.DUMMYFUNCTION((TRANSPOSE(ImportHTML("http://spending.data.al/sq/moneypower/view/id/312/year/2014",  "table", 0)))),"*Kategoria*")</f>
        <v>*Kategoria*</v>
      </c>
      <c r="C608" t="s">
        <v>673</v>
      </c>
      <c r="D608" t="s">
        <v>674</v>
      </c>
      <c r="E608" t="s">
        <v>675</v>
      </c>
      <c r="F608" t="s">
        <v>676</v>
      </c>
      <c r="G608" t="s">
        <v>677</v>
      </c>
      <c r="H608" t="s">
        <v>678</v>
      </c>
      <c r="I608" t="s">
        <v>679</v>
      </c>
      <c r="J608" t="s">
        <v>680</v>
      </c>
      <c r="K608" t="s">
        <v>681</v>
      </c>
      <c r="L608" t="s">
        <v>682</v>
      </c>
      <c r="M608" t="s">
        <v>683</v>
      </c>
      <c r="N608" t="s">
        <v>684</v>
      </c>
      <c r="O608" t="s">
        <v>685</v>
      </c>
    </row>
    <row r="609" spans="1:15" ht="15">
      <c r="A609" s="11"/>
      <c r="B609" t="s">
        <v>686</v>
      </c>
      <c r="C609" t="s">
        <v>1776</v>
      </c>
      <c r="D609" t="s">
        <v>688</v>
      </c>
      <c r="E609" t="s">
        <v>688</v>
      </c>
      <c r="F609" t="s">
        <v>688</v>
      </c>
      <c r="G609" t="s">
        <v>688</v>
      </c>
      <c r="H609" t="s">
        <v>688</v>
      </c>
      <c r="I609" t="s">
        <v>688</v>
      </c>
      <c r="J609" t="s">
        <v>688</v>
      </c>
      <c r="K609" t="s">
        <v>688</v>
      </c>
      <c r="L609" t="s">
        <v>1777</v>
      </c>
      <c r="M609" t="s">
        <v>688</v>
      </c>
      <c r="O609" t="s">
        <v>1778</v>
      </c>
    </row>
    <row r="610" spans="1:15" ht="15">
      <c r="A610" s="9">
        <v>313</v>
      </c>
      <c r="B610" t="str">
        <f ca="1">IFERROR(__xludf.DUMMYFUNCTION((TRANSPOSE(ImportHTML("http://spending.data.al/sq/moneypower/view/id/313/year/2014",  "table", 0)))),"*Kategoria*")</f>
        <v>*Kategoria*</v>
      </c>
      <c r="C610" t="s">
        <v>673</v>
      </c>
      <c r="D610" t="s">
        <v>674</v>
      </c>
      <c r="E610" t="s">
        <v>675</v>
      </c>
      <c r="F610" t="s">
        <v>676</v>
      </c>
      <c r="G610" t="s">
        <v>677</v>
      </c>
      <c r="H610" t="s">
        <v>678</v>
      </c>
      <c r="I610" t="s">
        <v>679</v>
      </c>
      <c r="J610" t="s">
        <v>680</v>
      </c>
      <c r="K610" t="s">
        <v>681</v>
      </c>
      <c r="L610" t="s">
        <v>682</v>
      </c>
      <c r="M610" t="s">
        <v>683</v>
      </c>
      <c r="N610" t="s">
        <v>684</v>
      </c>
      <c r="O610" t="s">
        <v>685</v>
      </c>
    </row>
    <row r="611" spans="1:15" ht="15">
      <c r="A611" s="11"/>
      <c r="B611" t="s">
        <v>686</v>
      </c>
      <c r="C611" t="s">
        <v>1779</v>
      </c>
      <c r="D611" t="s">
        <v>688</v>
      </c>
      <c r="E611" t="s">
        <v>688</v>
      </c>
      <c r="F611" t="s">
        <v>688</v>
      </c>
      <c r="G611" t="s">
        <v>688</v>
      </c>
      <c r="H611" t="s">
        <v>688</v>
      </c>
      <c r="I611" t="s">
        <v>688</v>
      </c>
      <c r="J611" t="s">
        <v>688</v>
      </c>
      <c r="K611" t="s">
        <v>688</v>
      </c>
      <c r="L611" t="s">
        <v>1780</v>
      </c>
      <c r="M611" t="s">
        <v>688</v>
      </c>
      <c r="O611" t="s">
        <v>1781</v>
      </c>
    </row>
    <row r="612" spans="1:15" ht="15">
      <c r="A612" s="9">
        <v>314</v>
      </c>
      <c r="B612" t="str">
        <f ca="1">IFERROR(__xludf.DUMMYFUNCTION((TRANSPOSE(ImportHTML("http://spending.data.al/sq/moneypower/view/id/314/year/2014",  "table", 0)))),"*Kategoria*")</f>
        <v>*Kategoria*</v>
      </c>
      <c r="C612" t="s">
        <v>673</v>
      </c>
      <c r="D612" t="s">
        <v>674</v>
      </c>
      <c r="E612" t="s">
        <v>675</v>
      </c>
      <c r="F612" t="s">
        <v>676</v>
      </c>
      <c r="G612" t="s">
        <v>677</v>
      </c>
      <c r="H612" t="s">
        <v>678</v>
      </c>
      <c r="I612" t="s">
        <v>679</v>
      </c>
      <c r="J612" t="s">
        <v>680</v>
      </c>
      <c r="K612" t="s">
        <v>681</v>
      </c>
      <c r="L612" t="s">
        <v>682</v>
      </c>
      <c r="M612" t="s">
        <v>683</v>
      </c>
      <c r="N612" t="s">
        <v>684</v>
      </c>
      <c r="O612" t="s">
        <v>685</v>
      </c>
    </row>
    <row r="613" spans="1:15" ht="15">
      <c r="A613" s="11"/>
      <c r="B613" t="s">
        <v>686</v>
      </c>
      <c r="C613" t="s">
        <v>1782</v>
      </c>
      <c r="D613" t="s">
        <v>688</v>
      </c>
      <c r="E613" t="s">
        <v>688</v>
      </c>
      <c r="F613" t="s">
        <v>688</v>
      </c>
      <c r="G613" t="s">
        <v>688</v>
      </c>
      <c r="H613" t="s">
        <v>688</v>
      </c>
      <c r="I613" t="s">
        <v>688</v>
      </c>
      <c r="J613" t="s">
        <v>688</v>
      </c>
      <c r="K613" t="s">
        <v>688</v>
      </c>
      <c r="L613" t="s">
        <v>1783</v>
      </c>
      <c r="M613" t="s">
        <v>688</v>
      </c>
      <c r="O613" t="s">
        <v>1784</v>
      </c>
    </row>
    <row r="614" spans="1:15" ht="15">
      <c r="A614" s="9">
        <v>315</v>
      </c>
      <c r="B614" t="str">
        <f ca="1">IFERROR(__xludf.DUMMYFUNCTION((TRANSPOSE(ImportHTML("http://spending.data.al/sq/moneypower/view/id/315/year/2014",  "table", 0)))),"*Kategoria*")</f>
        <v>*Kategoria*</v>
      </c>
      <c r="C614" t="s">
        <v>673</v>
      </c>
      <c r="D614" t="s">
        <v>674</v>
      </c>
      <c r="E614" t="s">
        <v>675</v>
      </c>
      <c r="F614" t="s">
        <v>676</v>
      </c>
      <c r="G614" t="s">
        <v>677</v>
      </c>
      <c r="H614" t="s">
        <v>678</v>
      </c>
      <c r="I614" t="s">
        <v>679</v>
      </c>
      <c r="J614" t="s">
        <v>680</v>
      </c>
      <c r="K614" t="s">
        <v>681</v>
      </c>
      <c r="L614" t="s">
        <v>682</v>
      </c>
      <c r="M614" t="s">
        <v>683</v>
      </c>
      <c r="N614" t="s">
        <v>684</v>
      </c>
      <c r="O614" t="s">
        <v>685</v>
      </c>
    </row>
    <row r="615" spans="1:15" ht="15">
      <c r="A615" s="11"/>
      <c r="B615" t="s">
        <v>686</v>
      </c>
      <c r="C615" t="s">
        <v>1785</v>
      </c>
      <c r="D615" t="s">
        <v>688</v>
      </c>
      <c r="E615" t="s">
        <v>688</v>
      </c>
      <c r="F615" t="s">
        <v>1786</v>
      </c>
      <c r="G615" t="s">
        <v>1423</v>
      </c>
      <c r="H615" t="s">
        <v>688</v>
      </c>
      <c r="I615" t="s">
        <v>688</v>
      </c>
      <c r="J615" t="s">
        <v>688</v>
      </c>
      <c r="K615" t="s">
        <v>688</v>
      </c>
      <c r="L615" t="s">
        <v>1787</v>
      </c>
      <c r="M615" t="s">
        <v>688</v>
      </c>
      <c r="O615" t="s">
        <v>1788</v>
      </c>
    </row>
    <row r="616" spans="1:15" ht="15">
      <c r="A616" s="9">
        <v>316</v>
      </c>
      <c r="B616" t="str">
        <f ca="1">IFERROR(__xludf.DUMMYFUNCTION((TRANSPOSE(ImportHTML("http://spending.data.al/sq/moneypower/view/id/316/year/2014",  "table", 0)))),"*Kategoria*")</f>
        <v>*Kategoria*</v>
      </c>
      <c r="C616" t="s">
        <v>673</v>
      </c>
      <c r="D616" t="s">
        <v>674</v>
      </c>
      <c r="E616" t="s">
        <v>675</v>
      </c>
      <c r="F616" t="s">
        <v>676</v>
      </c>
      <c r="G616" t="s">
        <v>677</v>
      </c>
      <c r="H616" t="s">
        <v>678</v>
      </c>
      <c r="I616" t="s">
        <v>679</v>
      </c>
      <c r="J616" t="s">
        <v>680</v>
      </c>
      <c r="K616" t="s">
        <v>681</v>
      </c>
      <c r="L616" t="s">
        <v>682</v>
      </c>
      <c r="M616" t="s">
        <v>683</v>
      </c>
      <c r="N616" t="s">
        <v>684</v>
      </c>
      <c r="O616" t="s">
        <v>685</v>
      </c>
    </row>
    <row r="617" spans="1:15" ht="15">
      <c r="A617" s="11"/>
      <c r="B617" t="s">
        <v>686</v>
      </c>
      <c r="C617" t="s">
        <v>1789</v>
      </c>
      <c r="D617" t="s">
        <v>688</v>
      </c>
      <c r="E617" t="s">
        <v>688</v>
      </c>
      <c r="F617" t="s">
        <v>1790</v>
      </c>
      <c r="G617" t="s">
        <v>688</v>
      </c>
      <c r="H617" t="s">
        <v>688</v>
      </c>
      <c r="I617" t="s">
        <v>688</v>
      </c>
      <c r="J617" t="s">
        <v>688</v>
      </c>
      <c r="K617" t="s">
        <v>688</v>
      </c>
      <c r="L617" t="s">
        <v>1791</v>
      </c>
      <c r="M617" t="s">
        <v>688</v>
      </c>
      <c r="O617" t="s">
        <v>1792</v>
      </c>
    </row>
    <row r="618" spans="1:15" ht="15">
      <c r="A618" s="9">
        <v>317</v>
      </c>
      <c r="B618" t="str">
        <f ca="1">IFERROR(__xludf.DUMMYFUNCTION((TRANSPOSE(ImportHTML("http://spending.data.al/sq/moneypower/view/id/317/year/2014",  "table", 0)))),"*Kategoria*")</f>
        <v>*Kategoria*</v>
      </c>
      <c r="C618" t="s">
        <v>673</v>
      </c>
      <c r="D618" t="s">
        <v>674</v>
      </c>
      <c r="E618" t="s">
        <v>675</v>
      </c>
      <c r="F618" t="s">
        <v>676</v>
      </c>
      <c r="G618" t="s">
        <v>677</v>
      </c>
      <c r="H618" t="s">
        <v>678</v>
      </c>
      <c r="I618" t="s">
        <v>678</v>
      </c>
      <c r="J618" t="s">
        <v>679</v>
      </c>
      <c r="K618" t="s">
        <v>681</v>
      </c>
      <c r="L618" t="s">
        <v>682</v>
      </c>
      <c r="M618" t="s">
        <v>683</v>
      </c>
      <c r="N618" t="s">
        <v>684</v>
      </c>
      <c r="O618" t="s">
        <v>685</v>
      </c>
    </row>
    <row r="619" spans="1:15" ht="15">
      <c r="A619" s="11"/>
      <c r="B619" t="s">
        <v>686</v>
      </c>
      <c r="C619" t="s">
        <v>1793</v>
      </c>
      <c r="D619" t="s">
        <v>1794</v>
      </c>
      <c r="E619" t="s">
        <v>688</v>
      </c>
      <c r="F619" t="s">
        <v>688</v>
      </c>
      <c r="G619" t="s">
        <v>688</v>
      </c>
      <c r="H619" t="s">
        <v>688</v>
      </c>
      <c r="I619" t="s">
        <v>688</v>
      </c>
      <c r="J619" t="s">
        <v>688</v>
      </c>
      <c r="K619" t="s">
        <v>688</v>
      </c>
      <c r="L619" t="s">
        <v>1795</v>
      </c>
      <c r="M619" t="s">
        <v>688</v>
      </c>
      <c r="O619" t="s">
        <v>1796</v>
      </c>
    </row>
    <row r="620" spans="1:15" ht="15">
      <c r="A620" s="9">
        <v>318</v>
      </c>
      <c r="B620" t="str">
        <f ca="1">IFERROR(__xludf.DUMMYFUNCTION((TRANSPOSE(ImportHTML("http://spending.data.al/sq/moneypower/view/id/318/year/2014",  "table", 0)))),"*Kategoria*")</f>
        <v>*Kategoria*</v>
      </c>
      <c r="C620" t="s">
        <v>673</v>
      </c>
      <c r="D620" t="s">
        <v>674</v>
      </c>
      <c r="E620" t="s">
        <v>675</v>
      </c>
      <c r="F620" t="s">
        <v>676</v>
      </c>
      <c r="G620" t="s">
        <v>677</v>
      </c>
      <c r="H620" t="s">
        <v>678</v>
      </c>
      <c r="I620" t="s">
        <v>679</v>
      </c>
      <c r="J620" t="s">
        <v>680</v>
      </c>
      <c r="K620" t="s">
        <v>681</v>
      </c>
      <c r="L620" t="s">
        <v>682</v>
      </c>
      <c r="M620" t="s">
        <v>683</v>
      </c>
      <c r="N620" t="s">
        <v>684</v>
      </c>
      <c r="O620" t="s">
        <v>685</v>
      </c>
    </row>
    <row r="621" spans="1:15" ht="15">
      <c r="A621" s="11"/>
      <c r="B621" t="s">
        <v>686</v>
      </c>
      <c r="C621" t="s">
        <v>1797</v>
      </c>
      <c r="D621" t="s">
        <v>688</v>
      </c>
      <c r="E621" t="s">
        <v>688</v>
      </c>
      <c r="F621" t="s">
        <v>688</v>
      </c>
      <c r="G621" t="s">
        <v>1798</v>
      </c>
      <c r="H621" t="s">
        <v>688</v>
      </c>
      <c r="I621" t="s">
        <v>688</v>
      </c>
      <c r="J621" t="s">
        <v>688</v>
      </c>
      <c r="K621" t="s">
        <v>688</v>
      </c>
      <c r="M621" t="s">
        <v>688</v>
      </c>
      <c r="O621" t="s">
        <v>1799</v>
      </c>
    </row>
    <row r="622" spans="1:15" ht="15">
      <c r="A622" s="9">
        <v>319</v>
      </c>
      <c r="B622" t="str">
        <f ca="1">IFERROR(__xludf.DUMMYFUNCTION((TRANSPOSE(ImportHTML("http://spending.data.al/sq/moneypower/view/id/319/year/2014",  "table", 0)))),"*Kategoria*")</f>
        <v>*Kategoria*</v>
      </c>
      <c r="C622" t="s">
        <v>673</v>
      </c>
      <c r="D622" t="s">
        <v>674</v>
      </c>
      <c r="E622" t="s">
        <v>675</v>
      </c>
      <c r="F622" t="s">
        <v>676</v>
      </c>
      <c r="G622" t="s">
        <v>677</v>
      </c>
      <c r="H622" t="s">
        <v>678</v>
      </c>
      <c r="I622" t="s">
        <v>679</v>
      </c>
      <c r="J622" t="s">
        <v>680</v>
      </c>
      <c r="K622" t="s">
        <v>681</v>
      </c>
      <c r="L622" t="s">
        <v>682</v>
      </c>
      <c r="M622" t="s">
        <v>683</v>
      </c>
      <c r="N622" t="s">
        <v>684</v>
      </c>
      <c r="O622" t="s">
        <v>685</v>
      </c>
    </row>
    <row r="623" spans="1:15" ht="15">
      <c r="A623" s="11"/>
      <c r="B623" t="s">
        <v>686</v>
      </c>
      <c r="C623" t="s">
        <v>1800</v>
      </c>
      <c r="D623" t="s">
        <v>688</v>
      </c>
      <c r="E623" t="s">
        <v>688</v>
      </c>
      <c r="F623" t="s">
        <v>688</v>
      </c>
      <c r="G623" t="s">
        <v>688</v>
      </c>
      <c r="H623" t="s">
        <v>688</v>
      </c>
      <c r="I623" t="s">
        <v>688</v>
      </c>
      <c r="J623" t="s">
        <v>688</v>
      </c>
      <c r="K623" t="s">
        <v>688</v>
      </c>
      <c r="L623" t="s">
        <v>1801</v>
      </c>
      <c r="M623" t="s">
        <v>688</v>
      </c>
      <c r="O623" t="s">
        <v>1802</v>
      </c>
    </row>
    <row r="624" spans="1:15" ht="15">
      <c r="A624" s="9">
        <v>320</v>
      </c>
      <c r="B624" t="str">
        <f ca="1">IFERROR(__xludf.DUMMYFUNCTION((TRANSPOSE(ImportHTML("http://spending.data.al/sq/moneypower/view/id/320/year/2014",  "table", 0)))),"*Kategoria*")</f>
        <v>*Kategoria*</v>
      </c>
      <c r="C624" t="s">
        <v>673</v>
      </c>
      <c r="D624" t="s">
        <v>674</v>
      </c>
      <c r="E624" t="s">
        <v>675</v>
      </c>
      <c r="F624" t="s">
        <v>676</v>
      </c>
      <c r="G624" t="s">
        <v>677</v>
      </c>
      <c r="H624" t="s">
        <v>678</v>
      </c>
      <c r="I624" t="s">
        <v>679</v>
      </c>
      <c r="J624" t="s">
        <v>680</v>
      </c>
      <c r="K624" t="s">
        <v>681</v>
      </c>
      <c r="L624" t="s">
        <v>682</v>
      </c>
      <c r="M624" t="s">
        <v>683</v>
      </c>
      <c r="N624" t="s">
        <v>684</v>
      </c>
      <c r="O624" t="s">
        <v>685</v>
      </c>
    </row>
    <row r="625" spans="1:15" ht="15">
      <c r="A625" s="11"/>
      <c r="B625" t="s">
        <v>686</v>
      </c>
      <c r="C625" t="s">
        <v>1803</v>
      </c>
      <c r="D625" t="s">
        <v>688</v>
      </c>
      <c r="E625" t="s">
        <v>688</v>
      </c>
      <c r="F625" t="s">
        <v>688</v>
      </c>
      <c r="G625" t="s">
        <v>688</v>
      </c>
      <c r="H625" t="s">
        <v>688</v>
      </c>
      <c r="I625" t="s">
        <v>688</v>
      </c>
      <c r="J625" t="s">
        <v>688</v>
      </c>
      <c r="K625" t="s">
        <v>688</v>
      </c>
      <c r="L625" t="s">
        <v>1804</v>
      </c>
      <c r="M625" t="s">
        <v>688</v>
      </c>
      <c r="O625" t="s">
        <v>1805</v>
      </c>
    </row>
    <row r="626" spans="1:15" ht="15">
      <c r="A626" s="9">
        <v>321</v>
      </c>
      <c r="B626" t="str">
        <f ca="1">IFERROR(__xludf.DUMMYFUNCTION((TRANSPOSE(ImportHTML("http://spending.data.al/sq/moneypower/view/id/321/year/2014",  "table", 0)))),"*Kategoria*")</f>
        <v>*Kategoria*</v>
      </c>
      <c r="C626" t="s">
        <v>673</v>
      </c>
      <c r="D626" t="s">
        <v>674</v>
      </c>
      <c r="E626" t="s">
        <v>675</v>
      </c>
      <c r="F626" t="s">
        <v>676</v>
      </c>
      <c r="G626" t="s">
        <v>677</v>
      </c>
      <c r="H626" t="s">
        <v>678</v>
      </c>
      <c r="I626" t="s">
        <v>679</v>
      </c>
      <c r="J626" t="s">
        <v>680</v>
      </c>
      <c r="K626" t="s">
        <v>681</v>
      </c>
      <c r="L626" t="s">
        <v>682</v>
      </c>
      <c r="M626" t="s">
        <v>683</v>
      </c>
      <c r="N626" t="s">
        <v>684</v>
      </c>
      <c r="O626" t="s">
        <v>685</v>
      </c>
    </row>
    <row r="627" spans="1:15" ht="15">
      <c r="A627" s="11"/>
      <c r="B627" t="s">
        <v>686</v>
      </c>
      <c r="C627" t="s">
        <v>1806</v>
      </c>
      <c r="D627" t="s">
        <v>688</v>
      </c>
      <c r="E627" t="s">
        <v>688</v>
      </c>
      <c r="F627" t="s">
        <v>688</v>
      </c>
      <c r="G627" t="s">
        <v>688</v>
      </c>
      <c r="H627" t="s">
        <v>688</v>
      </c>
      <c r="I627" t="s">
        <v>688</v>
      </c>
      <c r="J627" t="s">
        <v>688</v>
      </c>
      <c r="K627" t="s">
        <v>688</v>
      </c>
      <c r="L627" t="s">
        <v>688</v>
      </c>
      <c r="M627" t="s">
        <v>688</v>
      </c>
      <c r="O627" t="s">
        <v>1807</v>
      </c>
    </row>
    <row r="628" spans="1:15" ht="15">
      <c r="A628" s="9">
        <v>322</v>
      </c>
      <c r="B628" t="str">
        <f ca="1">IFERROR(__xludf.DUMMYFUNCTION((TRANSPOSE(ImportHTML("http://spending.data.al/sq/moneypower/view/id/322/year/2014",  "table", 0)))),"*Kategoria*")</f>
        <v>*Kategoria*</v>
      </c>
      <c r="C628" t="s">
        <v>673</v>
      </c>
      <c r="D628" t="s">
        <v>674</v>
      </c>
      <c r="E628" t="s">
        <v>675</v>
      </c>
      <c r="F628" t="s">
        <v>676</v>
      </c>
      <c r="G628" t="s">
        <v>677</v>
      </c>
      <c r="H628" t="s">
        <v>678</v>
      </c>
      <c r="I628" t="s">
        <v>679</v>
      </c>
      <c r="J628" t="s">
        <v>680</v>
      </c>
      <c r="K628" t="s">
        <v>681</v>
      </c>
      <c r="L628" t="s">
        <v>682</v>
      </c>
      <c r="M628" t="s">
        <v>683</v>
      </c>
      <c r="N628" t="s">
        <v>684</v>
      </c>
      <c r="O628" t="s">
        <v>685</v>
      </c>
    </row>
    <row r="629" spans="1:15" ht="15">
      <c r="A629" s="11"/>
      <c r="B629" t="s">
        <v>686</v>
      </c>
      <c r="C629" t="s">
        <v>1808</v>
      </c>
      <c r="D629" t="s">
        <v>688</v>
      </c>
      <c r="E629" t="s">
        <v>688</v>
      </c>
      <c r="F629" t="s">
        <v>1809</v>
      </c>
      <c r="G629" t="s">
        <v>688</v>
      </c>
      <c r="H629" t="s">
        <v>688</v>
      </c>
      <c r="I629" t="s">
        <v>688</v>
      </c>
      <c r="J629" t="s">
        <v>1810</v>
      </c>
      <c r="K629" t="s">
        <v>688</v>
      </c>
      <c r="L629" t="s">
        <v>1811</v>
      </c>
      <c r="M629" t="s">
        <v>688</v>
      </c>
      <c r="O629" t="s">
        <v>1812</v>
      </c>
    </row>
    <row r="630" spans="1:15" ht="15">
      <c r="A630" s="9">
        <v>323</v>
      </c>
      <c r="B630" t="str">
        <f ca="1">IFERROR(__xludf.DUMMYFUNCTION((TRANSPOSE(ImportHTML("http://spending.data.al/sq/moneypower/view/id/323/year/2014",  "table", 0)))),"*Kategoria*")</f>
        <v>*Kategoria*</v>
      </c>
      <c r="C630" t="s">
        <v>673</v>
      </c>
      <c r="D630" t="s">
        <v>674</v>
      </c>
      <c r="E630" t="s">
        <v>675</v>
      </c>
      <c r="F630" t="s">
        <v>676</v>
      </c>
      <c r="G630" t="s">
        <v>677</v>
      </c>
      <c r="H630" t="s">
        <v>678</v>
      </c>
      <c r="I630" t="s">
        <v>679</v>
      </c>
      <c r="J630" t="s">
        <v>680</v>
      </c>
      <c r="K630" t="s">
        <v>681</v>
      </c>
      <c r="L630" t="s">
        <v>682</v>
      </c>
      <c r="M630" t="s">
        <v>683</v>
      </c>
      <c r="N630" t="s">
        <v>684</v>
      </c>
      <c r="O630" t="s">
        <v>685</v>
      </c>
    </row>
    <row r="631" spans="1:15" ht="15">
      <c r="A631" s="11"/>
      <c r="B631" t="s">
        <v>686</v>
      </c>
      <c r="C631" t="s">
        <v>1813</v>
      </c>
      <c r="D631" t="s">
        <v>688</v>
      </c>
      <c r="E631" t="s">
        <v>688</v>
      </c>
      <c r="F631" t="s">
        <v>688</v>
      </c>
      <c r="G631" t="s">
        <v>688</v>
      </c>
      <c r="H631" t="s">
        <v>688</v>
      </c>
      <c r="I631" t="s">
        <v>688</v>
      </c>
      <c r="J631" t="s">
        <v>688</v>
      </c>
      <c r="K631" t="s">
        <v>688</v>
      </c>
      <c r="L631" t="s">
        <v>1814</v>
      </c>
      <c r="M631" t="s">
        <v>688</v>
      </c>
      <c r="O631" t="s">
        <v>1815</v>
      </c>
    </row>
    <row r="632" spans="1:15" ht="15">
      <c r="A632" s="9">
        <v>324</v>
      </c>
      <c r="B632" t="str">
        <f ca="1">IFERROR(__xludf.DUMMYFUNCTION((TRANSPOSE(ImportHTML("http://spending.data.al/sq/moneypower/view/id/324/year/2014",  "table", 0)))),"*Kategoria*")</f>
        <v>*Kategoria*</v>
      </c>
      <c r="C632" t="s">
        <v>673</v>
      </c>
      <c r="D632" t="s">
        <v>674</v>
      </c>
      <c r="E632" t="s">
        <v>675</v>
      </c>
      <c r="F632" t="s">
        <v>676</v>
      </c>
      <c r="G632" t="s">
        <v>677</v>
      </c>
      <c r="H632" t="s">
        <v>678</v>
      </c>
      <c r="I632" t="s">
        <v>679</v>
      </c>
      <c r="J632" t="s">
        <v>680</v>
      </c>
      <c r="K632" t="s">
        <v>681</v>
      </c>
      <c r="L632" t="s">
        <v>682</v>
      </c>
      <c r="M632" t="s">
        <v>683</v>
      </c>
      <c r="N632" t="s">
        <v>684</v>
      </c>
      <c r="O632" t="s">
        <v>685</v>
      </c>
    </row>
    <row r="633" spans="1:15" ht="15">
      <c r="A633" s="11"/>
      <c r="B633" t="s">
        <v>686</v>
      </c>
      <c r="C633" t="s">
        <v>1816</v>
      </c>
      <c r="D633" t="s">
        <v>688</v>
      </c>
      <c r="E633" t="s">
        <v>688</v>
      </c>
      <c r="F633" t="s">
        <v>688</v>
      </c>
      <c r="G633" t="s">
        <v>688</v>
      </c>
      <c r="H633" t="s">
        <v>688</v>
      </c>
      <c r="I633" t="s">
        <v>688</v>
      </c>
      <c r="J633" t="s">
        <v>688</v>
      </c>
      <c r="K633" t="s">
        <v>688</v>
      </c>
      <c r="L633" t="s">
        <v>1817</v>
      </c>
      <c r="M633" t="s">
        <v>688</v>
      </c>
      <c r="O633" t="s">
        <v>1818</v>
      </c>
    </row>
    <row r="634" spans="1:15" ht="15">
      <c r="A634" s="9">
        <v>325</v>
      </c>
      <c r="B634" t="str">
        <f ca="1">IFERROR(__xludf.DUMMYFUNCTION((TRANSPOSE(ImportHTML("http://spending.data.al/sq/moneypower/view/id/325/year/2014",  "table", 0)))),"*Kategoria*")</f>
        <v>*Kategoria*</v>
      </c>
      <c r="C634" t="s">
        <v>673</v>
      </c>
      <c r="D634" t="s">
        <v>674</v>
      </c>
      <c r="E634" t="s">
        <v>675</v>
      </c>
      <c r="F634" t="s">
        <v>676</v>
      </c>
      <c r="G634" t="s">
        <v>677</v>
      </c>
      <c r="H634" t="s">
        <v>678</v>
      </c>
      <c r="I634" t="s">
        <v>679</v>
      </c>
      <c r="J634" t="s">
        <v>680</v>
      </c>
      <c r="K634" t="s">
        <v>681</v>
      </c>
      <c r="L634" t="s">
        <v>682</v>
      </c>
      <c r="M634" t="s">
        <v>683</v>
      </c>
      <c r="N634" t="s">
        <v>684</v>
      </c>
      <c r="O634" t="s">
        <v>685</v>
      </c>
    </row>
    <row r="635" spans="1:15" ht="15">
      <c r="A635" s="11"/>
      <c r="B635" t="s">
        <v>686</v>
      </c>
      <c r="C635" t="s">
        <v>1819</v>
      </c>
      <c r="D635" t="s">
        <v>688</v>
      </c>
      <c r="E635" t="s">
        <v>688</v>
      </c>
      <c r="F635" t="s">
        <v>1820</v>
      </c>
      <c r="G635" t="s">
        <v>1821</v>
      </c>
      <c r="H635" t="s">
        <v>688</v>
      </c>
      <c r="I635" t="s">
        <v>688</v>
      </c>
      <c r="J635" t="s">
        <v>688</v>
      </c>
      <c r="K635" t="s">
        <v>688</v>
      </c>
      <c r="L635" t="s">
        <v>1822</v>
      </c>
      <c r="M635" t="s">
        <v>688</v>
      </c>
      <c r="O635" t="s">
        <v>1823</v>
      </c>
    </row>
    <row r="636" spans="1:15" ht="15">
      <c r="A636" s="9">
        <v>326</v>
      </c>
      <c r="B636" t="str">
        <f ca="1">IFERROR(__xludf.DUMMYFUNCTION((TRANSPOSE(ImportHTML("http://spending.data.al/sq/moneypower/view/id/326/year/2014",  "table", 0)))),"*Kategoria*")</f>
        <v>*Kategoria*</v>
      </c>
      <c r="C636" t="s">
        <v>673</v>
      </c>
      <c r="D636" t="s">
        <v>674</v>
      </c>
      <c r="E636" t="s">
        <v>675</v>
      </c>
      <c r="F636" t="s">
        <v>676</v>
      </c>
      <c r="G636" t="s">
        <v>677</v>
      </c>
      <c r="H636" t="s">
        <v>678</v>
      </c>
      <c r="I636" t="s">
        <v>679</v>
      </c>
      <c r="J636" t="s">
        <v>680</v>
      </c>
      <c r="K636" t="s">
        <v>681</v>
      </c>
      <c r="L636" t="s">
        <v>682</v>
      </c>
      <c r="M636" t="s">
        <v>683</v>
      </c>
      <c r="N636" t="s">
        <v>684</v>
      </c>
      <c r="O636" t="s">
        <v>685</v>
      </c>
    </row>
    <row r="637" spans="1:15" ht="15">
      <c r="A637" s="11"/>
      <c r="B637" t="s">
        <v>686</v>
      </c>
      <c r="C637" t="s">
        <v>1824</v>
      </c>
      <c r="D637" t="s">
        <v>688</v>
      </c>
      <c r="E637" t="s">
        <v>688</v>
      </c>
      <c r="F637" t="s">
        <v>688</v>
      </c>
      <c r="G637" t="s">
        <v>1825</v>
      </c>
      <c r="H637" t="s">
        <v>1826</v>
      </c>
      <c r="I637" t="s">
        <v>688</v>
      </c>
      <c r="J637" t="s">
        <v>688</v>
      </c>
      <c r="K637" t="s">
        <v>688</v>
      </c>
      <c r="L637" t="s">
        <v>1827</v>
      </c>
      <c r="M637" t="s">
        <v>688</v>
      </c>
      <c r="O637" t="s">
        <v>1828</v>
      </c>
    </row>
    <row r="638" spans="1:15" ht="15">
      <c r="A638" s="9">
        <v>327</v>
      </c>
      <c r="B638" t="str">
        <f ca="1">IFERROR(__xludf.DUMMYFUNCTION((TRANSPOSE(ImportHTML("http://spending.data.al/sq/moneypower/view/id/327/year/2014",  "table", 0)))),"*Kategoria*")</f>
        <v>*Kategoria*</v>
      </c>
      <c r="C638" t="s">
        <v>673</v>
      </c>
      <c r="D638" t="s">
        <v>674</v>
      </c>
      <c r="E638" t="s">
        <v>675</v>
      </c>
      <c r="F638" t="s">
        <v>676</v>
      </c>
      <c r="G638" t="s">
        <v>677</v>
      </c>
      <c r="H638" t="s">
        <v>678</v>
      </c>
      <c r="I638" t="s">
        <v>679</v>
      </c>
      <c r="J638" t="s">
        <v>680</v>
      </c>
      <c r="K638" t="s">
        <v>681</v>
      </c>
      <c r="L638" t="s">
        <v>682</v>
      </c>
      <c r="M638" t="s">
        <v>683</v>
      </c>
      <c r="N638" t="s">
        <v>684</v>
      </c>
      <c r="O638" t="s">
        <v>685</v>
      </c>
    </row>
    <row r="639" spans="1:15" ht="12.75">
      <c r="B639" t="s">
        <v>686</v>
      </c>
      <c r="C639" t="s">
        <v>1829</v>
      </c>
      <c r="D639" t="s">
        <v>1830</v>
      </c>
      <c r="E639" t="s">
        <v>688</v>
      </c>
      <c r="F639" t="s">
        <v>688</v>
      </c>
      <c r="G639" t="s">
        <v>688</v>
      </c>
      <c r="H639" t="s">
        <v>688</v>
      </c>
      <c r="I639" t="s">
        <v>688</v>
      </c>
      <c r="J639" t="s">
        <v>688</v>
      </c>
      <c r="K639" t="s">
        <v>688</v>
      </c>
      <c r="L639" t="s">
        <v>688</v>
      </c>
      <c r="M639" t="s">
        <v>688</v>
      </c>
      <c r="O639" t="s">
        <v>1831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4"/>
  <sheetViews>
    <sheetView topLeftCell="A82" workbookViewId="0"/>
  </sheetViews>
  <sheetFormatPr defaultColWidth="14.42578125" defaultRowHeight="15.75" customHeight="1"/>
  <cols>
    <col min="4" max="4" width="21.85546875" customWidth="1"/>
  </cols>
  <sheetData>
    <row r="1" spans="1:10" ht="15">
      <c r="A1" s="1">
        <v>1</v>
      </c>
      <c r="B1" t="str">
        <f ca="1">IFERROR(__xludf.DUMMYFUNCTION((TRANSPOSE(ImportHTML("http://spending.data.al/sq/moneypower/view/id/1/year/2014",  "table", 2)))),"*Kategoria*")</f>
        <v>*Kategoria*</v>
      </c>
      <c r="D1" t="s">
        <v>719</v>
      </c>
      <c r="E1" t="s">
        <v>720</v>
      </c>
      <c r="F1" t="s">
        <v>721</v>
      </c>
      <c r="G1" t="s">
        <v>722</v>
      </c>
      <c r="H1" t="s">
        <v>723</v>
      </c>
      <c r="I1" t="s">
        <v>724</v>
      </c>
      <c r="J1" t="s">
        <v>685</v>
      </c>
    </row>
    <row r="2" spans="1:10" ht="15">
      <c r="A2" s="7"/>
      <c r="B2" t="s">
        <v>686</v>
      </c>
      <c r="D2" t="s">
        <v>725</v>
      </c>
      <c r="E2" t="s">
        <v>726</v>
      </c>
      <c r="F2" t="s">
        <v>727</v>
      </c>
      <c r="G2" t="s">
        <v>728</v>
      </c>
      <c r="H2" t="s">
        <v>727</v>
      </c>
      <c r="I2" t="s">
        <v>707</v>
      </c>
      <c r="J2" t="s">
        <v>707</v>
      </c>
    </row>
    <row r="3" spans="1:10" ht="15">
      <c r="A3" s="1">
        <v>2</v>
      </c>
      <c r="B3" t="str">
        <f ca="1">IFERROR(__xludf.DUMMYFUNCTION((TRANSPOSE(ImportHTML("http://spending.data.al/sq/moneypower/view/id/2/year/2014",  "table", 2)))),"*Kategoria*")</f>
        <v>*Kategoria*</v>
      </c>
      <c r="C3" t="s">
        <v>2589</v>
      </c>
    </row>
    <row r="4" spans="1:10" ht="15">
      <c r="A4" s="7"/>
      <c r="B4" t="s">
        <v>686</v>
      </c>
    </row>
    <row r="5" spans="1:10" ht="15">
      <c r="A5" s="1">
        <v>3</v>
      </c>
      <c r="B5" t="str">
        <f ca="1">IFERROR(__xludf.DUMMYFUNCTION((TRANSPOSE(ImportHTML("http://spending.data.al/sq/moneypower/view/id/3/year/2014",  "table", 2)))),"*Kategoria*")</f>
        <v>*Kategoria*</v>
      </c>
      <c r="D5" t="s">
        <v>719</v>
      </c>
      <c r="E5" t="s">
        <v>720</v>
      </c>
      <c r="F5" t="s">
        <v>721</v>
      </c>
      <c r="G5" t="s">
        <v>722</v>
      </c>
      <c r="H5" t="s">
        <v>723</v>
      </c>
      <c r="I5" t="s">
        <v>724</v>
      </c>
      <c r="J5" t="s">
        <v>685</v>
      </c>
    </row>
    <row r="6" spans="1:10" ht="15">
      <c r="A6" s="7"/>
      <c r="B6" t="s">
        <v>686</v>
      </c>
      <c r="D6" t="s">
        <v>2695</v>
      </c>
      <c r="E6" t="s">
        <v>2696</v>
      </c>
      <c r="F6" t="s">
        <v>2697</v>
      </c>
      <c r="G6" t="s">
        <v>727</v>
      </c>
      <c r="H6" t="s">
        <v>727</v>
      </c>
      <c r="I6" t="s">
        <v>707</v>
      </c>
      <c r="J6" t="s">
        <v>707</v>
      </c>
    </row>
    <row r="7" spans="1:10" ht="15">
      <c r="A7" s="1">
        <v>4</v>
      </c>
      <c r="B7" t="str">
        <f ca="1">IFERROR(__xludf.DUMMYFUNCTION((TRANSPOSE(ImportHTML("http://spending.data.al/sq/moneypower/view/id/4/year/2014",  "table", 2)))),"*Kategoria*")</f>
        <v>*Kategoria*</v>
      </c>
      <c r="C7" t="s">
        <v>2589</v>
      </c>
    </row>
    <row r="8" spans="1:10" ht="15">
      <c r="A8" s="7"/>
      <c r="B8" t="s">
        <v>686</v>
      </c>
    </row>
    <row r="9" spans="1:10" ht="15">
      <c r="A9" s="1">
        <v>5</v>
      </c>
      <c r="B9" t="str">
        <f ca="1">IFERROR(__xludf.DUMMYFUNCTION((TRANSPOSE(ImportHTML("http://spending.data.al/sq/moneypower/view/id/5/year/2014",  "table", 2)))),"*Kategoria*")</f>
        <v>*Kategoria*</v>
      </c>
      <c r="C9" t="s">
        <v>2589</v>
      </c>
    </row>
    <row r="10" spans="1:10" ht="15">
      <c r="A10" s="7"/>
      <c r="B10" t="s">
        <v>686</v>
      </c>
    </row>
    <row r="11" spans="1:10" ht="15">
      <c r="A11" s="1">
        <v>6</v>
      </c>
      <c r="B11" t="str">
        <f ca="1">IFERROR(__xludf.DUMMYFUNCTION((TRANSPOSE(ImportHTML("http://spending.data.al/sq/moneypower/view/id/6/year/2014",  "table", 2)))),"*Kategoria*")</f>
        <v>*Kategoria*</v>
      </c>
      <c r="D11" t="s">
        <v>719</v>
      </c>
      <c r="E11" t="s">
        <v>720</v>
      </c>
      <c r="F11" t="s">
        <v>721</v>
      </c>
      <c r="G11" t="s">
        <v>722</v>
      </c>
      <c r="H11" t="s">
        <v>723</v>
      </c>
      <c r="I11" t="s">
        <v>724</v>
      </c>
      <c r="J11" t="s">
        <v>685</v>
      </c>
    </row>
    <row r="12" spans="1:10" ht="15">
      <c r="A12" s="7"/>
      <c r="B12" t="s">
        <v>686</v>
      </c>
      <c r="D12" t="s">
        <v>2698</v>
      </c>
      <c r="E12" t="s">
        <v>2699</v>
      </c>
      <c r="F12" t="s">
        <v>727</v>
      </c>
      <c r="G12" t="s">
        <v>727</v>
      </c>
      <c r="H12" t="s">
        <v>727</v>
      </c>
      <c r="I12" t="s">
        <v>2700</v>
      </c>
      <c r="J12" t="s">
        <v>727</v>
      </c>
    </row>
    <row r="13" spans="1:10" ht="15">
      <c r="A13" s="1">
        <v>7</v>
      </c>
      <c r="B13" t="str">
        <f ca="1">IFERROR(__xludf.DUMMYFUNCTION((TRANSPOSE(ImportHTML("http://spending.data.al/sq/moneypower/view/id/7/year/2014",  "table", 2)))),"*Kategoria*")</f>
        <v>*Kategoria*</v>
      </c>
      <c r="C13" t="s">
        <v>2589</v>
      </c>
    </row>
    <row r="14" spans="1:10" ht="15">
      <c r="A14" s="7"/>
      <c r="B14" t="s">
        <v>686</v>
      </c>
    </row>
    <row r="15" spans="1:10" ht="15">
      <c r="A15" s="1">
        <v>8</v>
      </c>
      <c r="B15" t="str">
        <f ca="1">IFERROR(__xludf.DUMMYFUNCTION((TRANSPOSE(ImportHTML("http://spending.data.al/sq/moneypower/view/id/8/year/2014",  "table", 2)))),"*Kategoria*")</f>
        <v>*Kategoria*</v>
      </c>
      <c r="C15" t="s">
        <v>2589</v>
      </c>
    </row>
    <row r="16" spans="1:10" ht="15">
      <c r="A16" s="7"/>
      <c r="B16" t="s">
        <v>686</v>
      </c>
    </row>
    <row r="17" spans="1:10" ht="15">
      <c r="A17" s="1">
        <v>9</v>
      </c>
      <c r="B17" t="str">
        <f ca="1">IFERROR(__xludf.DUMMYFUNCTION((TRANSPOSE(ImportHTML("http://spending.data.al/sq/moneypower/view/id/9/year/2014",  "table", 2)))),"*Kategoria*")</f>
        <v>*Kategoria*</v>
      </c>
      <c r="D17" t="s">
        <v>719</v>
      </c>
      <c r="E17" t="s">
        <v>720</v>
      </c>
      <c r="F17" t="s">
        <v>721</v>
      </c>
      <c r="G17" t="s">
        <v>722</v>
      </c>
      <c r="H17" t="s">
        <v>723</v>
      </c>
      <c r="I17" t="s">
        <v>724</v>
      </c>
      <c r="J17" t="s">
        <v>685</v>
      </c>
    </row>
    <row r="18" spans="1:10" ht="15">
      <c r="A18" s="7"/>
      <c r="B18" t="s">
        <v>686</v>
      </c>
      <c r="D18" t="s">
        <v>2701</v>
      </c>
      <c r="E18" t="s">
        <v>2702</v>
      </c>
      <c r="F18" t="s">
        <v>2703</v>
      </c>
      <c r="G18" t="s">
        <v>727</v>
      </c>
      <c r="H18" t="s">
        <v>727</v>
      </c>
      <c r="I18" t="s">
        <v>727</v>
      </c>
      <c r="J18" t="s">
        <v>707</v>
      </c>
    </row>
    <row r="19" spans="1:10" ht="15">
      <c r="A19" s="1">
        <v>10</v>
      </c>
      <c r="B19" t="str">
        <f ca="1">IFERROR(__xludf.DUMMYFUNCTION((TRANSPOSE(ImportHTML("http://spending.data.al/sq/moneypower/view/id/10/year/2014",  "table", 2)))),"*Kategoria*")</f>
        <v>*Kategoria*</v>
      </c>
      <c r="C19" t="s">
        <v>2589</v>
      </c>
    </row>
    <row r="20" spans="1:10" ht="15">
      <c r="A20" s="7"/>
      <c r="B20" t="s">
        <v>686</v>
      </c>
    </row>
    <row r="21" spans="1:10" ht="15">
      <c r="A21" s="1">
        <v>11</v>
      </c>
      <c r="B21" t="str">
        <f ca="1">IFERROR(__xludf.DUMMYFUNCTION((TRANSPOSE(ImportHTML("http://spending.data.al/sq/moneypower/view/id/11/year/2014",  "table", 2)))),"*Kategoria*")</f>
        <v>*Kategoria*</v>
      </c>
      <c r="D21" t="s">
        <v>719</v>
      </c>
      <c r="E21" t="s">
        <v>720</v>
      </c>
      <c r="F21" t="s">
        <v>721</v>
      </c>
      <c r="G21" t="s">
        <v>722</v>
      </c>
      <c r="H21" t="s">
        <v>723</v>
      </c>
      <c r="I21" t="s">
        <v>724</v>
      </c>
      <c r="J21" t="s">
        <v>685</v>
      </c>
    </row>
    <row r="22" spans="1:10" ht="15">
      <c r="A22" s="7"/>
      <c r="B22" t="s">
        <v>686</v>
      </c>
      <c r="D22" t="s">
        <v>2704</v>
      </c>
      <c r="E22" t="s">
        <v>2705</v>
      </c>
      <c r="F22" t="s">
        <v>727</v>
      </c>
      <c r="G22" t="s">
        <v>727</v>
      </c>
      <c r="H22" t="s">
        <v>727</v>
      </c>
      <c r="I22" t="s">
        <v>727</v>
      </c>
      <c r="J22" t="s">
        <v>2706</v>
      </c>
    </row>
    <row r="23" spans="1:10" ht="15">
      <c r="A23" s="1">
        <v>12</v>
      </c>
      <c r="B23" t="str">
        <f ca="1">IFERROR(__xludf.DUMMYFUNCTION((TRANSPOSE(ImportHTML("http://spending.data.al/sq/moneypower/view/id/12/year/2014",  "table", 2)))),"*Kategoria*")</f>
        <v>*Kategoria*</v>
      </c>
      <c r="C23" t="s">
        <v>2589</v>
      </c>
    </row>
    <row r="24" spans="1:10" ht="15">
      <c r="A24" s="7"/>
      <c r="B24" t="s">
        <v>686</v>
      </c>
    </row>
    <row r="25" spans="1:10" ht="15">
      <c r="A25" s="1">
        <v>13</v>
      </c>
      <c r="B25" t="str">
        <f ca="1">IFERROR(__xludf.DUMMYFUNCTION((TRANSPOSE(ImportHTML("http://spending.data.al/sq/moneypower/view/id/13/year/2014",  "table", 2)))),"*Kategoria*")</f>
        <v>*Kategoria*</v>
      </c>
      <c r="C25" t="s">
        <v>2589</v>
      </c>
    </row>
    <row r="26" spans="1:10" ht="15">
      <c r="A26" s="7"/>
      <c r="B26" t="s">
        <v>686</v>
      </c>
    </row>
    <row r="27" spans="1:10" ht="15">
      <c r="A27" s="1">
        <v>14</v>
      </c>
      <c r="B27" t="str">
        <f ca="1">IFERROR(__xludf.DUMMYFUNCTION((TRANSPOSE(ImportHTML("http://spending.data.al/sq/moneypower/view/id/14/year/2014",  "table", 2)))),"*Kategoria*")</f>
        <v>*Kategoria*</v>
      </c>
      <c r="D27" t="s">
        <v>719</v>
      </c>
      <c r="E27" t="s">
        <v>720</v>
      </c>
      <c r="F27" t="s">
        <v>721</v>
      </c>
      <c r="G27" t="s">
        <v>722</v>
      </c>
      <c r="H27" t="s">
        <v>723</v>
      </c>
      <c r="I27" t="s">
        <v>724</v>
      </c>
      <c r="J27" t="s">
        <v>685</v>
      </c>
    </row>
    <row r="28" spans="1:10" ht="15">
      <c r="A28" s="7"/>
      <c r="B28" t="s">
        <v>686</v>
      </c>
      <c r="D28" t="s">
        <v>2707</v>
      </c>
      <c r="E28" t="s">
        <v>2708</v>
      </c>
      <c r="F28" t="s">
        <v>727</v>
      </c>
      <c r="G28" t="s">
        <v>727</v>
      </c>
      <c r="H28" t="s">
        <v>727</v>
      </c>
      <c r="I28" t="s">
        <v>727</v>
      </c>
      <c r="J28" t="s">
        <v>2709</v>
      </c>
    </row>
    <row r="29" spans="1:10" ht="15">
      <c r="A29" s="1">
        <v>15</v>
      </c>
      <c r="B29" t="str">
        <f ca="1">IFERROR(__xludf.DUMMYFUNCTION((TRANSPOSE(ImportHTML("http://spending.data.al/sq/moneypower/view/id/15/year/2014",  "table", 2)))),"*Kategoria*")</f>
        <v>*Kategoria*</v>
      </c>
      <c r="C29" t="s">
        <v>2589</v>
      </c>
    </row>
    <row r="30" spans="1:10" ht="15">
      <c r="A30" s="7"/>
      <c r="B30" t="s">
        <v>686</v>
      </c>
    </row>
    <row r="31" spans="1:10" ht="15">
      <c r="A31" s="1">
        <v>16</v>
      </c>
      <c r="B31" t="str">
        <f ca="1">IFERROR(__xludf.DUMMYFUNCTION((TRANSPOSE(ImportHTML("http://spending.data.al/sq/moneypower/view/id/16/year/2014",  "table", 2)))),"*Kategoria*")</f>
        <v>*Kategoria*</v>
      </c>
      <c r="C31" t="s">
        <v>2589</v>
      </c>
    </row>
    <row r="32" spans="1:10" ht="15">
      <c r="A32" s="7"/>
      <c r="B32" t="s">
        <v>686</v>
      </c>
    </row>
    <row r="33" spans="1:10" ht="15">
      <c r="A33" s="1">
        <v>17</v>
      </c>
      <c r="B33" t="str">
        <f ca="1">IFERROR(__xludf.DUMMYFUNCTION((TRANSPOSE(ImportHTML("http://spending.data.al/sq/moneypower/view/id/17/year/2014",  "table", 2)))),"*Kategoria*")</f>
        <v>*Kategoria*</v>
      </c>
      <c r="D33" t="s">
        <v>719</v>
      </c>
      <c r="E33" t="s">
        <v>720</v>
      </c>
      <c r="F33" t="s">
        <v>721</v>
      </c>
      <c r="G33" t="s">
        <v>722</v>
      </c>
      <c r="H33" t="s">
        <v>723</v>
      </c>
      <c r="I33" t="s">
        <v>724</v>
      </c>
      <c r="J33" t="s">
        <v>685</v>
      </c>
    </row>
    <row r="34" spans="1:10" ht="15">
      <c r="A34" s="7"/>
      <c r="B34" t="s">
        <v>686</v>
      </c>
      <c r="D34" t="s">
        <v>2710</v>
      </c>
      <c r="E34" t="s">
        <v>2711</v>
      </c>
      <c r="F34" t="s">
        <v>727</v>
      </c>
      <c r="G34" t="s">
        <v>727</v>
      </c>
      <c r="H34" t="s">
        <v>727</v>
      </c>
      <c r="I34" t="s">
        <v>727</v>
      </c>
      <c r="J34" t="s">
        <v>707</v>
      </c>
    </row>
    <row r="35" spans="1:10" ht="15">
      <c r="A35" s="1">
        <v>18</v>
      </c>
      <c r="B35" t="str">
        <f ca="1">IFERROR(__xludf.DUMMYFUNCTION((TRANSPOSE(ImportHTML("http://spending.data.al/sq/moneypower/view/id/18/year/2014",  "table", 2)))),"*Kategoria*")</f>
        <v>*Kategoria*</v>
      </c>
      <c r="C35" t="s">
        <v>2589</v>
      </c>
    </row>
    <row r="36" spans="1:10" ht="15">
      <c r="A36" s="7"/>
      <c r="B36" t="s">
        <v>686</v>
      </c>
    </row>
    <row r="37" spans="1:10" ht="15">
      <c r="A37" s="1">
        <v>19</v>
      </c>
      <c r="B37" t="str">
        <f ca="1">IFERROR(__xludf.DUMMYFUNCTION((TRANSPOSE(ImportHTML("http://spending.data.al/sq/moneypower/view/id/19/year/2014",  "table", 2)))),"*Kategoria*")</f>
        <v>*Kategoria*</v>
      </c>
      <c r="C37" t="s">
        <v>2589</v>
      </c>
    </row>
    <row r="38" spans="1:10" ht="15">
      <c r="A38" s="7"/>
      <c r="B38" t="s">
        <v>686</v>
      </c>
    </row>
    <row r="39" spans="1:10" ht="15">
      <c r="A39" s="1">
        <v>20</v>
      </c>
      <c r="B39" t="str">
        <f ca="1">IFERROR(__xludf.DUMMYFUNCTION((TRANSPOSE(ImportHTML("http://spending.data.al/sq/moneypower/view/id/20/year/2014",  "table", 2)))),"*Kategoria*")</f>
        <v>*Kategoria*</v>
      </c>
      <c r="D39" t="s">
        <v>719</v>
      </c>
      <c r="E39" t="s">
        <v>720</v>
      </c>
      <c r="F39" t="s">
        <v>721</v>
      </c>
      <c r="G39" t="s">
        <v>722</v>
      </c>
      <c r="H39" t="s">
        <v>723</v>
      </c>
      <c r="I39" t="s">
        <v>724</v>
      </c>
      <c r="J39" t="s">
        <v>685</v>
      </c>
    </row>
    <row r="40" spans="1:10" ht="15">
      <c r="A40" s="7"/>
      <c r="B40" t="s">
        <v>686</v>
      </c>
      <c r="D40" t="s">
        <v>2712</v>
      </c>
      <c r="E40" t="s">
        <v>2713</v>
      </c>
      <c r="F40" t="s">
        <v>2714</v>
      </c>
      <c r="G40" t="s">
        <v>727</v>
      </c>
      <c r="H40" t="s">
        <v>2715</v>
      </c>
      <c r="I40" t="s">
        <v>727</v>
      </c>
      <c r="J40" t="s">
        <v>707</v>
      </c>
    </row>
    <row r="41" spans="1:10" ht="15">
      <c r="A41" s="1">
        <v>21</v>
      </c>
      <c r="B41" t="str">
        <f ca="1">IFERROR(__xludf.DUMMYFUNCTION((TRANSPOSE(ImportHTML("http://spending.data.al/sq/moneypower/view/id/21/year/2014",  "table", 2)))),"*Kategoria*")</f>
        <v>*Kategoria*</v>
      </c>
      <c r="C41" t="s">
        <v>2589</v>
      </c>
    </row>
    <row r="42" spans="1:10" ht="15">
      <c r="A42" s="7"/>
      <c r="B42" t="s">
        <v>686</v>
      </c>
    </row>
    <row r="43" spans="1:10" ht="15">
      <c r="A43" s="1">
        <v>22</v>
      </c>
      <c r="B43" t="str">
        <f ca="1">IFERROR(__xludf.DUMMYFUNCTION((TRANSPOSE(ImportHTML("http://spending.data.al/sq/moneypower/view/id/22/year/2014",  "table", 2)))),"*Kategoria*")</f>
        <v>*Kategoria*</v>
      </c>
      <c r="C43" t="s">
        <v>2589</v>
      </c>
    </row>
    <row r="44" spans="1:10" ht="15">
      <c r="A44" s="7"/>
      <c r="B44" t="s">
        <v>686</v>
      </c>
    </row>
    <row r="45" spans="1:10" ht="15">
      <c r="A45" s="1">
        <v>23</v>
      </c>
      <c r="B45" t="str">
        <f ca="1">IFERROR(__xludf.DUMMYFUNCTION((TRANSPOSE(ImportHTML("http://spending.data.al/sq/moneypower/view/id/23/year/2014",  "table", 2)))),"*Kategoria*")</f>
        <v>*Kategoria*</v>
      </c>
      <c r="C45" t="s">
        <v>2589</v>
      </c>
    </row>
    <row r="46" spans="1:10" ht="15">
      <c r="A46" s="7"/>
      <c r="B46" t="s">
        <v>686</v>
      </c>
    </row>
    <row r="47" spans="1:10" ht="15">
      <c r="A47" s="1">
        <v>24</v>
      </c>
      <c r="B47" t="str">
        <f ca="1">IFERROR(__xludf.DUMMYFUNCTION((TRANSPOSE(ImportHTML("http://spending.data.al/sq/moneypower/view/id/24/year/2014",  "table", 2)))),"*Kategoria*")</f>
        <v>*Kategoria*</v>
      </c>
      <c r="C47" t="s">
        <v>2589</v>
      </c>
    </row>
    <row r="48" spans="1:10" ht="15">
      <c r="A48" s="7"/>
      <c r="B48" t="s">
        <v>686</v>
      </c>
    </row>
    <row r="49" spans="1:10" ht="15">
      <c r="A49" s="1">
        <v>25</v>
      </c>
      <c r="B49" t="str">
        <f ca="1">IFERROR(__xludf.DUMMYFUNCTION((TRANSPOSE(ImportHTML("http://spending.data.al/sq/moneypower/view/id/25/year/2014",  "table", 2)))),"*Kategoria*")</f>
        <v>*Kategoria*</v>
      </c>
      <c r="D49" t="s">
        <v>719</v>
      </c>
      <c r="E49" t="s">
        <v>720</v>
      </c>
      <c r="F49" t="s">
        <v>721</v>
      </c>
      <c r="G49" t="s">
        <v>722</v>
      </c>
      <c r="H49" t="s">
        <v>723</v>
      </c>
      <c r="I49" t="s">
        <v>724</v>
      </c>
      <c r="J49" t="s">
        <v>685</v>
      </c>
    </row>
    <row r="50" spans="1:10" ht="15">
      <c r="A50" s="7"/>
      <c r="B50" t="s">
        <v>686</v>
      </c>
      <c r="D50" t="s">
        <v>2716</v>
      </c>
      <c r="E50" t="s">
        <v>2717</v>
      </c>
      <c r="F50" t="s">
        <v>2718</v>
      </c>
      <c r="G50" t="s">
        <v>727</v>
      </c>
      <c r="H50" t="s">
        <v>727</v>
      </c>
      <c r="I50" t="s">
        <v>727</v>
      </c>
      <c r="J50" t="s">
        <v>2719</v>
      </c>
    </row>
    <row r="51" spans="1:10" ht="15">
      <c r="A51" s="1">
        <v>26</v>
      </c>
      <c r="B51" t="str">
        <f ca="1">IFERROR(__xludf.DUMMYFUNCTION((TRANSPOSE(ImportHTML("http://spending.data.al/sq/moneypower/view/id/26/year/2014",  "table", 2)))),"*Kategoria*")</f>
        <v>*Kategoria*</v>
      </c>
      <c r="C51" t="s">
        <v>2589</v>
      </c>
    </row>
    <row r="52" spans="1:10" ht="15">
      <c r="A52" s="7"/>
      <c r="B52" t="s">
        <v>686</v>
      </c>
    </row>
    <row r="53" spans="1:10" ht="15">
      <c r="A53" s="1">
        <v>27</v>
      </c>
      <c r="B53" t="str">
        <f ca="1">IFERROR(__xludf.DUMMYFUNCTION((TRANSPOSE(ImportHTML("http://spending.data.al/sq/moneypower/view/id/27/year/2014",  "table", 2)))),"*Kategoria*")</f>
        <v>*Kategoria*</v>
      </c>
      <c r="C53" t="s">
        <v>2589</v>
      </c>
    </row>
    <row r="54" spans="1:10" ht="15">
      <c r="A54" s="7"/>
      <c r="B54" t="s">
        <v>686</v>
      </c>
    </row>
    <row r="55" spans="1:10" ht="15">
      <c r="A55" s="1">
        <v>28</v>
      </c>
      <c r="B55" t="str">
        <f ca="1">IFERROR(__xludf.DUMMYFUNCTION((TRANSPOSE(ImportHTML("http://spending.data.al/sq/moneypower/view/id/28/year/2014",  "table", 2)))),"*Kategoria*")</f>
        <v>*Kategoria*</v>
      </c>
      <c r="D55" t="s">
        <v>719</v>
      </c>
      <c r="E55" t="s">
        <v>720</v>
      </c>
      <c r="F55" t="s">
        <v>721</v>
      </c>
      <c r="G55" t="s">
        <v>722</v>
      </c>
      <c r="H55" t="s">
        <v>723</v>
      </c>
      <c r="I55" t="s">
        <v>724</v>
      </c>
      <c r="J55" t="s">
        <v>685</v>
      </c>
    </row>
    <row r="56" spans="1:10" ht="15">
      <c r="A56" s="7"/>
      <c r="B56" t="s">
        <v>686</v>
      </c>
      <c r="D56" t="s">
        <v>2720</v>
      </c>
      <c r="E56" t="s">
        <v>727</v>
      </c>
      <c r="F56" t="s">
        <v>2721</v>
      </c>
      <c r="G56" t="s">
        <v>727</v>
      </c>
      <c r="H56" t="s">
        <v>727</v>
      </c>
      <c r="I56" t="s">
        <v>707</v>
      </c>
      <c r="J56" t="s">
        <v>707</v>
      </c>
    </row>
    <row r="57" spans="1:10" ht="15">
      <c r="A57" s="1">
        <v>29</v>
      </c>
      <c r="B57" t="str">
        <f ca="1">IFERROR(__xludf.DUMMYFUNCTION((TRANSPOSE(ImportHTML("http://spending.data.al/sq/moneypower/view/id/29/year/2014",  "table", 2)))),"*Kategoria*")</f>
        <v>*Kategoria*</v>
      </c>
      <c r="D57" t="s">
        <v>719</v>
      </c>
      <c r="E57" t="s">
        <v>720</v>
      </c>
      <c r="F57" t="s">
        <v>721</v>
      </c>
      <c r="G57" t="s">
        <v>722</v>
      </c>
      <c r="H57" t="s">
        <v>723</v>
      </c>
      <c r="I57" t="s">
        <v>724</v>
      </c>
      <c r="J57" t="s">
        <v>685</v>
      </c>
    </row>
    <row r="58" spans="1:10" ht="15">
      <c r="A58" s="7"/>
      <c r="B58" t="s">
        <v>686</v>
      </c>
      <c r="D58" t="s">
        <v>2722</v>
      </c>
      <c r="E58" t="s">
        <v>2723</v>
      </c>
      <c r="F58" t="s">
        <v>727</v>
      </c>
      <c r="G58" t="s">
        <v>727</v>
      </c>
      <c r="H58" t="s">
        <v>727</v>
      </c>
      <c r="I58" t="s">
        <v>727</v>
      </c>
      <c r="J58" t="s">
        <v>727</v>
      </c>
    </row>
    <row r="59" spans="1:10" ht="15">
      <c r="A59" s="1">
        <v>30</v>
      </c>
      <c r="B59" t="str">
        <f ca="1">IFERROR(__xludf.DUMMYFUNCTION((TRANSPOSE(ImportHTML("http://spending.data.al/sq/moneypower/view/id/30/year/2014",  "table", 2)))),"*Kategoria*")</f>
        <v>*Kategoria*</v>
      </c>
      <c r="D59" t="s">
        <v>719</v>
      </c>
      <c r="E59" t="s">
        <v>720</v>
      </c>
      <c r="F59" t="s">
        <v>721</v>
      </c>
      <c r="G59" t="s">
        <v>722</v>
      </c>
      <c r="H59" t="s">
        <v>723</v>
      </c>
      <c r="I59" t="s">
        <v>724</v>
      </c>
      <c r="J59" t="s">
        <v>685</v>
      </c>
    </row>
    <row r="60" spans="1:10" ht="15">
      <c r="A60" s="7"/>
      <c r="B60" t="s">
        <v>686</v>
      </c>
      <c r="D60" t="s">
        <v>2724</v>
      </c>
      <c r="E60" t="s">
        <v>727</v>
      </c>
      <c r="F60" t="s">
        <v>2725</v>
      </c>
      <c r="G60" t="s">
        <v>727</v>
      </c>
      <c r="H60" t="s">
        <v>727</v>
      </c>
      <c r="I60" t="s">
        <v>727</v>
      </c>
      <c r="J60" t="s">
        <v>2726</v>
      </c>
    </row>
    <row r="61" spans="1:10" ht="15">
      <c r="A61" s="1">
        <v>31</v>
      </c>
      <c r="B61" t="str">
        <f ca="1">IFERROR(__xludf.DUMMYFUNCTION((TRANSPOSE(ImportHTML("http://spending.data.al/sq/moneypower/view/id/31/year/2014",  "table", 2)))),"*Kategoria*")</f>
        <v>*Kategoria*</v>
      </c>
      <c r="D61" t="s">
        <v>719</v>
      </c>
      <c r="E61" t="s">
        <v>720</v>
      </c>
      <c r="F61" t="s">
        <v>721</v>
      </c>
      <c r="G61" t="s">
        <v>722</v>
      </c>
      <c r="H61" t="s">
        <v>723</v>
      </c>
      <c r="I61" t="s">
        <v>724</v>
      </c>
      <c r="J61" t="s">
        <v>685</v>
      </c>
    </row>
    <row r="62" spans="1:10" ht="15">
      <c r="A62" s="7"/>
      <c r="B62" t="s">
        <v>686</v>
      </c>
      <c r="D62" t="s">
        <v>2727</v>
      </c>
      <c r="E62" t="s">
        <v>727</v>
      </c>
      <c r="F62" t="s">
        <v>727</v>
      </c>
      <c r="G62" t="s">
        <v>727</v>
      </c>
      <c r="H62" t="s">
        <v>727</v>
      </c>
      <c r="I62" t="s">
        <v>727</v>
      </c>
      <c r="J62" t="s">
        <v>727</v>
      </c>
    </row>
    <row r="63" spans="1:10" ht="15">
      <c r="A63" s="1">
        <v>32</v>
      </c>
      <c r="B63" t="str">
        <f ca="1">IFERROR(__xludf.DUMMYFUNCTION((TRANSPOSE(ImportHTML("http://spending.data.al/sq/moneypower/view/id/32/year/2014",  "table", 2)))),"*Kategoria*")</f>
        <v>*Kategoria*</v>
      </c>
      <c r="D63" t="s">
        <v>719</v>
      </c>
      <c r="E63" t="s">
        <v>720</v>
      </c>
      <c r="F63" t="s">
        <v>721</v>
      </c>
      <c r="G63" t="s">
        <v>722</v>
      </c>
      <c r="H63" t="s">
        <v>723</v>
      </c>
      <c r="I63" t="s">
        <v>724</v>
      </c>
      <c r="J63" t="s">
        <v>685</v>
      </c>
    </row>
    <row r="64" spans="1:10" ht="15">
      <c r="A64" s="7"/>
      <c r="B64" t="s">
        <v>686</v>
      </c>
      <c r="D64" t="s">
        <v>2728</v>
      </c>
      <c r="E64" t="s">
        <v>727</v>
      </c>
      <c r="F64" t="s">
        <v>727</v>
      </c>
      <c r="G64" t="s">
        <v>727</v>
      </c>
      <c r="H64" t="s">
        <v>727</v>
      </c>
      <c r="I64" t="s">
        <v>727</v>
      </c>
      <c r="J64" t="s">
        <v>727</v>
      </c>
    </row>
    <row r="65" spans="1:10" ht="15">
      <c r="A65" s="1">
        <v>33</v>
      </c>
      <c r="B65" t="str">
        <f ca="1">IFERROR(__xludf.DUMMYFUNCTION((TRANSPOSE(ImportHTML("http://spending.data.al/sq/moneypower/view/id/33/year/2014",  "table", 2)))),"*Kategoria*")</f>
        <v>*Kategoria*</v>
      </c>
      <c r="C65" t="s">
        <v>2589</v>
      </c>
    </row>
    <row r="66" spans="1:10" ht="15">
      <c r="A66" s="7"/>
      <c r="B66" t="s">
        <v>686</v>
      </c>
    </row>
    <row r="67" spans="1:10" ht="15">
      <c r="A67" s="1">
        <v>34</v>
      </c>
      <c r="B67" t="str">
        <f ca="1">IFERROR(__xludf.DUMMYFUNCTION((TRANSPOSE(ImportHTML("http://spending.data.al/sq/moneypower/view/id/34/year/2014",  "table", 2)))),"*Kategoria*")</f>
        <v>*Kategoria*</v>
      </c>
      <c r="C67" t="s">
        <v>2589</v>
      </c>
    </row>
    <row r="68" spans="1:10" ht="15">
      <c r="A68" s="7"/>
      <c r="B68" t="s">
        <v>686</v>
      </c>
    </row>
    <row r="69" spans="1:10" ht="15">
      <c r="A69" s="1">
        <v>35</v>
      </c>
      <c r="B69" t="str">
        <f ca="1">IFERROR(__xludf.DUMMYFUNCTION((TRANSPOSE(ImportHTML("http://spending.data.al/sq/moneypower/view/id/35/year/2014",  "table", 2)))),"*Kategoria*")</f>
        <v>*Kategoria*</v>
      </c>
      <c r="C69" t="s">
        <v>2589</v>
      </c>
    </row>
    <row r="70" spans="1:10" ht="15">
      <c r="A70" s="7"/>
      <c r="B70" t="s">
        <v>686</v>
      </c>
    </row>
    <row r="71" spans="1:10" ht="15">
      <c r="A71" s="1">
        <v>36</v>
      </c>
      <c r="B71" t="str">
        <f ca="1">IFERROR(__xludf.DUMMYFUNCTION((TRANSPOSE(ImportHTML("http://spending.data.al/sq/moneypower/view/id/36/year/2014",  "table", 2)))),"*Kategoria*")</f>
        <v>*Kategoria*</v>
      </c>
      <c r="C71" t="s">
        <v>2589</v>
      </c>
    </row>
    <row r="72" spans="1:10" ht="15">
      <c r="A72" s="7"/>
      <c r="B72" t="s">
        <v>686</v>
      </c>
    </row>
    <row r="73" spans="1:10" ht="15">
      <c r="A73" s="1">
        <v>37</v>
      </c>
      <c r="B73" t="str">
        <f ca="1">IFERROR(__xludf.DUMMYFUNCTION((TRANSPOSE(ImportHTML("http://spending.data.al/sq/moneypower/view/id/37/year/2014",  "table", 2)))),"*Kategoria*")</f>
        <v>*Kategoria*</v>
      </c>
      <c r="D73" t="s">
        <v>719</v>
      </c>
      <c r="E73" t="s">
        <v>720</v>
      </c>
      <c r="F73" t="s">
        <v>721</v>
      </c>
      <c r="G73" t="s">
        <v>722</v>
      </c>
      <c r="H73" t="s">
        <v>723</v>
      </c>
      <c r="I73" t="s">
        <v>724</v>
      </c>
      <c r="J73" t="s">
        <v>685</v>
      </c>
    </row>
    <row r="74" spans="1:10" ht="15">
      <c r="A74" s="7"/>
      <c r="B74" t="s">
        <v>686</v>
      </c>
      <c r="D74" t="s">
        <v>2729</v>
      </c>
      <c r="E74" t="s">
        <v>727</v>
      </c>
      <c r="F74" t="s">
        <v>727</v>
      </c>
      <c r="G74" t="s">
        <v>727</v>
      </c>
      <c r="H74" t="s">
        <v>727</v>
      </c>
      <c r="I74" t="s">
        <v>727</v>
      </c>
      <c r="J74" t="s">
        <v>727</v>
      </c>
    </row>
    <row r="75" spans="1:10" ht="15">
      <c r="A75" s="1">
        <v>38</v>
      </c>
      <c r="B75" t="str">
        <f ca="1">IFERROR(__xludf.DUMMYFUNCTION((TRANSPOSE(ImportHTML("http://spending.data.al/sq/moneypower/view/id/38/year/2014",  "table", 2)))),"*Kategoria*")</f>
        <v>*Kategoria*</v>
      </c>
      <c r="D75" t="s">
        <v>719</v>
      </c>
      <c r="E75" t="s">
        <v>720</v>
      </c>
      <c r="F75" t="s">
        <v>721</v>
      </c>
      <c r="G75" t="s">
        <v>722</v>
      </c>
      <c r="H75" t="s">
        <v>723</v>
      </c>
      <c r="I75" t="s">
        <v>724</v>
      </c>
      <c r="J75" t="s">
        <v>685</v>
      </c>
    </row>
    <row r="76" spans="1:10" ht="15">
      <c r="A76" s="7"/>
      <c r="B76" t="s">
        <v>686</v>
      </c>
      <c r="D76" t="s">
        <v>2730</v>
      </c>
      <c r="E76" t="s">
        <v>727</v>
      </c>
      <c r="F76" t="s">
        <v>2731</v>
      </c>
      <c r="G76" t="s">
        <v>727</v>
      </c>
      <c r="H76" t="s">
        <v>727</v>
      </c>
      <c r="I76" t="s">
        <v>727</v>
      </c>
      <c r="J76" t="s">
        <v>727</v>
      </c>
    </row>
    <row r="77" spans="1:10" ht="15">
      <c r="A77" s="1">
        <v>39</v>
      </c>
      <c r="B77" t="str">
        <f ca="1">IFERROR(__xludf.DUMMYFUNCTION((TRANSPOSE(ImportHTML("http://spending.data.al/sq/moneypower/view/id/39/year/2014",  "table", 2)))),"*Kategoria*")</f>
        <v>*Kategoria*</v>
      </c>
      <c r="D77" t="s">
        <v>719</v>
      </c>
      <c r="E77" t="s">
        <v>720</v>
      </c>
      <c r="F77" t="s">
        <v>721</v>
      </c>
      <c r="G77" t="s">
        <v>722</v>
      </c>
      <c r="H77" t="s">
        <v>723</v>
      </c>
      <c r="I77" t="s">
        <v>724</v>
      </c>
      <c r="J77" t="s">
        <v>685</v>
      </c>
    </row>
    <row r="78" spans="1:10" ht="15">
      <c r="A78" s="7"/>
      <c r="B78" t="s">
        <v>686</v>
      </c>
      <c r="D78" t="s">
        <v>2732</v>
      </c>
      <c r="E78" t="s">
        <v>2733</v>
      </c>
      <c r="F78" t="s">
        <v>2734</v>
      </c>
      <c r="G78" t="s">
        <v>2601</v>
      </c>
      <c r="H78" t="s">
        <v>2601</v>
      </c>
      <c r="I78" t="s">
        <v>2601</v>
      </c>
      <c r="J78" t="s">
        <v>2735</v>
      </c>
    </row>
    <row r="79" spans="1:10" ht="15">
      <c r="A79" s="1">
        <v>40</v>
      </c>
      <c r="B79" t="str">
        <f ca="1">IFERROR(__xludf.DUMMYFUNCTION((TRANSPOSE(ImportHTML("http://spending.data.al/sq/moneypower/view/id/40/year/2014",  "table", 2)))),"*Kategoria*")</f>
        <v>*Kategoria*</v>
      </c>
      <c r="D79" t="s">
        <v>719</v>
      </c>
      <c r="E79" t="s">
        <v>720</v>
      </c>
      <c r="F79" t="s">
        <v>721</v>
      </c>
      <c r="G79" t="s">
        <v>722</v>
      </c>
      <c r="H79" t="s">
        <v>723</v>
      </c>
      <c r="I79" t="s">
        <v>724</v>
      </c>
      <c r="J79" t="s">
        <v>685</v>
      </c>
    </row>
    <row r="80" spans="1:10" ht="15">
      <c r="A80" s="7"/>
      <c r="B80" t="s">
        <v>686</v>
      </c>
      <c r="D80" t="s">
        <v>2736</v>
      </c>
      <c r="E80" t="s">
        <v>2737</v>
      </c>
      <c r="F80" t="s">
        <v>727</v>
      </c>
      <c r="G80" t="s">
        <v>727</v>
      </c>
      <c r="H80" t="s">
        <v>727</v>
      </c>
      <c r="I80" t="s">
        <v>2601</v>
      </c>
      <c r="J80" t="s">
        <v>727</v>
      </c>
    </row>
    <row r="81" spans="1:10" ht="15">
      <c r="A81" s="1">
        <v>41</v>
      </c>
      <c r="B81" t="str">
        <f ca="1">IFERROR(__xludf.DUMMYFUNCTION((TRANSPOSE(ImportHTML("http://spending.data.al/sq/moneypower/view/id/41/year/2014",  "table", 2)))),"*Kategoria*")</f>
        <v>*Kategoria*</v>
      </c>
      <c r="C81" t="s">
        <v>2589</v>
      </c>
    </row>
    <row r="82" spans="1:10" ht="15">
      <c r="A82" s="7"/>
      <c r="B82" t="s">
        <v>686</v>
      </c>
    </row>
    <row r="83" spans="1:10" ht="15">
      <c r="A83" s="1">
        <v>42</v>
      </c>
      <c r="B83" t="str">
        <f ca="1">IFERROR(__xludf.DUMMYFUNCTION((TRANSPOSE(ImportHTML("http://spending.data.al/sq/moneypower/view/id/42/year/2014",  "table", 2)))),"*Kategoria*")</f>
        <v>*Kategoria*</v>
      </c>
      <c r="D83" t="s">
        <v>719</v>
      </c>
      <c r="E83" t="s">
        <v>720</v>
      </c>
      <c r="F83" t="s">
        <v>721</v>
      </c>
      <c r="G83" t="s">
        <v>722</v>
      </c>
      <c r="H83" t="s">
        <v>723</v>
      </c>
      <c r="I83" t="s">
        <v>724</v>
      </c>
      <c r="J83" t="s">
        <v>685</v>
      </c>
    </row>
    <row r="84" spans="1:10" ht="15">
      <c r="A84" s="7"/>
      <c r="B84" t="s">
        <v>686</v>
      </c>
      <c r="D84" t="s">
        <v>2738</v>
      </c>
      <c r="E84" t="s">
        <v>727</v>
      </c>
      <c r="F84" t="s">
        <v>2739</v>
      </c>
      <c r="G84" t="s">
        <v>727</v>
      </c>
      <c r="H84" t="s">
        <v>727</v>
      </c>
      <c r="I84" t="s">
        <v>727</v>
      </c>
      <c r="J84" t="s">
        <v>2740</v>
      </c>
    </row>
    <row r="85" spans="1:10" ht="15">
      <c r="A85" s="1">
        <v>43</v>
      </c>
      <c r="B85" t="str">
        <f ca="1">IFERROR(__xludf.DUMMYFUNCTION((TRANSPOSE(ImportHTML("http://spending.data.al/sq/moneypower/view/id/43/year/2014",  "table", 2)))),"*Kategoria*")</f>
        <v>*Kategoria*</v>
      </c>
      <c r="D85" t="s">
        <v>719</v>
      </c>
      <c r="E85" t="s">
        <v>720</v>
      </c>
      <c r="F85" t="s">
        <v>721</v>
      </c>
      <c r="G85" t="s">
        <v>722</v>
      </c>
      <c r="H85" t="s">
        <v>723</v>
      </c>
      <c r="I85" t="s">
        <v>724</v>
      </c>
      <c r="J85" t="s">
        <v>685</v>
      </c>
    </row>
    <row r="86" spans="1:10" ht="15">
      <c r="A86" s="7"/>
      <c r="B86" t="s">
        <v>686</v>
      </c>
      <c r="D86" t="s">
        <v>2741</v>
      </c>
      <c r="E86" t="s">
        <v>727</v>
      </c>
      <c r="F86" t="s">
        <v>727</v>
      </c>
      <c r="G86" t="s">
        <v>727</v>
      </c>
      <c r="H86" t="s">
        <v>727</v>
      </c>
      <c r="I86" t="s">
        <v>727</v>
      </c>
      <c r="J86" t="s">
        <v>2742</v>
      </c>
    </row>
    <row r="87" spans="1:10" ht="15">
      <c r="A87" s="1">
        <v>44</v>
      </c>
      <c r="B87" t="str">
        <f ca="1">IFERROR(__xludf.DUMMYFUNCTION((TRANSPOSE(ImportHTML("http://spending.data.al/sq/moneypower/view/id/44/year/2014",  "table", 2)))),"*Kategoria*")</f>
        <v>*Kategoria*</v>
      </c>
      <c r="D87" t="s">
        <v>719</v>
      </c>
      <c r="E87" t="s">
        <v>720</v>
      </c>
      <c r="F87" t="s">
        <v>721</v>
      </c>
      <c r="G87" t="s">
        <v>722</v>
      </c>
      <c r="H87" t="s">
        <v>723</v>
      </c>
      <c r="I87" t="s">
        <v>724</v>
      </c>
      <c r="J87" t="s">
        <v>685</v>
      </c>
    </row>
    <row r="88" spans="1:10" ht="15">
      <c r="A88" s="7"/>
      <c r="B88" t="s">
        <v>686</v>
      </c>
      <c r="D88" t="s">
        <v>2743</v>
      </c>
      <c r="E88" t="s">
        <v>2744</v>
      </c>
      <c r="F88" t="s">
        <v>2745</v>
      </c>
      <c r="G88" t="s">
        <v>727</v>
      </c>
      <c r="H88" t="s">
        <v>727</v>
      </c>
      <c r="I88" t="s">
        <v>727</v>
      </c>
      <c r="J88" t="s">
        <v>727</v>
      </c>
    </row>
    <row r="89" spans="1:10" ht="15">
      <c r="A89" s="1">
        <v>45</v>
      </c>
      <c r="B89" t="str">
        <f ca="1">IFERROR(__xludf.DUMMYFUNCTION((TRANSPOSE(ImportHTML("http://spending.data.al/sq/moneypower/view/id/45/year/2014",  "table", 2)))),"*Kategoria*")</f>
        <v>*Kategoria*</v>
      </c>
      <c r="D89" t="s">
        <v>719</v>
      </c>
      <c r="E89" t="s">
        <v>720</v>
      </c>
      <c r="F89" t="s">
        <v>721</v>
      </c>
      <c r="G89" t="s">
        <v>722</v>
      </c>
      <c r="H89" t="s">
        <v>723</v>
      </c>
      <c r="I89" t="s">
        <v>724</v>
      </c>
      <c r="J89" t="s">
        <v>685</v>
      </c>
    </row>
    <row r="90" spans="1:10" ht="15">
      <c r="A90" s="7"/>
      <c r="B90" t="s">
        <v>686</v>
      </c>
      <c r="D90" t="s">
        <v>2746</v>
      </c>
      <c r="E90" t="s">
        <v>2747</v>
      </c>
      <c r="F90" t="s">
        <v>2601</v>
      </c>
      <c r="G90" t="s">
        <v>2601</v>
      </c>
      <c r="H90" t="s">
        <v>2601</v>
      </c>
      <c r="I90" t="s">
        <v>2601</v>
      </c>
      <c r="J90" t="s">
        <v>2748</v>
      </c>
    </row>
    <row r="91" spans="1:10" ht="15">
      <c r="A91" s="1">
        <v>46</v>
      </c>
      <c r="B91" t="str">
        <f ca="1">IFERROR(__xludf.DUMMYFUNCTION((TRANSPOSE(ImportHTML("http://spending.data.al/sq/moneypower/view/id/46/year/2014",  "table", 2)))),"*Kategoria*")</f>
        <v>*Kategoria*</v>
      </c>
      <c r="D91" t="s">
        <v>719</v>
      </c>
      <c r="E91" t="s">
        <v>720</v>
      </c>
      <c r="F91" t="s">
        <v>721</v>
      </c>
      <c r="G91" t="s">
        <v>722</v>
      </c>
      <c r="H91" t="s">
        <v>723</v>
      </c>
      <c r="I91" t="s">
        <v>724</v>
      </c>
      <c r="J91" t="s">
        <v>685</v>
      </c>
    </row>
    <row r="92" spans="1:10" ht="15">
      <c r="A92" s="7"/>
      <c r="B92" t="s">
        <v>686</v>
      </c>
      <c r="D92" t="s">
        <v>2749</v>
      </c>
      <c r="E92" t="s">
        <v>2750</v>
      </c>
      <c r="F92" t="s">
        <v>2751</v>
      </c>
      <c r="G92" t="s">
        <v>727</v>
      </c>
      <c r="H92" t="s">
        <v>727</v>
      </c>
      <c r="I92" t="s">
        <v>727</v>
      </c>
      <c r="J92" t="s">
        <v>727</v>
      </c>
    </row>
    <row r="93" spans="1:10" ht="15">
      <c r="A93" s="1">
        <v>47</v>
      </c>
      <c r="B93" t="str">
        <f ca="1">IFERROR(__xludf.DUMMYFUNCTION((TRANSPOSE(ImportHTML("http://spending.data.al/sq/moneypower/view/id/47/year/2014",  "table", 2)))),"*Kategoria*")</f>
        <v>*Kategoria*</v>
      </c>
      <c r="D93" t="s">
        <v>719</v>
      </c>
      <c r="E93" t="s">
        <v>720</v>
      </c>
      <c r="F93" t="s">
        <v>721</v>
      </c>
      <c r="G93" t="s">
        <v>722</v>
      </c>
      <c r="H93" t="s">
        <v>723</v>
      </c>
      <c r="I93" t="s">
        <v>724</v>
      </c>
      <c r="J93" t="s">
        <v>685</v>
      </c>
    </row>
    <row r="94" spans="1:10" ht="15">
      <c r="A94" s="7"/>
      <c r="B94" t="s">
        <v>686</v>
      </c>
      <c r="D94" t="s">
        <v>2601</v>
      </c>
      <c r="E94" t="s">
        <v>2601</v>
      </c>
      <c r="F94" t="s">
        <v>2752</v>
      </c>
      <c r="G94" t="s">
        <v>2601</v>
      </c>
      <c r="H94" t="s">
        <v>2601</v>
      </c>
      <c r="I94" t="s">
        <v>2601</v>
      </c>
      <c r="J94" t="s">
        <v>2753</v>
      </c>
    </row>
    <row r="95" spans="1:10" ht="15">
      <c r="A95" s="1">
        <v>48</v>
      </c>
      <c r="B95" t="str">
        <f ca="1">IFERROR(__xludf.DUMMYFUNCTION((TRANSPOSE(ImportHTML("http://spending.data.al/sq/moneypower/view/id/48/year/2014",  "table", 2)))),"*Kategoria*")</f>
        <v>*Kategoria*</v>
      </c>
      <c r="D95" t="s">
        <v>719</v>
      </c>
      <c r="E95" t="s">
        <v>720</v>
      </c>
      <c r="F95" t="s">
        <v>721</v>
      </c>
      <c r="G95" t="s">
        <v>722</v>
      </c>
      <c r="H95" t="s">
        <v>723</v>
      </c>
      <c r="I95" t="s">
        <v>724</v>
      </c>
      <c r="J95" t="s">
        <v>685</v>
      </c>
    </row>
    <row r="96" spans="1:10" ht="15">
      <c r="A96" s="7"/>
      <c r="B96" t="s">
        <v>686</v>
      </c>
      <c r="D96" t="s">
        <v>2754</v>
      </c>
      <c r="E96" t="s">
        <v>2755</v>
      </c>
      <c r="F96" t="s">
        <v>2601</v>
      </c>
      <c r="G96" t="s">
        <v>2601</v>
      </c>
      <c r="H96" t="s">
        <v>2601</v>
      </c>
      <c r="I96" t="s">
        <v>2601</v>
      </c>
      <c r="J96" t="s">
        <v>2601</v>
      </c>
    </row>
    <row r="97" spans="1:10" ht="15">
      <c r="A97" s="1">
        <v>49</v>
      </c>
      <c r="B97" t="str">
        <f ca="1">IFERROR(__xludf.DUMMYFUNCTION((TRANSPOSE(ImportHTML("http://spending.data.al/sq/moneypower/view/id/49/year/2014",  "table", 2)))),"*Kategoria*")</f>
        <v>*Kategoria*</v>
      </c>
      <c r="C97" t="s">
        <v>2589</v>
      </c>
    </row>
    <row r="98" spans="1:10" ht="15">
      <c r="A98" s="7"/>
      <c r="B98" t="s">
        <v>686</v>
      </c>
    </row>
    <row r="99" spans="1:10" ht="15">
      <c r="A99" s="1">
        <v>50</v>
      </c>
      <c r="B99" t="str">
        <f ca="1">IFERROR(__xludf.DUMMYFUNCTION((TRANSPOSE(ImportHTML("http://spending.data.al/sq/moneypower/view/id/50/year/2014",  "table", 2)))),"*Kategoria*")</f>
        <v>*Kategoria*</v>
      </c>
      <c r="D99" t="s">
        <v>719</v>
      </c>
      <c r="E99" t="s">
        <v>720</v>
      </c>
      <c r="F99" t="s">
        <v>721</v>
      </c>
      <c r="G99" t="s">
        <v>722</v>
      </c>
      <c r="H99" t="s">
        <v>723</v>
      </c>
      <c r="I99" t="s">
        <v>724</v>
      </c>
      <c r="J99" t="s">
        <v>685</v>
      </c>
    </row>
    <row r="100" spans="1:10" ht="15">
      <c r="A100" s="7"/>
      <c r="B100" t="s">
        <v>686</v>
      </c>
      <c r="D100" t="s">
        <v>2601</v>
      </c>
      <c r="E100" t="s">
        <v>2601</v>
      </c>
      <c r="F100" t="s">
        <v>2756</v>
      </c>
      <c r="G100" t="s">
        <v>2601</v>
      </c>
      <c r="H100" t="s">
        <v>2601</v>
      </c>
      <c r="I100" t="s">
        <v>2601</v>
      </c>
      <c r="J100" t="s">
        <v>2601</v>
      </c>
    </row>
    <row r="101" spans="1:10" ht="15">
      <c r="A101" s="1">
        <v>51</v>
      </c>
      <c r="B101" t="str">
        <f ca="1">IFERROR(__xludf.DUMMYFUNCTION((TRANSPOSE(ImportHTML("http://spending.data.al/sq/moneypower/view/id/51/year/2014",  "table", 2)))),"*Kategoria*")</f>
        <v>*Kategoria*</v>
      </c>
      <c r="D101" t="s">
        <v>719</v>
      </c>
      <c r="E101" t="s">
        <v>720</v>
      </c>
      <c r="F101" t="s">
        <v>721</v>
      </c>
      <c r="G101" t="s">
        <v>722</v>
      </c>
      <c r="H101" t="s">
        <v>723</v>
      </c>
      <c r="I101" t="s">
        <v>724</v>
      </c>
      <c r="J101" t="s">
        <v>685</v>
      </c>
    </row>
    <row r="102" spans="1:10" ht="15">
      <c r="A102" s="7"/>
      <c r="B102" t="s">
        <v>686</v>
      </c>
      <c r="D102" t="s">
        <v>2757</v>
      </c>
      <c r="E102" t="s">
        <v>727</v>
      </c>
      <c r="F102" t="s">
        <v>727</v>
      </c>
      <c r="G102" t="s">
        <v>727</v>
      </c>
      <c r="H102" t="s">
        <v>727</v>
      </c>
      <c r="I102" t="s">
        <v>2758</v>
      </c>
      <c r="J102" t="s">
        <v>727</v>
      </c>
    </row>
    <row r="103" spans="1:10" ht="15">
      <c r="A103" s="1">
        <v>52</v>
      </c>
      <c r="B103" t="str">
        <f ca="1">IFERROR(__xludf.DUMMYFUNCTION((TRANSPOSE(ImportHTML("http://spending.data.al/sq/moneypower/view/id/52/year/2014",  "table", 2)))),"*Kategoria*")</f>
        <v>*Kategoria*</v>
      </c>
      <c r="C103" t="s">
        <v>2589</v>
      </c>
    </row>
    <row r="104" spans="1:10" ht="15">
      <c r="A104" s="7"/>
      <c r="B104" t="s">
        <v>686</v>
      </c>
    </row>
    <row r="105" spans="1:10" ht="15">
      <c r="A105" s="1">
        <v>53</v>
      </c>
      <c r="B105" t="str">
        <f ca="1">IFERROR(__xludf.DUMMYFUNCTION((TRANSPOSE(ImportHTML("http://spending.data.al/sq/moneypower/view/id/53/year/2014",  "table", 2)))),"*Kategoria*")</f>
        <v>*Kategoria*</v>
      </c>
      <c r="D105" t="s">
        <v>719</v>
      </c>
      <c r="E105" t="s">
        <v>720</v>
      </c>
      <c r="F105" t="s">
        <v>721</v>
      </c>
      <c r="G105" t="s">
        <v>722</v>
      </c>
      <c r="H105" t="s">
        <v>723</v>
      </c>
      <c r="I105" t="s">
        <v>724</v>
      </c>
      <c r="J105" t="s">
        <v>685</v>
      </c>
    </row>
    <row r="106" spans="1:10" ht="15">
      <c r="A106" s="7"/>
      <c r="B106" t="s">
        <v>686</v>
      </c>
      <c r="D106" t="s">
        <v>2759</v>
      </c>
      <c r="E106" t="s">
        <v>2760</v>
      </c>
      <c r="F106" t="s">
        <v>2761</v>
      </c>
      <c r="G106" t="s">
        <v>2601</v>
      </c>
      <c r="H106" t="s">
        <v>2601</v>
      </c>
      <c r="I106" t="s">
        <v>2601</v>
      </c>
      <c r="J106" t="s">
        <v>2601</v>
      </c>
    </row>
    <row r="107" spans="1:10" ht="15">
      <c r="A107" s="1">
        <v>54</v>
      </c>
      <c r="B107" t="str">
        <f ca="1">IFERROR(__xludf.DUMMYFUNCTION((TRANSPOSE(ImportHTML("http://spending.data.al/sq/moneypower/view/id/54/year/2014",  "table", 2)))),"*Kategoria*")</f>
        <v>*Kategoria*</v>
      </c>
      <c r="C107" t="s">
        <v>2589</v>
      </c>
    </row>
    <row r="108" spans="1:10" ht="15">
      <c r="A108" s="7"/>
      <c r="B108" t="s">
        <v>686</v>
      </c>
    </row>
    <row r="109" spans="1:10" ht="15">
      <c r="A109" s="1">
        <v>55</v>
      </c>
      <c r="B109" t="str">
        <f ca="1">IFERROR(__xludf.DUMMYFUNCTION((TRANSPOSE(ImportHTML("http://spending.data.al/sq/moneypower/view/id/55/year/2014",  "table", 2)))),"*Kategoria*")</f>
        <v>*Kategoria*</v>
      </c>
      <c r="D109" t="s">
        <v>719</v>
      </c>
      <c r="E109" t="s">
        <v>720</v>
      </c>
      <c r="F109" t="s">
        <v>721</v>
      </c>
      <c r="G109" t="s">
        <v>722</v>
      </c>
      <c r="H109" t="s">
        <v>723</v>
      </c>
      <c r="I109" t="s">
        <v>724</v>
      </c>
      <c r="J109" t="s">
        <v>685</v>
      </c>
    </row>
    <row r="110" spans="1:10" ht="15">
      <c r="A110" s="7"/>
      <c r="B110" t="s">
        <v>686</v>
      </c>
      <c r="D110" t="s">
        <v>2762</v>
      </c>
      <c r="E110" t="s">
        <v>2601</v>
      </c>
      <c r="F110" t="s">
        <v>2763</v>
      </c>
      <c r="G110" t="s">
        <v>2601</v>
      </c>
      <c r="H110" t="s">
        <v>2601</v>
      </c>
      <c r="I110" t="s">
        <v>2601</v>
      </c>
      <c r="J110" t="s">
        <v>2601</v>
      </c>
    </row>
    <row r="111" spans="1:10" ht="15">
      <c r="A111" s="1">
        <v>56</v>
      </c>
      <c r="B111" t="str">
        <f ca="1">IFERROR(__xludf.DUMMYFUNCTION((TRANSPOSE(ImportHTML("http://spending.data.al/sq/moneypower/view/id/56/year/2014",  "table", 2)))),"*Kategoria*")</f>
        <v>*Kategoria*</v>
      </c>
      <c r="D111" t="s">
        <v>719</v>
      </c>
      <c r="E111" t="s">
        <v>720</v>
      </c>
      <c r="F111" t="s">
        <v>721</v>
      </c>
      <c r="G111" t="s">
        <v>722</v>
      </c>
      <c r="H111" t="s">
        <v>723</v>
      </c>
      <c r="I111" t="s">
        <v>724</v>
      </c>
      <c r="J111" t="s">
        <v>685</v>
      </c>
    </row>
    <row r="112" spans="1:10" ht="15">
      <c r="A112" s="7"/>
      <c r="B112" t="s">
        <v>686</v>
      </c>
      <c r="D112" t="s">
        <v>2601</v>
      </c>
      <c r="E112" t="s">
        <v>2764</v>
      </c>
      <c r="F112" t="s">
        <v>2601</v>
      </c>
      <c r="G112" t="s">
        <v>2601</v>
      </c>
      <c r="H112" t="s">
        <v>2601</v>
      </c>
      <c r="I112" t="s">
        <v>2601</v>
      </c>
      <c r="J112" t="s">
        <v>2765</v>
      </c>
    </row>
    <row r="113" spans="1:10" ht="15">
      <c r="A113" s="1">
        <v>57</v>
      </c>
      <c r="B113" t="str">
        <f ca="1">IFERROR(__xludf.DUMMYFUNCTION((TRANSPOSE(ImportHTML("http://spending.data.al/sq/moneypower/view/id/57/year/2014",  "table", 2)))),"*Kategoria*")</f>
        <v>*Kategoria*</v>
      </c>
      <c r="D113" t="s">
        <v>719</v>
      </c>
      <c r="E113" t="s">
        <v>720</v>
      </c>
      <c r="F113" t="s">
        <v>721</v>
      </c>
      <c r="G113" t="s">
        <v>722</v>
      </c>
      <c r="H113" t="s">
        <v>723</v>
      </c>
      <c r="I113" t="s">
        <v>724</v>
      </c>
      <c r="J113" t="s">
        <v>685</v>
      </c>
    </row>
    <row r="114" spans="1:10" ht="15">
      <c r="A114" s="7"/>
      <c r="B114" t="s">
        <v>686</v>
      </c>
      <c r="D114" t="s">
        <v>2766</v>
      </c>
      <c r="E114" t="s">
        <v>2767</v>
      </c>
      <c r="F114" t="s">
        <v>2768</v>
      </c>
      <c r="G114" t="s">
        <v>2769</v>
      </c>
      <c r="H114" t="s">
        <v>2770</v>
      </c>
      <c r="I114" t="s">
        <v>727</v>
      </c>
      <c r="J114" t="s">
        <v>2771</v>
      </c>
    </row>
    <row r="115" spans="1:10" ht="15">
      <c r="A115" s="1">
        <v>58</v>
      </c>
      <c r="B115" t="str">
        <f ca="1">IFERROR(__xludf.DUMMYFUNCTION((TRANSPOSE(ImportHTML("http://spending.data.al/sq/moneypower/view/id/58/year/2014",  "table", 2)))),"*Kategoria*")</f>
        <v>*Kategoria*</v>
      </c>
      <c r="C115" t="s">
        <v>2589</v>
      </c>
    </row>
    <row r="116" spans="1:10" ht="15">
      <c r="A116" s="7"/>
      <c r="B116" t="s">
        <v>686</v>
      </c>
    </row>
    <row r="117" spans="1:10" ht="15">
      <c r="A117" s="1">
        <v>59</v>
      </c>
      <c r="B117" t="str">
        <f ca="1">IFERROR(__xludf.DUMMYFUNCTION((TRANSPOSE(ImportHTML("http://spending.data.al/sq/moneypower/view/id/59/year/2014",  "table", 2)))),"*Kategoria*")</f>
        <v>*Kategoria*</v>
      </c>
      <c r="D117" t="s">
        <v>719</v>
      </c>
      <c r="E117" t="s">
        <v>720</v>
      </c>
      <c r="F117" t="s">
        <v>721</v>
      </c>
      <c r="G117" t="s">
        <v>722</v>
      </c>
      <c r="H117" t="s">
        <v>723</v>
      </c>
      <c r="I117" t="s">
        <v>724</v>
      </c>
      <c r="J117" t="s">
        <v>685</v>
      </c>
    </row>
    <row r="118" spans="1:10" ht="15">
      <c r="A118" s="7"/>
      <c r="B118" t="s">
        <v>686</v>
      </c>
      <c r="D118" t="s">
        <v>2772</v>
      </c>
      <c r="E118" t="s">
        <v>2601</v>
      </c>
      <c r="F118" t="s">
        <v>2773</v>
      </c>
      <c r="G118" t="s">
        <v>2601</v>
      </c>
      <c r="H118" t="s">
        <v>2601</v>
      </c>
      <c r="I118" t="s">
        <v>2601</v>
      </c>
      <c r="J118" t="s">
        <v>2774</v>
      </c>
    </row>
    <row r="119" spans="1:10" ht="15">
      <c r="A119" s="1">
        <v>60</v>
      </c>
      <c r="B119" t="str">
        <f ca="1">IFERROR(__xludf.DUMMYFUNCTION((TRANSPOSE(ImportHTML("http://spending.data.al/sq/moneypower/view/id/60/year/2014",  "table", 2)))),"*Kategoria*")</f>
        <v>*Kategoria*</v>
      </c>
      <c r="D119" t="s">
        <v>719</v>
      </c>
      <c r="E119" t="s">
        <v>720</v>
      </c>
      <c r="F119" t="s">
        <v>721</v>
      </c>
      <c r="G119" t="s">
        <v>722</v>
      </c>
      <c r="H119" t="s">
        <v>723</v>
      </c>
      <c r="I119" t="s">
        <v>724</v>
      </c>
      <c r="J119" t="s">
        <v>685</v>
      </c>
    </row>
    <row r="120" spans="1:10" ht="15">
      <c r="A120" s="7"/>
      <c r="B120" t="s">
        <v>686</v>
      </c>
      <c r="D120" t="s">
        <v>2775</v>
      </c>
      <c r="E120" t="s">
        <v>727</v>
      </c>
      <c r="F120" t="s">
        <v>2776</v>
      </c>
      <c r="G120" t="s">
        <v>727</v>
      </c>
      <c r="H120" t="s">
        <v>727</v>
      </c>
      <c r="I120" t="s">
        <v>727</v>
      </c>
      <c r="J120" t="s">
        <v>2777</v>
      </c>
    </row>
    <row r="121" spans="1:10" ht="15">
      <c r="A121" s="1">
        <v>61</v>
      </c>
      <c r="B121" t="str">
        <f ca="1">IFERROR(__xludf.DUMMYFUNCTION((TRANSPOSE(ImportHTML("http://spending.data.al/sq/moneypower/view/id/61/year/2014",  "table", 2)))),"*Kategoria*")</f>
        <v>*Kategoria*</v>
      </c>
      <c r="D121" t="s">
        <v>719</v>
      </c>
      <c r="E121" t="s">
        <v>720</v>
      </c>
      <c r="F121" t="s">
        <v>721</v>
      </c>
      <c r="G121" t="s">
        <v>722</v>
      </c>
      <c r="H121" t="s">
        <v>723</v>
      </c>
      <c r="I121" t="s">
        <v>724</v>
      </c>
      <c r="J121" t="s">
        <v>685</v>
      </c>
    </row>
    <row r="122" spans="1:10" ht="15">
      <c r="A122" s="7"/>
      <c r="B122" t="s">
        <v>686</v>
      </c>
      <c r="D122" t="s">
        <v>2778</v>
      </c>
      <c r="E122" t="s">
        <v>2779</v>
      </c>
      <c r="F122" t="s">
        <v>2780</v>
      </c>
      <c r="G122" t="s">
        <v>727</v>
      </c>
      <c r="H122" t="s">
        <v>727</v>
      </c>
      <c r="I122" t="s">
        <v>727</v>
      </c>
      <c r="J122" t="s">
        <v>727</v>
      </c>
    </row>
    <row r="123" spans="1:10" ht="15">
      <c r="A123" s="1">
        <v>62</v>
      </c>
      <c r="B123" t="str">
        <f ca="1">IFERROR(__xludf.DUMMYFUNCTION((TRANSPOSE(ImportHTML("http://spending.data.al/sq/moneypower/view/id/62/year/2014",  "table", 2)))),"*Kategoria*")</f>
        <v>*Kategoria*</v>
      </c>
      <c r="D123" t="s">
        <v>719</v>
      </c>
      <c r="E123" t="s">
        <v>720</v>
      </c>
      <c r="F123" t="s">
        <v>721</v>
      </c>
      <c r="G123" t="s">
        <v>722</v>
      </c>
      <c r="H123" t="s">
        <v>723</v>
      </c>
      <c r="I123" t="s">
        <v>724</v>
      </c>
      <c r="J123" t="s">
        <v>685</v>
      </c>
    </row>
    <row r="124" spans="1:10" ht="15">
      <c r="A124" s="7"/>
      <c r="B124" t="s">
        <v>686</v>
      </c>
      <c r="D124" t="s">
        <v>2781</v>
      </c>
      <c r="E124" t="s">
        <v>2782</v>
      </c>
      <c r="F124" t="s">
        <v>707</v>
      </c>
      <c r="I124" t="s">
        <v>707</v>
      </c>
      <c r="J124" t="s">
        <v>707</v>
      </c>
    </row>
    <row r="125" spans="1:10" ht="15">
      <c r="A125" s="1">
        <v>63</v>
      </c>
      <c r="B125" t="str">
        <f ca="1">IFERROR(__xludf.DUMMYFUNCTION((TRANSPOSE(ImportHTML("http://spending.data.al/sq/moneypower/view/id/63/year/2014",  "table", 2)))),"*Kategoria*")</f>
        <v>*Kategoria*</v>
      </c>
      <c r="D125" t="s">
        <v>719</v>
      </c>
      <c r="E125" t="s">
        <v>720</v>
      </c>
      <c r="F125" t="s">
        <v>721</v>
      </c>
      <c r="G125" t="s">
        <v>722</v>
      </c>
      <c r="H125" t="s">
        <v>723</v>
      </c>
      <c r="I125" t="s">
        <v>724</v>
      </c>
      <c r="J125" t="s">
        <v>685</v>
      </c>
    </row>
    <row r="126" spans="1:10" ht="15">
      <c r="A126" s="7"/>
      <c r="B126" t="s">
        <v>686</v>
      </c>
      <c r="D126" t="s">
        <v>2783</v>
      </c>
      <c r="E126" t="s">
        <v>2784</v>
      </c>
      <c r="F126" t="s">
        <v>2785</v>
      </c>
      <c r="G126" t="s">
        <v>2601</v>
      </c>
      <c r="H126" t="s">
        <v>2786</v>
      </c>
      <c r="I126" t="s">
        <v>2601</v>
      </c>
      <c r="J126" t="s">
        <v>2787</v>
      </c>
    </row>
    <row r="127" spans="1:10" ht="15">
      <c r="A127" s="1">
        <v>64</v>
      </c>
      <c r="B127" t="str">
        <f ca="1">IFERROR(__xludf.DUMMYFUNCTION((TRANSPOSE(ImportHTML("http://spending.data.al/sq/moneypower/view/id/64/year/2014",  "table", 2)))),"*Kategoria*")</f>
        <v>*Kategoria*</v>
      </c>
      <c r="D127" t="s">
        <v>719</v>
      </c>
      <c r="E127" t="s">
        <v>720</v>
      </c>
      <c r="F127" t="s">
        <v>721</v>
      </c>
      <c r="G127" t="s">
        <v>722</v>
      </c>
      <c r="H127" t="s">
        <v>723</v>
      </c>
      <c r="I127" t="s">
        <v>724</v>
      </c>
      <c r="J127" t="s">
        <v>685</v>
      </c>
    </row>
    <row r="128" spans="1:10" ht="15">
      <c r="A128" s="7"/>
      <c r="B128" t="s">
        <v>686</v>
      </c>
      <c r="D128" t="s">
        <v>2788</v>
      </c>
      <c r="E128" t="s">
        <v>2601</v>
      </c>
      <c r="F128" t="s">
        <v>2601</v>
      </c>
      <c r="G128" t="s">
        <v>2601</v>
      </c>
      <c r="H128" t="s">
        <v>2601</v>
      </c>
      <c r="I128" t="s">
        <v>2601</v>
      </c>
      <c r="J128" t="s">
        <v>2601</v>
      </c>
    </row>
    <row r="129" spans="1:10" ht="15">
      <c r="A129" s="1">
        <v>65</v>
      </c>
      <c r="B129" t="str">
        <f ca="1">IFERROR(__xludf.DUMMYFUNCTION((TRANSPOSE(ImportHTML("http://spending.data.al/sq/moneypower/view/id/65/year/2014",  "table", 2)))),"*Kategoria*")</f>
        <v>*Kategoria*</v>
      </c>
      <c r="D129" t="s">
        <v>719</v>
      </c>
      <c r="E129" t="s">
        <v>720</v>
      </c>
      <c r="F129" t="s">
        <v>721</v>
      </c>
      <c r="G129" t="s">
        <v>722</v>
      </c>
      <c r="H129" t="s">
        <v>723</v>
      </c>
      <c r="I129" t="s">
        <v>724</v>
      </c>
      <c r="J129" t="s">
        <v>685</v>
      </c>
    </row>
    <row r="130" spans="1:10" ht="15">
      <c r="A130" s="7"/>
      <c r="B130" t="s">
        <v>686</v>
      </c>
      <c r="D130" t="s">
        <v>2789</v>
      </c>
      <c r="E130" t="s">
        <v>707</v>
      </c>
      <c r="F130" t="s">
        <v>2790</v>
      </c>
      <c r="G130" t="s">
        <v>707</v>
      </c>
      <c r="I130" t="s">
        <v>707</v>
      </c>
      <c r="J130" t="s">
        <v>707</v>
      </c>
    </row>
    <row r="131" spans="1:10" ht="15">
      <c r="A131" s="1">
        <v>66</v>
      </c>
      <c r="B131" t="str">
        <f ca="1">IFERROR(__xludf.DUMMYFUNCTION((TRANSPOSE(ImportHTML("http://spending.data.al/sq/moneypower/view/id/66/year/2014",  "table", 2)))),"*Kategoria*")</f>
        <v>*Kategoria*</v>
      </c>
      <c r="D131" t="s">
        <v>719</v>
      </c>
      <c r="E131" t="s">
        <v>720</v>
      </c>
      <c r="F131" t="s">
        <v>721</v>
      </c>
      <c r="G131" t="s">
        <v>722</v>
      </c>
      <c r="H131" t="s">
        <v>723</v>
      </c>
      <c r="I131" t="s">
        <v>724</v>
      </c>
      <c r="J131" t="s">
        <v>685</v>
      </c>
    </row>
    <row r="132" spans="1:10" ht="15">
      <c r="A132" s="7"/>
      <c r="B132" t="s">
        <v>686</v>
      </c>
      <c r="D132" t="s">
        <v>2791</v>
      </c>
      <c r="E132" t="s">
        <v>2601</v>
      </c>
      <c r="F132" t="s">
        <v>2792</v>
      </c>
      <c r="G132" t="s">
        <v>2601</v>
      </c>
      <c r="H132" t="s">
        <v>2601</v>
      </c>
      <c r="I132" t="s">
        <v>2601</v>
      </c>
      <c r="J132" t="s">
        <v>2601</v>
      </c>
    </row>
    <row r="133" spans="1:10" ht="15">
      <c r="A133" s="1">
        <v>67</v>
      </c>
      <c r="B133" t="str">
        <f ca="1">IFERROR(__xludf.DUMMYFUNCTION((TRANSPOSE(ImportHTML("http://spending.data.al/sq/moneypower/view/id/67/year/2014",  "table", 2)))),"*Kategoria*")</f>
        <v>*Kategoria*</v>
      </c>
      <c r="D133" t="s">
        <v>719</v>
      </c>
      <c r="E133" t="s">
        <v>720</v>
      </c>
      <c r="F133" t="s">
        <v>721</v>
      </c>
      <c r="G133" t="s">
        <v>722</v>
      </c>
      <c r="H133" t="s">
        <v>723</v>
      </c>
      <c r="I133" t="s">
        <v>724</v>
      </c>
      <c r="J133" t="s">
        <v>685</v>
      </c>
    </row>
    <row r="134" spans="1:10" ht="15">
      <c r="A134" s="7"/>
      <c r="B134" t="s">
        <v>686</v>
      </c>
      <c r="D134" t="s">
        <v>2793</v>
      </c>
      <c r="E134" t="s">
        <v>2794</v>
      </c>
      <c r="F134" t="s">
        <v>2795</v>
      </c>
      <c r="G134" t="s">
        <v>2601</v>
      </c>
      <c r="H134" t="s">
        <v>2601</v>
      </c>
      <c r="I134" t="s">
        <v>2601</v>
      </c>
      <c r="J134" t="s">
        <v>2601</v>
      </c>
    </row>
    <row r="135" spans="1:10" ht="15">
      <c r="A135" s="1">
        <v>68</v>
      </c>
      <c r="B135" t="str">
        <f ca="1">IFERROR(__xludf.DUMMYFUNCTION((TRANSPOSE(ImportHTML("http://spending.data.al/sq/moneypower/view/id/68/year/2014",  "table", 2)))),"*Kategoria*")</f>
        <v>*Kategoria*</v>
      </c>
      <c r="D135" t="s">
        <v>719</v>
      </c>
      <c r="E135" t="s">
        <v>720</v>
      </c>
      <c r="F135" t="s">
        <v>721</v>
      </c>
      <c r="G135" t="s">
        <v>722</v>
      </c>
      <c r="H135" t="s">
        <v>723</v>
      </c>
      <c r="I135" t="s">
        <v>724</v>
      </c>
      <c r="J135" t="s">
        <v>685</v>
      </c>
    </row>
    <row r="136" spans="1:10" ht="15">
      <c r="A136" s="7"/>
      <c r="B136" t="s">
        <v>686</v>
      </c>
      <c r="D136" t="s">
        <v>2796</v>
      </c>
      <c r="E136" t="s">
        <v>727</v>
      </c>
      <c r="F136" t="s">
        <v>727</v>
      </c>
      <c r="G136" t="s">
        <v>727</v>
      </c>
      <c r="H136" t="s">
        <v>727</v>
      </c>
      <c r="I136" t="s">
        <v>727</v>
      </c>
      <c r="J136" t="s">
        <v>727</v>
      </c>
    </row>
    <row r="137" spans="1:10" ht="15">
      <c r="A137" s="1">
        <v>69</v>
      </c>
      <c r="B137" t="str">
        <f ca="1">IFERROR(__xludf.DUMMYFUNCTION((TRANSPOSE(ImportHTML("http://spending.data.al/sq/moneypower/view/id/69/year/2014",  "table", 2)))),"*Kategoria*")</f>
        <v>*Kategoria*</v>
      </c>
      <c r="D137" t="s">
        <v>719</v>
      </c>
      <c r="E137" t="s">
        <v>720</v>
      </c>
      <c r="F137" t="s">
        <v>721</v>
      </c>
      <c r="G137" t="s">
        <v>722</v>
      </c>
      <c r="H137" t="s">
        <v>723</v>
      </c>
      <c r="I137" t="s">
        <v>724</v>
      </c>
      <c r="J137" t="s">
        <v>685</v>
      </c>
    </row>
    <row r="138" spans="1:10" ht="15">
      <c r="A138" s="7"/>
      <c r="B138" t="s">
        <v>686</v>
      </c>
      <c r="D138" t="s">
        <v>2797</v>
      </c>
      <c r="E138" t="s">
        <v>2798</v>
      </c>
      <c r="F138" t="s">
        <v>2799</v>
      </c>
      <c r="G138" t="s">
        <v>727</v>
      </c>
      <c r="H138" t="s">
        <v>727</v>
      </c>
      <c r="I138" t="s">
        <v>727</v>
      </c>
      <c r="J138" t="s">
        <v>727</v>
      </c>
    </row>
    <row r="139" spans="1:10" ht="15">
      <c r="A139" s="1">
        <v>70</v>
      </c>
      <c r="B139" t="str">
        <f ca="1">IFERROR(__xludf.DUMMYFUNCTION((TRANSPOSE(ImportHTML("http://spending.data.al/sq/moneypower/view/id/70/year/2014",  "table", 2)))),"*Kategoria*")</f>
        <v>*Kategoria*</v>
      </c>
      <c r="D139" t="s">
        <v>719</v>
      </c>
      <c r="E139" t="s">
        <v>720</v>
      </c>
      <c r="F139" t="s">
        <v>721</v>
      </c>
      <c r="G139" t="s">
        <v>722</v>
      </c>
      <c r="H139" t="s">
        <v>723</v>
      </c>
      <c r="I139" t="s">
        <v>724</v>
      </c>
      <c r="J139" t="s">
        <v>685</v>
      </c>
    </row>
    <row r="140" spans="1:10" ht="15">
      <c r="A140" s="7"/>
      <c r="B140" t="s">
        <v>686</v>
      </c>
      <c r="D140" t="s">
        <v>2800</v>
      </c>
      <c r="E140" t="s">
        <v>2801</v>
      </c>
      <c r="F140" t="s">
        <v>727</v>
      </c>
      <c r="G140" t="s">
        <v>727</v>
      </c>
      <c r="H140" t="s">
        <v>727</v>
      </c>
      <c r="I140" t="s">
        <v>727</v>
      </c>
      <c r="J140" t="s">
        <v>2802</v>
      </c>
    </row>
    <row r="141" spans="1:10" ht="15">
      <c r="A141" s="1">
        <v>71</v>
      </c>
      <c r="B141" t="str">
        <f ca="1">IFERROR(__xludf.DUMMYFUNCTION((TRANSPOSE(ImportHTML("http://spending.data.al/sq/moneypower/view/id/71/year/2014",  "table", 2)))),"*Kategoria*")</f>
        <v>*Kategoria*</v>
      </c>
      <c r="C141" t="s">
        <v>2589</v>
      </c>
    </row>
    <row r="142" spans="1:10" ht="15">
      <c r="A142" s="7"/>
      <c r="B142" t="s">
        <v>686</v>
      </c>
    </row>
    <row r="143" spans="1:10" ht="15">
      <c r="A143" s="1">
        <v>72</v>
      </c>
      <c r="B143" t="str">
        <f ca="1">IFERROR(__xludf.DUMMYFUNCTION((TRANSPOSE(ImportHTML("http://spending.data.al/sq/moneypower/view/id/72/year/2014",  "table", 2)))),"*Kategoria*")</f>
        <v>*Kategoria*</v>
      </c>
      <c r="D143" t="s">
        <v>719</v>
      </c>
      <c r="E143" t="s">
        <v>720</v>
      </c>
      <c r="F143" t="s">
        <v>721</v>
      </c>
      <c r="G143" t="s">
        <v>722</v>
      </c>
      <c r="H143" t="s">
        <v>723</v>
      </c>
      <c r="I143" t="s">
        <v>724</v>
      </c>
      <c r="J143" t="s">
        <v>685</v>
      </c>
    </row>
    <row r="144" spans="1:10" ht="15">
      <c r="A144" s="7"/>
      <c r="B144" t="s">
        <v>686</v>
      </c>
      <c r="D144" t="s">
        <v>2803</v>
      </c>
      <c r="E144" t="s">
        <v>727</v>
      </c>
      <c r="F144" t="s">
        <v>2804</v>
      </c>
      <c r="G144" t="s">
        <v>727</v>
      </c>
      <c r="H144" t="s">
        <v>727</v>
      </c>
      <c r="I144" t="s">
        <v>727</v>
      </c>
      <c r="J144" t="s">
        <v>727</v>
      </c>
    </row>
    <row r="145" spans="1:3" ht="15">
      <c r="A145" s="1">
        <v>73</v>
      </c>
      <c r="B145" t="str">
        <f ca="1">IFERROR(__xludf.DUMMYFUNCTION((TRANSPOSE(ImportHTML("http://spending.data.al/sq/moneypower/view/id/73/year/2014",  "table", 2)))),"*Kategoria*")</f>
        <v>*Kategoria*</v>
      </c>
      <c r="C145" t="s">
        <v>2589</v>
      </c>
    </row>
    <row r="146" spans="1:3" ht="15">
      <c r="A146" s="7"/>
      <c r="B146" t="s">
        <v>686</v>
      </c>
    </row>
    <row r="147" spans="1:3" ht="15">
      <c r="A147" s="1">
        <v>74</v>
      </c>
      <c r="B147" t="str">
        <f ca="1">IFERROR(__xludf.DUMMYFUNCTION((TRANSPOSE(ImportHTML("http://spending.data.al/sq/moneypower/view/id/74/year/2014",  "table", 2)))),"*Kategoria*")</f>
        <v>*Kategoria*</v>
      </c>
      <c r="C147" t="s">
        <v>2589</v>
      </c>
    </row>
    <row r="148" spans="1:3" ht="15">
      <c r="A148" s="7"/>
      <c r="B148" t="s">
        <v>686</v>
      </c>
    </row>
    <row r="149" spans="1:3" ht="15">
      <c r="A149" s="1">
        <v>75</v>
      </c>
      <c r="B149" t="str">
        <f ca="1">IFERROR(__xludf.DUMMYFUNCTION((TRANSPOSE(ImportHTML("http://spending.data.al/sq/moneypower/view/id/75/year/2014",  "table", 2)))),"*Kategoria*")</f>
        <v>*Kategoria*</v>
      </c>
      <c r="C149" t="s">
        <v>2589</v>
      </c>
    </row>
    <row r="150" spans="1:3" ht="15">
      <c r="A150" s="7"/>
      <c r="B150" t="s">
        <v>686</v>
      </c>
    </row>
    <row r="151" spans="1:3" ht="15">
      <c r="A151" s="1">
        <v>76</v>
      </c>
      <c r="B151" t="str">
        <f ca="1">IFERROR(__xludf.DUMMYFUNCTION((TRANSPOSE(ImportHTML("http://spending.data.al/sq/moneypower/view/id/76/year/2014",  "table", 2)))),"*Kategoria*")</f>
        <v>*Kategoria*</v>
      </c>
      <c r="C151" t="s">
        <v>2589</v>
      </c>
    </row>
    <row r="152" spans="1:3" ht="15">
      <c r="A152" s="7"/>
      <c r="B152" t="s">
        <v>686</v>
      </c>
    </row>
    <row r="153" spans="1:3" ht="15">
      <c r="A153" s="1">
        <v>77</v>
      </c>
      <c r="B153" t="str">
        <f ca="1">IFERROR(__xludf.DUMMYFUNCTION((TRANSPOSE(ImportHTML("http://spending.data.al/sq/moneypower/view/id/77/year/2014",  "table", 2)))),"*Kategoria*")</f>
        <v>*Kategoria*</v>
      </c>
      <c r="C153" t="s">
        <v>2589</v>
      </c>
    </row>
    <row r="154" spans="1:3" ht="15">
      <c r="A154" s="7"/>
      <c r="B154" t="s">
        <v>686</v>
      </c>
    </row>
    <row r="155" spans="1:3" ht="15">
      <c r="A155" s="1">
        <v>78</v>
      </c>
      <c r="B155" t="str">
        <f ca="1">IFERROR(__xludf.DUMMYFUNCTION((TRANSPOSE(ImportHTML("http://spending.data.al/sq/moneypower/view/id/78/year/2014",  "table", 2)))),"*Kategoria*")</f>
        <v>*Kategoria*</v>
      </c>
      <c r="C155" t="s">
        <v>2589</v>
      </c>
    </row>
    <row r="156" spans="1:3" ht="15">
      <c r="A156" s="7"/>
      <c r="B156" t="s">
        <v>686</v>
      </c>
    </row>
    <row r="157" spans="1:3" ht="15">
      <c r="A157" s="1">
        <v>79</v>
      </c>
      <c r="B157" t="str">
        <f ca="1">IFERROR(__xludf.DUMMYFUNCTION((TRANSPOSE(ImportHTML("http://spending.data.al/sq/moneypower/view/id/79/year/2014",  "table", 2)))),"*Kategoria*")</f>
        <v>*Kategoria*</v>
      </c>
      <c r="C157" t="s">
        <v>2589</v>
      </c>
    </row>
    <row r="158" spans="1:3" ht="15">
      <c r="A158" s="7"/>
      <c r="B158" t="s">
        <v>686</v>
      </c>
    </row>
    <row r="159" spans="1:3" ht="15">
      <c r="A159" s="1">
        <v>80</v>
      </c>
      <c r="B159" t="str">
        <f ca="1">IFERROR(__xludf.DUMMYFUNCTION((TRANSPOSE(ImportHTML("http://spending.data.al/sq/moneypower/view/id/80/year/2014",  "table", 2)))),"*Kategoria*")</f>
        <v>*Kategoria*</v>
      </c>
      <c r="C159" t="s">
        <v>2589</v>
      </c>
    </row>
    <row r="160" spans="1:3" ht="15">
      <c r="A160" s="7"/>
      <c r="B160" t="s">
        <v>686</v>
      </c>
    </row>
    <row r="161" spans="1:3" ht="15">
      <c r="A161" s="1">
        <v>81</v>
      </c>
      <c r="B161" t="str">
        <f ca="1">IFERROR(__xludf.DUMMYFUNCTION((TRANSPOSE(ImportHTML("http://spending.data.al/sq/moneypower/view/id/81/year/2014",  "table", 2)))),"*Kategoria*")</f>
        <v>*Kategoria*</v>
      </c>
      <c r="C161" t="s">
        <v>2589</v>
      </c>
    </row>
    <row r="162" spans="1:3" ht="15">
      <c r="A162" s="7"/>
      <c r="B162" t="s">
        <v>686</v>
      </c>
    </row>
    <row r="163" spans="1:3" ht="15">
      <c r="A163" s="1">
        <v>82</v>
      </c>
      <c r="B163" t="str">
        <f ca="1">IFERROR(__xludf.DUMMYFUNCTION((TRANSPOSE(ImportHTML("http://spending.data.al/sq/moneypower/view/id/82/year/2014",  "table", 2)))),"*Kategoria*")</f>
        <v>*Kategoria*</v>
      </c>
      <c r="C163" t="s">
        <v>2589</v>
      </c>
    </row>
    <row r="164" spans="1:3" ht="15">
      <c r="A164" s="7"/>
      <c r="B164" t="s">
        <v>686</v>
      </c>
    </row>
    <row r="165" spans="1:3" ht="15">
      <c r="A165" s="1">
        <v>83</v>
      </c>
      <c r="B165" t="str">
        <f ca="1">IFERROR(__xludf.DUMMYFUNCTION((TRANSPOSE(ImportHTML("http://spending.data.al/sq/moneypower/view/id/83/year/2014",  "table", 2)))),"*Kategoria*")</f>
        <v>*Kategoria*</v>
      </c>
      <c r="C165" t="s">
        <v>2589</v>
      </c>
    </row>
    <row r="166" spans="1:3" ht="15">
      <c r="A166" s="7"/>
      <c r="B166" t="s">
        <v>686</v>
      </c>
    </row>
    <row r="167" spans="1:3" ht="15">
      <c r="A167" s="1">
        <v>84</v>
      </c>
      <c r="B167" t="str">
        <f ca="1">IFERROR(__xludf.DUMMYFUNCTION((TRANSPOSE(ImportHTML("http://spending.data.al/sq/moneypower/view/id/84/year/2014",  "table", 2)))),"*Kategoria*")</f>
        <v>*Kategoria*</v>
      </c>
      <c r="C167" t="s">
        <v>2589</v>
      </c>
    </row>
    <row r="168" spans="1:3" ht="15">
      <c r="A168" s="7"/>
      <c r="B168" t="s">
        <v>686</v>
      </c>
    </row>
    <row r="169" spans="1:3" ht="15">
      <c r="A169" s="1">
        <v>85</v>
      </c>
      <c r="B169" t="str">
        <f ca="1">IFERROR(__xludf.DUMMYFUNCTION((TRANSPOSE(ImportHTML("http://spending.data.al/sq/moneypower/view/id/85/year/2014",  "table", 2)))),"*Kategoria*")</f>
        <v>*Kategoria*</v>
      </c>
      <c r="C169" t="s">
        <v>2589</v>
      </c>
    </row>
    <row r="170" spans="1:3" ht="15">
      <c r="A170" s="7"/>
      <c r="B170" t="s">
        <v>686</v>
      </c>
    </row>
    <row r="171" spans="1:3" ht="15">
      <c r="A171" s="1">
        <v>86</v>
      </c>
      <c r="B171" t="str">
        <f ca="1">IFERROR(__xludf.DUMMYFUNCTION((TRANSPOSE(ImportHTML("http://spending.data.al/sq/moneypower/view/id/86/year/2014",  "table", 2)))),"*Kategoria*")</f>
        <v>*Kategoria*</v>
      </c>
      <c r="C171" t="s">
        <v>2589</v>
      </c>
    </row>
    <row r="172" spans="1:3" ht="15">
      <c r="A172" s="7"/>
      <c r="B172" t="s">
        <v>686</v>
      </c>
    </row>
    <row r="173" spans="1:3" ht="15">
      <c r="A173" s="1">
        <v>87</v>
      </c>
      <c r="B173" t="str">
        <f ca="1">IFERROR(__xludf.DUMMYFUNCTION((TRANSPOSE(ImportHTML("http://spending.data.al/sq/moneypower/view/id/87/year/2014",  "table", 2)))),"*Kategoria*")</f>
        <v>*Kategoria*</v>
      </c>
      <c r="C173" t="s">
        <v>2589</v>
      </c>
    </row>
    <row r="174" spans="1:3" ht="15">
      <c r="A174" s="7"/>
      <c r="B174" t="s">
        <v>686</v>
      </c>
    </row>
    <row r="175" spans="1:3" ht="15">
      <c r="A175" s="1">
        <v>88</v>
      </c>
      <c r="B175" t="str">
        <f ca="1">IFERROR(__xludf.DUMMYFUNCTION((TRANSPOSE(ImportHTML("http://spending.data.al/sq/moneypower/view/id/88/year/2014",  "table", 2)))),"*Kategoria*")</f>
        <v>*Kategoria*</v>
      </c>
      <c r="C175" t="s">
        <v>2589</v>
      </c>
    </row>
    <row r="176" spans="1:3" ht="15">
      <c r="A176" s="7"/>
      <c r="B176" t="s">
        <v>686</v>
      </c>
    </row>
    <row r="177" spans="1:10" ht="15">
      <c r="A177" s="1">
        <v>89</v>
      </c>
      <c r="B177" t="str">
        <f ca="1">IFERROR(__xludf.DUMMYFUNCTION((TRANSPOSE(ImportHTML("http://spending.data.al/sq/moneypower/view/id/89/year/2014",  "table", 2)))),"*Kategoria*")</f>
        <v>*Kategoria*</v>
      </c>
      <c r="C177" t="s">
        <v>2589</v>
      </c>
    </row>
    <row r="178" spans="1:10" ht="15">
      <c r="A178" s="7"/>
      <c r="B178" t="s">
        <v>686</v>
      </c>
    </row>
    <row r="179" spans="1:10" ht="15">
      <c r="A179" s="1">
        <v>90</v>
      </c>
      <c r="B179" t="str">
        <f ca="1">IFERROR(__xludf.DUMMYFUNCTION((TRANSPOSE(ImportHTML("http://spending.data.al/sq/moneypower/view/id/90/year/2014",  "table", 2)))),"*Kategoria*")</f>
        <v>*Kategoria*</v>
      </c>
      <c r="C179" t="s">
        <v>2589</v>
      </c>
    </row>
    <row r="180" spans="1:10" ht="15">
      <c r="A180" s="7"/>
      <c r="B180" t="s">
        <v>686</v>
      </c>
    </row>
    <row r="181" spans="1:10" ht="15">
      <c r="A181" s="1">
        <v>91</v>
      </c>
      <c r="B181" t="str">
        <f ca="1">IFERROR(__xludf.DUMMYFUNCTION((TRANSPOSE(ImportHTML("http://spending.data.al/sq/moneypower/view/id/91/year/2014",  "table", 2)))),"*Kategoria*")</f>
        <v>*Kategoria*</v>
      </c>
      <c r="D181" t="s">
        <v>719</v>
      </c>
      <c r="E181" t="s">
        <v>720</v>
      </c>
      <c r="F181" t="s">
        <v>721</v>
      </c>
      <c r="G181" t="s">
        <v>722</v>
      </c>
      <c r="H181" t="s">
        <v>723</v>
      </c>
      <c r="I181" t="s">
        <v>724</v>
      </c>
      <c r="J181" t="s">
        <v>685</v>
      </c>
    </row>
    <row r="182" spans="1:10" ht="15">
      <c r="A182" s="7"/>
      <c r="B182" t="s">
        <v>686</v>
      </c>
      <c r="D182" t="s">
        <v>2805</v>
      </c>
      <c r="E182" t="s">
        <v>2806</v>
      </c>
      <c r="F182" t="s">
        <v>2807</v>
      </c>
      <c r="G182" t="s">
        <v>727</v>
      </c>
      <c r="H182" t="s">
        <v>727</v>
      </c>
      <c r="I182" t="s">
        <v>727</v>
      </c>
      <c r="J182" t="s">
        <v>707</v>
      </c>
    </row>
    <row r="183" spans="1:10" ht="15">
      <c r="A183" s="1">
        <v>92</v>
      </c>
      <c r="B183" t="str">
        <f ca="1">IFERROR(__xludf.DUMMYFUNCTION((TRANSPOSE(ImportHTML("http://spending.data.al/sq/moneypower/view/id/92/year/2014",  "table", 2)))),"*Kategoria*")</f>
        <v>*Kategoria*</v>
      </c>
      <c r="D183" t="s">
        <v>719</v>
      </c>
      <c r="E183" t="s">
        <v>720</v>
      </c>
      <c r="F183" t="s">
        <v>721</v>
      </c>
      <c r="G183" t="s">
        <v>722</v>
      </c>
      <c r="H183" t="s">
        <v>723</v>
      </c>
      <c r="I183" t="s">
        <v>724</v>
      </c>
      <c r="J183" t="s">
        <v>685</v>
      </c>
    </row>
    <row r="184" spans="1:10" ht="15">
      <c r="A184" s="7"/>
      <c r="B184" t="s">
        <v>686</v>
      </c>
      <c r="D184" t="s">
        <v>2808</v>
      </c>
      <c r="E184" t="s">
        <v>2809</v>
      </c>
      <c r="F184" t="s">
        <v>2810</v>
      </c>
      <c r="G184" t="s">
        <v>2811</v>
      </c>
      <c r="H184" t="s">
        <v>2601</v>
      </c>
      <c r="I184" t="s">
        <v>2601</v>
      </c>
      <c r="J184" t="s">
        <v>707</v>
      </c>
    </row>
    <row r="185" spans="1:10" ht="15">
      <c r="A185" s="1">
        <v>93</v>
      </c>
      <c r="B185" t="str">
        <f ca="1">IFERROR(__xludf.DUMMYFUNCTION((TRANSPOSE(ImportHTML("http://spending.data.al/sq/moneypower/view/id/93/year/2014",  "table", 2)))),"*Kategoria*")</f>
        <v>*Kategoria*</v>
      </c>
      <c r="D185" t="s">
        <v>719</v>
      </c>
      <c r="E185" t="s">
        <v>720</v>
      </c>
      <c r="F185" t="s">
        <v>721</v>
      </c>
      <c r="G185" t="s">
        <v>722</v>
      </c>
      <c r="H185" t="s">
        <v>723</v>
      </c>
      <c r="I185" t="s">
        <v>724</v>
      </c>
      <c r="J185" t="s">
        <v>685</v>
      </c>
    </row>
    <row r="186" spans="1:10" ht="15">
      <c r="A186" s="7"/>
      <c r="B186" t="s">
        <v>686</v>
      </c>
      <c r="D186" t="s">
        <v>2812</v>
      </c>
      <c r="E186" t="s">
        <v>2813</v>
      </c>
      <c r="F186" t="s">
        <v>727</v>
      </c>
      <c r="G186" t="s">
        <v>727</v>
      </c>
      <c r="H186" t="s">
        <v>727</v>
      </c>
      <c r="I186" t="s">
        <v>727</v>
      </c>
      <c r="J186" t="s">
        <v>707</v>
      </c>
    </row>
    <row r="187" spans="1:10" ht="15">
      <c r="A187" s="1">
        <v>94</v>
      </c>
      <c r="B187" t="str">
        <f ca="1">IFERROR(__xludf.DUMMYFUNCTION((TRANSPOSE(ImportHTML("http://spending.data.al/sq/moneypower/view/id/94/year/2014",  "table", 2)))),"*Kategoria*")</f>
        <v>*Kategoria*</v>
      </c>
      <c r="C187" t="s">
        <v>2589</v>
      </c>
    </row>
    <row r="188" spans="1:10" ht="15">
      <c r="A188" s="7"/>
      <c r="B188" t="s">
        <v>686</v>
      </c>
    </row>
    <row r="189" spans="1:10" ht="15">
      <c r="A189" s="1">
        <v>95</v>
      </c>
      <c r="B189" t="str">
        <f ca="1">IFERROR(__xludf.DUMMYFUNCTION((TRANSPOSE(ImportHTML("http://spending.data.al/sq/moneypower/view/id/95/year/2014",  "table", 2)))),"*Kategoria*")</f>
        <v>*Kategoria*</v>
      </c>
      <c r="C189" t="s">
        <v>2589</v>
      </c>
    </row>
    <row r="190" spans="1:10" ht="15">
      <c r="A190" s="7"/>
      <c r="B190" t="s">
        <v>686</v>
      </c>
    </row>
    <row r="191" spans="1:10" ht="15">
      <c r="A191" s="1">
        <v>96</v>
      </c>
      <c r="B191" t="str">
        <f ca="1">IFERROR(__xludf.DUMMYFUNCTION((TRANSPOSE(ImportHTML("http://spending.data.al/sq/moneypower/view/id/96/year/2014",  "table", 2)))),"*Kategoria*")</f>
        <v>*Kategoria*</v>
      </c>
      <c r="D191" t="s">
        <v>719</v>
      </c>
      <c r="E191" t="s">
        <v>720</v>
      </c>
      <c r="F191" t="s">
        <v>721</v>
      </c>
      <c r="G191" t="s">
        <v>722</v>
      </c>
      <c r="H191" t="s">
        <v>723</v>
      </c>
      <c r="I191" t="s">
        <v>724</v>
      </c>
      <c r="J191" t="s">
        <v>685</v>
      </c>
    </row>
    <row r="192" spans="1:10" ht="15">
      <c r="A192" s="7"/>
      <c r="B192" t="s">
        <v>686</v>
      </c>
      <c r="D192" t="s">
        <v>2601</v>
      </c>
      <c r="E192" t="s">
        <v>2814</v>
      </c>
      <c r="F192" t="s">
        <v>2815</v>
      </c>
      <c r="G192" t="s">
        <v>2601</v>
      </c>
      <c r="H192" t="s">
        <v>2601</v>
      </c>
      <c r="I192" t="s">
        <v>2601</v>
      </c>
      <c r="J192" t="s">
        <v>707</v>
      </c>
    </row>
    <row r="193" spans="1:9" ht="15">
      <c r="A193" s="1">
        <v>97</v>
      </c>
      <c r="B193" t="str">
        <f ca="1">IFERROR(__xludf.DUMMYFUNCTION((TRANSPOSE(ImportHTML("http://spending.data.al/sq/moneypower/view/id/97/year/2014",  "table", 2)))),"*Kategoria*")</f>
        <v>*Kategoria*</v>
      </c>
      <c r="C193" t="s">
        <v>2589</v>
      </c>
    </row>
    <row r="194" spans="1:9" ht="15">
      <c r="A194" s="7"/>
      <c r="B194" t="s">
        <v>686</v>
      </c>
    </row>
    <row r="195" spans="1:9" ht="15">
      <c r="A195" s="1">
        <v>98</v>
      </c>
      <c r="B195" t="str">
        <f ca="1">IFERROR(__xludf.DUMMYFUNCTION((TRANSPOSE(ImportHTML("http://spending.data.al/sq/moneypower/view/id/98/year/2014",  "table", 2)))),"*Kategoria*")</f>
        <v>*Kategoria*</v>
      </c>
      <c r="C195" t="s">
        <v>2589</v>
      </c>
    </row>
    <row r="196" spans="1:9" ht="15">
      <c r="A196" s="7"/>
      <c r="B196" t="s">
        <v>686</v>
      </c>
    </row>
    <row r="197" spans="1:9" ht="15">
      <c r="A197" s="1">
        <v>99</v>
      </c>
      <c r="B197" t="str">
        <f ca="1">IFERROR(__xludf.DUMMYFUNCTION((TRANSPOSE(ImportHTML("http://spending.data.al/sq/moneypower/view/id/99/year/2014",  "table", 2)))),"*Kategoria*")</f>
        <v>*Kategoria*</v>
      </c>
      <c r="C197" t="s">
        <v>2589</v>
      </c>
    </row>
    <row r="198" spans="1:9" ht="15">
      <c r="A198" s="7"/>
      <c r="B198" t="s">
        <v>686</v>
      </c>
    </row>
    <row r="199" spans="1:9" ht="15">
      <c r="A199" s="1">
        <v>100</v>
      </c>
      <c r="B199" t="str">
        <f ca="1">IFERROR(__xludf.DUMMYFUNCTION((TRANSPOSE(ImportHTML("http://spending.data.al/sq/moneypower/view/id/100/year/2014",  "table", 2)))),"*Kategoria*")</f>
        <v>*Kategoria*</v>
      </c>
      <c r="D199" t="s">
        <v>719</v>
      </c>
      <c r="E199" t="s">
        <v>720</v>
      </c>
      <c r="F199" t="s">
        <v>721</v>
      </c>
      <c r="G199" t="s">
        <v>722</v>
      </c>
      <c r="H199" t="s">
        <v>723</v>
      </c>
      <c r="I199" t="s">
        <v>724</v>
      </c>
    </row>
    <row r="200" spans="1:9" ht="15">
      <c r="A200" s="7"/>
      <c r="B200" t="s">
        <v>686</v>
      </c>
      <c r="D200" t="s">
        <v>2816</v>
      </c>
      <c r="E200" t="s">
        <v>2817</v>
      </c>
      <c r="F200" t="s">
        <v>727</v>
      </c>
      <c r="G200" t="s">
        <v>727</v>
      </c>
      <c r="H200" t="s">
        <v>727</v>
      </c>
      <c r="I200" t="s">
        <v>727</v>
      </c>
    </row>
    <row r="201" spans="1:9" ht="15">
      <c r="A201" s="1">
        <v>101</v>
      </c>
      <c r="B201" t="str">
        <f ca="1">IFERROR(__xludf.DUMMYFUNCTION((TRANSPOSE(ImportHTML("http://spending.data.al/sq/moneypower/view/id/101/year/2014",  "table", 2)))),"*Kategoria*")</f>
        <v>*Kategoria*</v>
      </c>
      <c r="C201" t="s">
        <v>2589</v>
      </c>
    </row>
    <row r="202" spans="1:9" ht="15">
      <c r="A202" s="7"/>
      <c r="B202" t="s">
        <v>686</v>
      </c>
    </row>
    <row r="203" spans="1:9" ht="15">
      <c r="A203" s="1">
        <v>102</v>
      </c>
      <c r="B203" t="str">
        <f ca="1">IFERROR(__xludf.DUMMYFUNCTION((TRANSPOSE(ImportHTML("http://spending.data.al/sq/moneypower/view/id/102/year/2014",  "table", 2)))),"*Kategoria*")</f>
        <v>*Kategoria*</v>
      </c>
      <c r="C203" t="s">
        <v>2589</v>
      </c>
    </row>
    <row r="204" spans="1:9" ht="15">
      <c r="A204" s="7"/>
      <c r="B204" t="s">
        <v>686</v>
      </c>
    </row>
    <row r="205" spans="1:9" ht="15">
      <c r="A205" s="1">
        <v>103</v>
      </c>
      <c r="B205" t="str">
        <f ca="1">IFERROR(__xludf.DUMMYFUNCTION((TRANSPOSE(ImportHTML("http://spending.data.al/sq/moneypower/view/id/103/year/2014",  "table", 2)))),"*Kategoria*")</f>
        <v>*Kategoria*</v>
      </c>
      <c r="C205" t="s">
        <v>2589</v>
      </c>
    </row>
    <row r="206" spans="1:9" ht="15">
      <c r="A206" s="7"/>
      <c r="B206" t="s">
        <v>686</v>
      </c>
    </row>
    <row r="207" spans="1:9" ht="15">
      <c r="A207" s="1">
        <v>104</v>
      </c>
      <c r="B207" t="str">
        <f ca="1">IFERROR(__xludf.DUMMYFUNCTION((TRANSPOSE(ImportHTML("http://spending.data.al/sq/moneypower/view/id/104/year/2014",  "table", 2)))),"*Kategoria*")</f>
        <v>*Kategoria*</v>
      </c>
      <c r="C207" t="s">
        <v>2589</v>
      </c>
    </row>
    <row r="208" spans="1:9" ht="15">
      <c r="A208" s="7"/>
      <c r="B208" t="s">
        <v>686</v>
      </c>
    </row>
    <row r="209" spans="1:10" ht="15">
      <c r="A209" s="1">
        <v>105</v>
      </c>
      <c r="B209" t="str">
        <f ca="1">IFERROR(__xludf.DUMMYFUNCTION((TRANSPOSE(ImportHTML("http://spending.data.al/sq/moneypower/view/id/105/year/2014",  "table", 2)))),"*Kategoria*")</f>
        <v>*Kategoria*</v>
      </c>
      <c r="C209" t="s">
        <v>2589</v>
      </c>
    </row>
    <row r="210" spans="1:10" ht="15">
      <c r="A210" s="7"/>
      <c r="B210" t="s">
        <v>686</v>
      </c>
    </row>
    <row r="211" spans="1:10" ht="15">
      <c r="A211" s="1">
        <v>106</v>
      </c>
      <c r="B211" t="str">
        <f ca="1">IFERROR(__xludf.DUMMYFUNCTION((TRANSPOSE(ImportHTML("http://spending.data.al/sq/moneypower/view/id/106/year/2014",  "table", 2)))),"*Kategoria*")</f>
        <v>*Kategoria*</v>
      </c>
      <c r="C211" t="s">
        <v>2589</v>
      </c>
    </row>
    <row r="212" spans="1:10" ht="15">
      <c r="A212" s="7"/>
      <c r="B212" t="s">
        <v>686</v>
      </c>
    </row>
    <row r="213" spans="1:10" ht="15">
      <c r="A213" s="1">
        <v>107</v>
      </c>
      <c r="B213" t="str">
        <f ca="1">IFERROR(__xludf.DUMMYFUNCTION((TRANSPOSE(ImportHTML("http://spending.data.al/sq/moneypower/view/id/107/year/2014",  "table", 2)))),"*Kategoria*")</f>
        <v>*Kategoria*</v>
      </c>
      <c r="C213" t="s">
        <v>2589</v>
      </c>
    </row>
    <row r="214" spans="1:10" ht="15">
      <c r="A214" s="7"/>
      <c r="B214" t="s">
        <v>686</v>
      </c>
    </row>
    <row r="215" spans="1:10" ht="15">
      <c r="A215" s="1">
        <v>108</v>
      </c>
      <c r="B215" t="str">
        <f ca="1">IFERROR(__xludf.DUMMYFUNCTION((TRANSPOSE(ImportHTML("http://spending.data.al/sq/moneypower/view/id/108/year/2014",  "table", 2)))),"*Kategoria*")</f>
        <v>*Kategoria*</v>
      </c>
      <c r="C215" t="s">
        <v>2589</v>
      </c>
    </row>
    <row r="216" spans="1:10" ht="15">
      <c r="A216" s="7"/>
      <c r="B216" t="s">
        <v>686</v>
      </c>
    </row>
    <row r="217" spans="1:10" ht="15">
      <c r="A217" s="1">
        <v>109</v>
      </c>
      <c r="B217" t="str">
        <f ca="1">IFERROR(__xludf.DUMMYFUNCTION((TRANSPOSE(ImportHTML("http://spending.data.al/sq/moneypower/view/id/109/year/2014",  "table", 2)))),"*Kategoria*")</f>
        <v>*Kategoria*</v>
      </c>
      <c r="C217" t="s">
        <v>2589</v>
      </c>
    </row>
    <row r="218" spans="1:10" ht="15">
      <c r="A218" s="7"/>
      <c r="B218" t="s">
        <v>686</v>
      </c>
    </row>
    <row r="219" spans="1:10" ht="15">
      <c r="A219" s="1">
        <v>110</v>
      </c>
      <c r="B219" t="str">
        <f ca="1">IFERROR(__xludf.DUMMYFUNCTION((TRANSPOSE(ImportHTML("http://spending.data.al/sq/moneypower/view/id/110/year/2014",  "table", 2)))),"*Kategoria*")</f>
        <v>*Kategoria*</v>
      </c>
      <c r="D219" t="s">
        <v>719</v>
      </c>
      <c r="E219" t="s">
        <v>720</v>
      </c>
      <c r="F219" t="s">
        <v>721</v>
      </c>
      <c r="G219" t="s">
        <v>722</v>
      </c>
      <c r="H219" t="s">
        <v>723</v>
      </c>
      <c r="I219" t="s">
        <v>724</v>
      </c>
      <c r="J219" t="s">
        <v>685</v>
      </c>
    </row>
    <row r="220" spans="1:10" ht="15">
      <c r="A220" s="7"/>
      <c r="B220" t="s">
        <v>686</v>
      </c>
      <c r="D220" t="s">
        <v>2818</v>
      </c>
      <c r="E220" t="s">
        <v>2819</v>
      </c>
      <c r="F220" t="s">
        <v>2820</v>
      </c>
      <c r="G220" t="s">
        <v>688</v>
      </c>
      <c r="H220" t="s">
        <v>688</v>
      </c>
      <c r="I220" t="s">
        <v>688</v>
      </c>
      <c r="J220" t="s">
        <v>688</v>
      </c>
    </row>
    <row r="221" spans="1:10" ht="15">
      <c r="A221" s="1">
        <v>111</v>
      </c>
      <c r="B221" t="str">
        <f ca="1">IFERROR(__xludf.DUMMYFUNCTION((TRANSPOSE(ImportHTML("http://spending.data.al/sq/moneypower/view/id/111/year/2014",  "table", 2)))),"*Kategoria*")</f>
        <v>*Kategoria*</v>
      </c>
      <c r="D221" t="s">
        <v>719</v>
      </c>
      <c r="E221" t="s">
        <v>720</v>
      </c>
      <c r="F221" t="s">
        <v>721</v>
      </c>
      <c r="G221" t="s">
        <v>722</v>
      </c>
      <c r="H221" t="s">
        <v>723</v>
      </c>
      <c r="I221" t="s">
        <v>724</v>
      </c>
      <c r="J221" t="s">
        <v>685</v>
      </c>
    </row>
    <row r="222" spans="1:10" ht="15">
      <c r="A222" s="7"/>
      <c r="B222" t="s">
        <v>686</v>
      </c>
      <c r="D222" t="s">
        <v>2821</v>
      </c>
      <c r="E222" t="s">
        <v>2822</v>
      </c>
      <c r="F222" t="s">
        <v>2823</v>
      </c>
      <c r="G222" t="s">
        <v>688</v>
      </c>
      <c r="H222" t="s">
        <v>688</v>
      </c>
      <c r="I222" t="s">
        <v>688</v>
      </c>
      <c r="J222" t="s">
        <v>2824</v>
      </c>
    </row>
    <row r="223" spans="1:10" ht="15">
      <c r="A223" s="1">
        <v>112</v>
      </c>
      <c r="B223" t="str">
        <f ca="1">IFERROR(__xludf.DUMMYFUNCTION((TRANSPOSE(ImportHTML("http://spending.data.al/sq/moneypower/view/id/112/year/2014",  "table", 2)))),"*Kategoria*")</f>
        <v>*Kategoria*</v>
      </c>
      <c r="D223" t="s">
        <v>719</v>
      </c>
      <c r="E223" t="s">
        <v>720</v>
      </c>
      <c r="F223" t="s">
        <v>721</v>
      </c>
      <c r="G223" t="s">
        <v>722</v>
      </c>
      <c r="H223" t="s">
        <v>723</v>
      </c>
      <c r="I223" t="s">
        <v>724</v>
      </c>
      <c r="J223" t="s">
        <v>685</v>
      </c>
    </row>
    <row r="224" spans="1:10" ht="15">
      <c r="A224" s="7"/>
      <c r="B224" t="s">
        <v>686</v>
      </c>
      <c r="D224" t="s">
        <v>2825</v>
      </c>
      <c r="E224" t="s">
        <v>688</v>
      </c>
      <c r="F224" t="s">
        <v>2826</v>
      </c>
      <c r="G224" t="s">
        <v>688</v>
      </c>
      <c r="H224" t="s">
        <v>688</v>
      </c>
      <c r="I224" t="s">
        <v>2827</v>
      </c>
      <c r="J224" t="s">
        <v>2828</v>
      </c>
    </row>
    <row r="225" spans="1:3" ht="15">
      <c r="A225" s="1">
        <v>113</v>
      </c>
      <c r="B225" t="str">
        <f ca="1">IFERROR(__xludf.DUMMYFUNCTION((TRANSPOSE(ImportHTML("http://spending.data.al/sq/moneypower/view/id/113/year/2014",  "table", 2)))),"*Kategoria*")</f>
        <v>*Kategoria*</v>
      </c>
      <c r="C225" t="s">
        <v>2589</v>
      </c>
    </row>
    <row r="226" spans="1:3" ht="15">
      <c r="A226" s="7"/>
      <c r="B226" t="s">
        <v>686</v>
      </c>
    </row>
    <row r="227" spans="1:3" ht="15">
      <c r="A227" s="1">
        <v>114</v>
      </c>
      <c r="B227" t="str">
        <f ca="1">IFERROR(__xludf.DUMMYFUNCTION((TRANSPOSE(ImportHTML("http://spending.data.al/sq/moneypower/view/id/114/year/2014",  "table", 2)))),"*Kategoria*")</f>
        <v>*Kategoria*</v>
      </c>
      <c r="C227" t="s">
        <v>2589</v>
      </c>
    </row>
    <row r="228" spans="1:3" ht="15">
      <c r="A228" s="7"/>
      <c r="B228" t="s">
        <v>686</v>
      </c>
    </row>
    <row r="229" spans="1:3" ht="15">
      <c r="A229" s="1">
        <v>115</v>
      </c>
      <c r="B229" t="str">
        <f ca="1">IFERROR(__xludf.DUMMYFUNCTION((TRANSPOSE(ImportHTML("http://spending.data.al/sq/moneypower/view/id/115/year/2014",  "table", 2)))),"*Kategoria*")</f>
        <v>*Kategoria*</v>
      </c>
      <c r="C229" t="s">
        <v>2589</v>
      </c>
    </row>
    <row r="230" spans="1:3" ht="15">
      <c r="A230" s="7"/>
      <c r="B230" t="s">
        <v>686</v>
      </c>
    </row>
    <row r="231" spans="1:3" ht="15">
      <c r="A231" s="1">
        <v>116</v>
      </c>
      <c r="B231" t="str">
        <f ca="1">IFERROR(__xludf.DUMMYFUNCTION((TRANSPOSE(ImportHTML("http://spending.data.al/sq/moneypower/view/id/116/year/2014",  "table", 2)))),"*Kategoria*")</f>
        <v>*Kategoria*</v>
      </c>
      <c r="C231" t="s">
        <v>2589</v>
      </c>
    </row>
    <row r="232" spans="1:3" ht="15">
      <c r="A232" s="7"/>
      <c r="B232" t="s">
        <v>686</v>
      </c>
    </row>
    <row r="233" spans="1:3" ht="15">
      <c r="A233" s="1">
        <v>117</v>
      </c>
      <c r="B233" t="str">
        <f ca="1">IFERROR(__xludf.DUMMYFUNCTION((TRANSPOSE(ImportHTML("http://spending.data.al/sq/moneypower/view/id/117/year/2014",  "table", 2)))),"*Kategoria*")</f>
        <v>*Kategoria*</v>
      </c>
      <c r="C233" t="s">
        <v>2589</v>
      </c>
    </row>
    <row r="234" spans="1:3" ht="15">
      <c r="A234" s="7"/>
      <c r="B234" t="s">
        <v>686</v>
      </c>
    </row>
    <row r="235" spans="1:3" ht="15">
      <c r="A235" s="1">
        <v>118</v>
      </c>
      <c r="B235" t="str">
        <f ca="1">IFERROR(__xludf.DUMMYFUNCTION((TRANSPOSE(ImportHTML("http://spending.data.al/sq/moneypower/view/id/118/year/2014",  "table", 2)))),"*Kategoria*")</f>
        <v>*Kategoria*</v>
      </c>
      <c r="C235" t="s">
        <v>2589</v>
      </c>
    </row>
    <row r="236" spans="1:3" ht="15">
      <c r="A236" s="7"/>
      <c r="B236" t="s">
        <v>686</v>
      </c>
    </row>
    <row r="237" spans="1:3" ht="15">
      <c r="A237" s="1">
        <v>119</v>
      </c>
      <c r="B237" t="str">
        <f ca="1">IFERROR(__xludf.DUMMYFUNCTION((TRANSPOSE(ImportHTML("http://spending.data.al/sq/moneypower/view/id/119/year/2014",  "table", 2)))),"*Kategoria*")</f>
        <v>*Kategoria*</v>
      </c>
      <c r="C237" t="s">
        <v>2589</v>
      </c>
    </row>
    <row r="238" spans="1:3" ht="15">
      <c r="A238" s="7"/>
      <c r="B238" t="s">
        <v>686</v>
      </c>
    </row>
    <row r="239" spans="1:3" ht="15">
      <c r="A239" s="1">
        <v>120</v>
      </c>
      <c r="B239" t="str">
        <f ca="1">IFERROR(__xludf.DUMMYFUNCTION((TRANSPOSE(ImportHTML("http://spending.data.al/sq/moneypower/view/id/120/year/2014",  "table", 2)))),"*Kategoria*")</f>
        <v>*Kategoria*</v>
      </c>
      <c r="C239" t="s">
        <v>2589</v>
      </c>
    </row>
    <row r="240" spans="1:3" ht="15">
      <c r="A240" s="7"/>
      <c r="B240" t="s">
        <v>686</v>
      </c>
    </row>
    <row r="241" spans="1:10" ht="15">
      <c r="A241" s="1">
        <v>121</v>
      </c>
      <c r="B241" t="str">
        <f ca="1">IFERROR(__xludf.DUMMYFUNCTION((TRANSPOSE(ImportHTML("http://spending.data.al/sq/moneypower/view/id/121/year/2014",  "table", 2)))),"*Kategoria*")</f>
        <v>*Kategoria*</v>
      </c>
      <c r="C241" t="s">
        <v>2589</v>
      </c>
    </row>
    <row r="242" spans="1:10" ht="15">
      <c r="A242" s="7"/>
      <c r="B242" t="s">
        <v>686</v>
      </c>
    </row>
    <row r="243" spans="1:10" ht="15">
      <c r="A243" s="1">
        <v>122</v>
      </c>
      <c r="B243" t="str">
        <f ca="1">IFERROR(__xludf.DUMMYFUNCTION((TRANSPOSE(ImportHTML("http://spending.data.al/sq/moneypower/view/id/122/year/2014",  "table", 2)))),"*Kategoria*")</f>
        <v>*Kategoria*</v>
      </c>
      <c r="C243" t="s">
        <v>2589</v>
      </c>
    </row>
    <row r="244" spans="1:10" ht="15">
      <c r="A244" s="7"/>
      <c r="B244" t="s">
        <v>686</v>
      </c>
    </row>
    <row r="245" spans="1:10" ht="15">
      <c r="A245" s="1">
        <v>123</v>
      </c>
      <c r="B245" t="str">
        <f ca="1">IFERROR(__xludf.DUMMYFUNCTION((TRANSPOSE(ImportHTML("http://spending.data.al/sq/moneypower/view/id/123/year/2014",  "table", 2)))),"*Kategoria*")</f>
        <v>*Kategoria*</v>
      </c>
      <c r="C245" t="s">
        <v>2589</v>
      </c>
    </row>
    <row r="246" spans="1:10" ht="15">
      <c r="A246" s="7"/>
      <c r="B246" t="s">
        <v>686</v>
      </c>
    </row>
    <row r="247" spans="1:10" ht="15">
      <c r="A247" s="1">
        <v>124</v>
      </c>
      <c r="B247" t="str">
        <f ca="1">IFERROR(__xludf.DUMMYFUNCTION((TRANSPOSE(ImportHTML("http://spending.data.al/sq/moneypower/view/id/124/year/2014",  "table", 2)))),"*Kategoria*")</f>
        <v>*Kategoria*</v>
      </c>
      <c r="D247" t="s">
        <v>719</v>
      </c>
      <c r="E247" t="s">
        <v>720</v>
      </c>
      <c r="F247" t="s">
        <v>721</v>
      </c>
      <c r="G247" t="s">
        <v>722</v>
      </c>
      <c r="H247" t="s">
        <v>723</v>
      </c>
      <c r="I247" t="s">
        <v>724</v>
      </c>
      <c r="J247" t="s">
        <v>685</v>
      </c>
    </row>
    <row r="248" spans="1:10" ht="15">
      <c r="A248" s="7"/>
      <c r="B248" t="s">
        <v>686</v>
      </c>
      <c r="D248" t="s">
        <v>2829</v>
      </c>
      <c r="E248" t="s">
        <v>2830</v>
      </c>
      <c r="F248" t="s">
        <v>2831</v>
      </c>
      <c r="G248" t="s">
        <v>688</v>
      </c>
      <c r="H248" t="s">
        <v>2832</v>
      </c>
      <c r="I248" t="s">
        <v>688</v>
      </c>
      <c r="J248" t="s">
        <v>2833</v>
      </c>
    </row>
    <row r="249" spans="1:10" ht="15">
      <c r="A249" s="1">
        <v>125</v>
      </c>
      <c r="B249" t="str">
        <f ca="1">IFERROR(__xludf.DUMMYFUNCTION((TRANSPOSE(ImportHTML("http://spending.data.al/sq/moneypower/view/id/125/year/2014",  "table", 2)))),"*Kategoria*")</f>
        <v>*Kategoria*</v>
      </c>
      <c r="C249" t="s">
        <v>2589</v>
      </c>
    </row>
    <row r="250" spans="1:10" ht="15">
      <c r="A250" s="7"/>
      <c r="B250" t="s">
        <v>686</v>
      </c>
    </row>
    <row r="251" spans="1:10" ht="15">
      <c r="A251" s="1">
        <v>126</v>
      </c>
      <c r="B251" t="str">
        <f ca="1">IFERROR(__xludf.DUMMYFUNCTION((TRANSPOSE(ImportHTML("http://spending.data.al/sq/moneypower/view/id/126/year/2014",  "table", 2)))),"*Kategoria*")</f>
        <v>*Kategoria*</v>
      </c>
      <c r="D251" t="s">
        <v>719</v>
      </c>
      <c r="E251" t="s">
        <v>720</v>
      </c>
      <c r="F251" t="s">
        <v>721</v>
      </c>
      <c r="G251" t="s">
        <v>722</v>
      </c>
      <c r="H251" t="s">
        <v>723</v>
      </c>
      <c r="I251" t="s">
        <v>724</v>
      </c>
      <c r="J251" t="s">
        <v>685</v>
      </c>
    </row>
    <row r="252" spans="1:10" ht="15">
      <c r="A252" s="7"/>
      <c r="B252" t="s">
        <v>686</v>
      </c>
      <c r="D252" t="s">
        <v>2834</v>
      </c>
      <c r="E252" t="s">
        <v>2835</v>
      </c>
      <c r="F252" t="s">
        <v>2836</v>
      </c>
      <c r="G252" t="s">
        <v>688</v>
      </c>
      <c r="H252" t="s">
        <v>688</v>
      </c>
      <c r="I252" t="s">
        <v>688</v>
      </c>
      <c r="J252" t="s">
        <v>688</v>
      </c>
    </row>
    <row r="253" spans="1:10" ht="15">
      <c r="A253" s="1">
        <v>127</v>
      </c>
      <c r="B253" t="str">
        <f ca="1">IFERROR(__xludf.DUMMYFUNCTION((TRANSPOSE(ImportHTML("http://spending.data.al/sq/moneypower/view/id/127/year/2014",  "table", 2)))),"*Kategoria*")</f>
        <v>*Kategoria*</v>
      </c>
      <c r="D253" t="s">
        <v>719</v>
      </c>
      <c r="E253" t="s">
        <v>720</v>
      </c>
      <c r="F253" t="s">
        <v>721</v>
      </c>
      <c r="G253" t="s">
        <v>722</v>
      </c>
      <c r="H253" t="s">
        <v>723</v>
      </c>
      <c r="I253" t="s">
        <v>724</v>
      </c>
      <c r="J253" t="s">
        <v>685</v>
      </c>
    </row>
    <row r="254" spans="1:10" ht="15">
      <c r="A254" s="7"/>
      <c r="B254" t="s">
        <v>686</v>
      </c>
      <c r="D254" t="s">
        <v>2837</v>
      </c>
      <c r="E254" t="s">
        <v>2838</v>
      </c>
      <c r="F254" t="s">
        <v>688</v>
      </c>
      <c r="G254" t="s">
        <v>688</v>
      </c>
      <c r="H254" t="s">
        <v>688</v>
      </c>
      <c r="I254" t="s">
        <v>688</v>
      </c>
      <c r="J254" t="s">
        <v>688</v>
      </c>
    </row>
    <row r="255" spans="1:10" ht="15">
      <c r="A255" s="1">
        <v>128</v>
      </c>
      <c r="B255" t="str">
        <f ca="1">IFERROR(__xludf.DUMMYFUNCTION((TRANSPOSE(ImportHTML("http://spending.data.al/sq/moneypower/view/id/128/year/2014",  "table", 2)))),"*Kategoria*")</f>
        <v>*Kategoria*</v>
      </c>
      <c r="D255" t="s">
        <v>719</v>
      </c>
      <c r="E255" t="s">
        <v>720</v>
      </c>
      <c r="F255" t="s">
        <v>721</v>
      </c>
      <c r="G255" t="s">
        <v>722</v>
      </c>
      <c r="H255" t="s">
        <v>723</v>
      </c>
      <c r="I255" t="s">
        <v>724</v>
      </c>
      <c r="J255" t="s">
        <v>685</v>
      </c>
    </row>
    <row r="256" spans="1:10" ht="15">
      <c r="A256" s="7"/>
      <c r="B256" t="s">
        <v>686</v>
      </c>
      <c r="D256" t="s">
        <v>2839</v>
      </c>
      <c r="E256" t="s">
        <v>2840</v>
      </c>
      <c r="F256" t="s">
        <v>2841</v>
      </c>
      <c r="G256" t="s">
        <v>688</v>
      </c>
      <c r="H256" t="s">
        <v>2842</v>
      </c>
      <c r="I256" t="s">
        <v>688</v>
      </c>
      <c r="J256" t="s">
        <v>688</v>
      </c>
    </row>
    <row r="257" spans="1:10" ht="15">
      <c r="A257" s="1">
        <v>129</v>
      </c>
      <c r="B257" t="str">
        <f ca="1">IFERROR(__xludf.DUMMYFUNCTION((TRANSPOSE(ImportHTML("http://spending.data.al/sq/moneypower/view/id/129/year/2014",  "table", 2)))),"*Kategoria*")</f>
        <v>*Kategoria*</v>
      </c>
      <c r="D257" t="s">
        <v>719</v>
      </c>
      <c r="E257" t="s">
        <v>720</v>
      </c>
      <c r="F257" t="s">
        <v>721</v>
      </c>
      <c r="G257" t="s">
        <v>722</v>
      </c>
      <c r="H257" t="s">
        <v>723</v>
      </c>
      <c r="I257" t="s">
        <v>724</v>
      </c>
      <c r="J257" t="s">
        <v>685</v>
      </c>
    </row>
    <row r="258" spans="1:10" ht="15">
      <c r="A258" s="7"/>
      <c r="B258" t="s">
        <v>686</v>
      </c>
      <c r="D258" t="s">
        <v>2843</v>
      </c>
      <c r="E258" t="s">
        <v>2844</v>
      </c>
      <c r="F258" t="s">
        <v>2845</v>
      </c>
      <c r="G258" t="s">
        <v>688</v>
      </c>
      <c r="H258" t="s">
        <v>688</v>
      </c>
      <c r="I258" t="s">
        <v>688</v>
      </c>
      <c r="J258" t="s">
        <v>688</v>
      </c>
    </row>
    <row r="259" spans="1:10" ht="15">
      <c r="A259" s="1">
        <v>130</v>
      </c>
      <c r="B259" t="str">
        <f ca="1">IFERROR(__xludf.DUMMYFUNCTION((TRANSPOSE(ImportHTML("http://spending.data.al/sq/moneypower/view/id/130/year/2014",  "table", 2)))),"*Kategoria*")</f>
        <v>*Kategoria*</v>
      </c>
      <c r="C259" t="s">
        <v>2589</v>
      </c>
    </row>
    <row r="260" spans="1:10" ht="15">
      <c r="A260" s="7"/>
      <c r="B260" t="s">
        <v>686</v>
      </c>
    </row>
    <row r="261" spans="1:10" ht="15">
      <c r="A261" s="1">
        <v>131</v>
      </c>
      <c r="B261" t="str">
        <f ca="1">IFERROR(__xludf.DUMMYFUNCTION((TRANSPOSE(ImportHTML("http://spending.data.al/sq/moneypower/view/id/131/year/2014",  "table", 2)))),"*Kategoria*")</f>
        <v>*Kategoria*</v>
      </c>
      <c r="D261" t="s">
        <v>719</v>
      </c>
      <c r="E261" t="s">
        <v>720</v>
      </c>
      <c r="F261" t="s">
        <v>721</v>
      </c>
      <c r="G261" t="s">
        <v>722</v>
      </c>
      <c r="H261" t="s">
        <v>723</v>
      </c>
      <c r="I261" t="s">
        <v>724</v>
      </c>
      <c r="J261" t="s">
        <v>685</v>
      </c>
    </row>
    <row r="262" spans="1:10" ht="15">
      <c r="A262" s="7"/>
      <c r="B262" t="s">
        <v>686</v>
      </c>
      <c r="D262" t="s">
        <v>2846</v>
      </c>
      <c r="E262" t="s">
        <v>2847</v>
      </c>
      <c r="F262" t="s">
        <v>2848</v>
      </c>
      <c r="H262" t="s">
        <v>2849</v>
      </c>
      <c r="I262" t="s">
        <v>688</v>
      </c>
      <c r="J262" t="s">
        <v>2850</v>
      </c>
    </row>
    <row r="263" spans="1:10" ht="15">
      <c r="A263" s="1">
        <v>132</v>
      </c>
      <c r="B263" t="str">
        <f ca="1">IFERROR(__xludf.DUMMYFUNCTION((TRANSPOSE(ImportHTML("http://spending.data.al/sq/moneypower/view/id/132/year/2014",  "table", 2)))),"*Kategoria*")</f>
        <v>*Kategoria*</v>
      </c>
      <c r="C263" t="s">
        <v>2589</v>
      </c>
    </row>
    <row r="264" spans="1:10" ht="15">
      <c r="A264" s="7"/>
      <c r="B264" t="s">
        <v>686</v>
      </c>
    </row>
    <row r="265" spans="1:10" ht="15">
      <c r="A265" s="1">
        <v>133</v>
      </c>
      <c r="B265" t="str">
        <f ca="1">IFERROR(__xludf.DUMMYFUNCTION((TRANSPOSE(ImportHTML("http://spending.data.al/sq/moneypower/view/id/133/year/2014",  "table", 2)))),"*Kategoria*")</f>
        <v>*Kategoria*</v>
      </c>
      <c r="C265" t="s">
        <v>2589</v>
      </c>
    </row>
    <row r="266" spans="1:10" ht="15">
      <c r="A266" s="7"/>
      <c r="B266" t="s">
        <v>686</v>
      </c>
    </row>
    <row r="267" spans="1:10" ht="15">
      <c r="A267" s="1">
        <v>134</v>
      </c>
      <c r="B267" t="str">
        <f ca="1">IFERROR(__xludf.DUMMYFUNCTION((TRANSPOSE(ImportHTML("http://spending.data.al/sq/moneypower/view/id/134/year/2014",  "table", 2)))),"*Kategoria*")</f>
        <v>*Kategoria*</v>
      </c>
      <c r="D267" t="s">
        <v>719</v>
      </c>
      <c r="E267" t="s">
        <v>720</v>
      </c>
      <c r="F267" t="s">
        <v>721</v>
      </c>
      <c r="G267" t="s">
        <v>722</v>
      </c>
      <c r="H267" t="s">
        <v>723</v>
      </c>
      <c r="I267" t="s">
        <v>724</v>
      </c>
      <c r="J267" t="s">
        <v>685</v>
      </c>
    </row>
    <row r="268" spans="1:10" ht="15">
      <c r="A268" s="7"/>
      <c r="B268" t="s">
        <v>686</v>
      </c>
      <c r="D268" t="s">
        <v>2851</v>
      </c>
      <c r="E268" t="s">
        <v>2852</v>
      </c>
      <c r="F268" t="s">
        <v>2853</v>
      </c>
      <c r="G268" t="s">
        <v>688</v>
      </c>
      <c r="H268" t="s">
        <v>688</v>
      </c>
      <c r="I268" t="s">
        <v>688</v>
      </c>
      <c r="J268" t="s">
        <v>2854</v>
      </c>
    </row>
    <row r="269" spans="1:10" ht="15">
      <c r="A269" s="1">
        <v>135</v>
      </c>
      <c r="B269" t="str">
        <f ca="1">IFERROR(__xludf.DUMMYFUNCTION((TRANSPOSE(ImportHTML("http://spending.data.al/sq/moneypower/view/id/135/year/2014",  "table", 2)))),"*Kategoria*")</f>
        <v>*Kategoria*</v>
      </c>
      <c r="C269" t="s">
        <v>2589</v>
      </c>
    </row>
    <row r="270" spans="1:10" ht="15">
      <c r="A270" s="7"/>
      <c r="B270" t="s">
        <v>686</v>
      </c>
    </row>
    <row r="271" spans="1:10" ht="15">
      <c r="A271" s="1">
        <v>136</v>
      </c>
      <c r="B271" t="str">
        <f ca="1">IFERROR(__xludf.DUMMYFUNCTION((TRANSPOSE(ImportHTML("http://spending.data.al/sq/moneypower/view/id/136/year/2014",  "table", 2)))),"*Kategoria*")</f>
        <v>*Kategoria*</v>
      </c>
      <c r="C271" t="s">
        <v>2589</v>
      </c>
    </row>
    <row r="272" spans="1:10" ht="15">
      <c r="A272" s="7"/>
      <c r="B272" t="s">
        <v>686</v>
      </c>
    </row>
    <row r="273" spans="1:10" ht="15">
      <c r="A273" s="1">
        <v>137</v>
      </c>
      <c r="B273" t="str">
        <f ca="1">IFERROR(__xludf.DUMMYFUNCTION((TRANSPOSE(ImportHTML("http://spending.data.al/sq/moneypower/view/id/137/year/2014",  "table", 2)))),"*Kategoria*")</f>
        <v>*Kategoria*</v>
      </c>
      <c r="C273" t="s">
        <v>2589</v>
      </c>
    </row>
    <row r="274" spans="1:10" ht="15">
      <c r="A274" s="7"/>
      <c r="B274" t="s">
        <v>686</v>
      </c>
    </row>
    <row r="275" spans="1:10" ht="15">
      <c r="A275" s="1">
        <v>138</v>
      </c>
      <c r="B275" t="str">
        <f ca="1">IFERROR(__xludf.DUMMYFUNCTION((TRANSPOSE(ImportHTML("http://spending.data.al/sq/moneypower/view/id/138/year/2014",  "table", 2)))),"*Kategoria*")</f>
        <v>*Kategoria*</v>
      </c>
      <c r="C275" t="s">
        <v>2589</v>
      </c>
    </row>
    <row r="276" spans="1:10" ht="15">
      <c r="A276" s="7"/>
      <c r="B276" t="s">
        <v>686</v>
      </c>
    </row>
    <row r="277" spans="1:10" ht="15">
      <c r="A277" s="1">
        <v>139</v>
      </c>
      <c r="B277" t="str">
        <f ca="1">IFERROR(__xludf.DUMMYFUNCTION((TRANSPOSE(ImportHTML("http://spending.data.al/sq/moneypower/view/id/139/year/2014",  "table", 2)))),"*Kategoria*")</f>
        <v>*Kategoria*</v>
      </c>
      <c r="C277" t="s">
        <v>2589</v>
      </c>
    </row>
    <row r="278" spans="1:10" ht="15">
      <c r="A278" s="7"/>
      <c r="B278" t="s">
        <v>686</v>
      </c>
    </row>
    <row r="279" spans="1:10" ht="15">
      <c r="A279" s="1">
        <v>140</v>
      </c>
      <c r="B279" t="str">
        <f ca="1">IFERROR(__xludf.DUMMYFUNCTION((TRANSPOSE(ImportHTML("http://spending.data.al/sq/moneypower/view/id/140/year/2014",  "table", 2)))),"*Kategoria*")</f>
        <v>*Kategoria*</v>
      </c>
      <c r="C279" t="s">
        <v>2589</v>
      </c>
    </row>
    <row r="280" spans="1:10" ht="15">
      <c r="A280" s="7"/>
      <c r="B280" t="s">
        <v>686</v>
      </c>
    </row>
    <row r="281" spans="1:10" ht="15">
      <c r="A281" s="1">
        <v>141</v>
      </c>
      <c r="B281" t="str">
        <f ca="1">IFERROR(__xludf.DUMMYFUNCTION((TRANSPOSE(ImportHTML("http://spending.data.al/sq/moneypower/view/id/141/year/2014",  "table", 2)))),"*Kategoria*")</f>
        <v>*Kategoria*</v>
      </c>
      <c r="C281" t="s">
        <v>2589</v>
      </c>
    </row>
    <row r="282" spans="1:10" ht="15">
      <c r="A282" s="7"/>
      <c r="B282" t="s">
        <v>686</v>
      </c>
    </row>
    <row r="283" spans="1:10" ht="15">
      <c r="A283" s="1">
        <v>142</v>
      </c>
      <c r="B283" t="str">
        <f ca="1">IFERROR(__xludf.DUMMYFUNCTION((TRANSPOSE(ImportHTML("http://spending.data.al/sq/moneypower/view/id/142/year/2014",  "table", 2)))),"*Kategoria*")</f>
        <v>*Kategoria*</v>
      </c>
      <c r="C283" t="s">
        <v>2589</v>
      </c>
    </row>
    <row r="284" spans="1:10" ht="15">
      <c r="A284" s="7"/>
      <c r="B284" t="s">
        <v>686</v>
      </c>
    </row>
    <row r="285" spans="1:10" ht="15">
      <c r="A285" s="1">
        <v>143</v>
      </c>
      <c r="B285" t="str">
        <f ca="1">IFERROR(__xludf.DUMMYFUNCTION((TRANSPOSE(ImportHTML("http://spending.data.al/sq/moneypower/view/id/143/year/2014",  "table", 2)))),"*Kategoria*")</f>
        <v>*Kategoria*</v>
      </c>
      <c r="D285" t="s">
        <v>719</v>
      </c>
      <c r="E285" t="s">
        <v>720</v>
      </c>
      <c r="F285" t="s">
        <v>721</v>
      </c>
      <c r="G285" t="s">
        <v>722</v>
      </c>
      <c r="H285" t="s">
        <v>723</v>
      </c>
      <c r="I285" t="s">
        <v>724</v>
      </c>
      <c r="J285" t="s">
        <v>685</v>
      </c>
    </row>
    <row r="286" spans="1:10" ht="15">
      <c r="A286" s="7"/>
      <c r="B286" t="s">
        <v>686</v>
      </c>
      <c r="D286" t="s">
        <v>2855</v>
      </c>
      <c r="E286" t="s">
        <v>2856</v>
      </c>
      <c r="F286" t="s">
        <v>2857</v>
      </c>
      <c r="G286" t="s">
        <v>2858</v>
      </c>
      <c r="H286" t="s">
        <v>2859</v>
      </c>
      <c r="I286" t="s">
        <v>2860</v>
      </c>
      <c r="J286" t="s">
        <v>688</v>
      </c>
    </row>
    <row r="287" spans="1:10" ht="15">
      <c r="A287" s="1">
        <v>144</v>
      </c>
      <c r="B287" t="str">
        <f ca="1">IFERROR(__xludf.DUMMYFUNCTION((TRANSPOSE(ImportHTML("http://spending.data.al/sq/moneypower/view/id/144/year/2014",  "table", 2)))),"*Kategoria*")</f>
        <v>*Kategoria*</v>
      </c>
      <c r="C287" t="s">
        <v>2589</v>
      </c>
    </row>
    <row r="288" spans="1:10" ht="15">
      <c r="A288" s="7"/>
      <c r="B288" t="s">
        <v>686</v>
      </c>
    </row>
    <row r="289" spans="1:10" ht="15">
      <c r="A289" s="1">
        <v>145</v>
      </c>
      <c r="B289" t="str">
        <f ca="1">IFERROR(__xludf.DUMMYFUNCTION((TRANSPOSE(ImportHTML("http://spending.data.al/sq/moneypower/view/id/145/year/2014",  "table", 2)))),"*Kategoria*")</f>
        <v>*Kategoria*</v>
      </c>
      <c r="C289" t="s">
        <v>2589</v>
      </c>
    </row>
    <row r="290" spans="1:10" ht="15">
      <c r="A290" s="7"/>
      <c r="B290" t="s">
        <v>686</v>
      </c>
    </row>
    <row r="291" spans="1:10" ht="15">
      <c r="A291" s="1">
        <v>146</v>
      </c>
      <c r="B291" t="str">
        <f ca="1">IFERROR(__xludf.DUMMYFUNCTION((TRANSPOSE(ImportHTML("http://spending.data.al/sq/moneypower/view/id/146/year/2014",  "table", 2)))),"*Kategoria*")</f>
        <v>*Kategoria*</v>
      </c>
      <c r="C291" t="s">
        <v>2589</v>
      </c>
    </row>
    <row r="292" spans="1:10" ht="15">
      <c r="A292" s="7"/>
      <c r="B292" t="s">
        <v>686</v>
      </c>
    </row>
    <row r="293" spans="1:10" ht="15">
      <c r="A293" s="1">
        <v>147</v>
      </c>
      <c r="B293" t="str">
        <f ca="1">IFERROR(__xludf.DUMMYFUNCTION((TRANSPOSE(ImportHTML("http://spending.data.al/sq/moneypower/view/id/147/year/2014",  "table", 2)))),"*Kategoria*")</f>
        <v>*Kategoria*</v>
      </c>
      <c r="C293" t="s">
        <v>2589</v>
      </c>
    </row>
    <row r="294" spans="1:10" ht="15">
      <c r="A294" s="7"/>
      <c r="B294" t="s">
        <v>686</v>
      </c>
    </row>
    <row r="295" spans="1:10" ht="15">
      <c r="A295" s="1">
        <v>148</v>
      </c>
      <c r="B295" t="str">
        <f ca="1">IFERROR(__xludf.DUMMYFUNCTION((TRANSPOSE(ImportHTML("http://spending.data.al/sq/moneypower/view/id/148/year/2014",  "table", 2)))),"*Kategoria*")</f>
        <v>*Kategoria*</v>
      </c>
      <c r="C295" t="s">
        <v>2589</v>
      </c>
    </row>
    <row r="296" spans="1:10" ht="15">
      <c r="A296" s="7"/>
      <c r="B296" t="s">
        <v>686</v>
      </c>
    </row>
    <row r="297" spans="1:10" ht="15">
      <c r="A297" s="1">
        <v>149</v>
      </c>
      <c r="B297" t="str">
        <f ca="1">IFERROR(__xludf.DUMMYFUNCTION((TRANSPOSE(ImportHTML("http://spending.data.al/sq/moneypower/view/id/149/year/2014",  "table", 2)))),"*Kategoria*")</f>
        <v>*Kategoria*</v>
      </c>
      <c r="C297" t="s">
        <v>2589</v>
      </c>
    </row>
    <row r="298" spans="1:10" ht="15">
      <c r="A298" s="7"/>
      <c r="B298" t="s">
        <v>686</v>
      </c>
    </row>
    <row r="299" spans="1:10" ht="15">
      <c r="A299" s="1">
        <v>150</v>
      </c>
      <c r="B299" t="str">
        <f ca="1">IFERROR(__xludf.DUMMYFUNCTION((TRANSPOSE(ImportHTML("http://spending.data.al/sq/moneypower/view/id/150/year/2014",  "table", 2)))),"*Kategoria*")</f>
        <v>*Kategoria*</v>
      </c>
      <c r="C299" t="s">
        <v>2589</v>
      </c>
    </row>
    <row r="300" spans="1:10" ht="15">
      <c r="A300" s="7"/>
      <c r="B300" t="s">
        <v>686</v>
      </c>
    </row>
    <row r="301" spans="1:10" ht="15">
      <c r="A301" s="1">
        <v>151</v>
      </c>
      <c r="B301" t="str">
        <f ca="1">IFERROR(__xludf.DUMMYFUNCTION((TRANSPOSE(ImportHTML("http://spending.data.al/sq/moneypower/view/id/151/year/2014",  "table", 2)))),"*Kategoria*")</f>
        <v>*Kategoria*</v>
      </c>
      <c r="D301" t="s">
        <v>719</v>
      </c>
      <c r="E301" t="s">
        <v>720</v>
      </c>
      <c r="F301" t="s">
        <v>721</v>
      </c>
      <c r="G301" t="s">
        <v>722</v>
      </c>
      <c r="H301" t="s">
        <v>723</v>
      </c>
      <c r="I301" t="s">
        <v>724</v>
      </c>
      <c r="J301" t="s">
        <v>685</v>
      </c>
    </row>
    <row r="302" spans="1:10" ht="15">
      <c r="A302" s="7"/>
      <c r="B302" t="s">
        <v>686</v>
      </c>
      <c r="D302" t="s">
        <v>2861</v>
      </c>
      <c r="E302" t="s">
        <v>2862</v>
      </c>
      <c r="F302" t="s">
        <v>2863</v>
      </c>
      <c r="G302" t="s">
        <v>2601</v>
      </c>
      <c r="H302" t="s">
        <v>2601</v>
      </c>
      <c r="I302" t="s">
        <v>2601</v>
      </c>
      <c r="J302" t="s">
        <v>707</v>
      </c>
    </row>
    <row r="303" spans="1:10" ht="15">
      <c r="A303" s="1">
        <v>152</v>
      </c>
      <c r="B303" t="str">
        <f ca="1">IFERROR(__xludf.DUMMYFUNCTION((TRANSPOSE(ImportHTML("http://spending.data.al/sq/moneypower/view/id/152/year/2014",  "table", 2)))),"*Kategoria*")</f>
        <v>*Kategoria*</v>
      </c>
      <c r="C303" t="s">
        <v>2589</v>
      </c>
    </row>
    <row r="304" spans="1:10" ht="15">
      <c r="A304" s="7"/>
      <c r="B304" t="s">
        <v>686</v>
      </c>
    </row>
    <row r="305" spans="1:10" ht="15">
      <c r="A305" s="1">
        <v>153</v>
      </c>
      <c r="B305" t="str">
        <f ca="1">IFERROR(__xludf.DUMMYFUNCTION((TRANSPOSE(ImportHTML("http://spending.data.al/sq/moneypower/view/id/153/year/2014",  "table", 2)))),"*Kategoria*")</f>
        <v>*Kategoria*</v>
      </c>
      <c r="C305" t="s">
        <v>2589</v>
      </c>
    </row>
    <row r="306" spans="1:10" ht="15">
      <c r="A306" s="7"/>
      <c r="B306" t="s">
        <v>686</v>
      </c>
    </row>
    <row r="307" spans="1:10" ht="15">
      <c r="A307" s="1">
        <v>154</v>
      </c>
      <c r="B307" t="str">
        <f ca="1">IFERROR(__xludf.DUMMYFUNCTION((TRANSPOSE(ImportHTML("http://spending.data.al/sq/moneypower/view/id/154/year/2014",  "table", 2)))),"*Kategoria*")</f>
        <v>*Kategoria*</v>
      </c>
      <c r="C307" t="s">
        <v>2589</v>
      </c>
    </row>
    <row r="308" spans="1:10" ht="15">
      <c r="A308" s="7"/>
      <c r="B308" t="s">
        <v>686</v>
      </c>
    </row>
    <row r="309" spans="1:10" ht="15">
      <c r="A309" s="1">
        <v>155</v>
      </c>
      <c r="B309" t="str">
        <f ca="1">IFERROR(__xludf.DUMMYFUNCTION((TRANSPOSE(ImportHTML("http://spending.data.al/sq/moneypower/view/id/155/year/2014",  "table", 2)))),"*Kategoria*")</f>
        <v>*Kategoria*</v>
      </c>
      <c r="C309" t="s">
        <v>2589</v>
      </c>
    </row>
    <row r="310" spans="1:10" ht="15">
      <c r="A310" s="7"/>
      <c r="B310" t="s">
        <v>686</v>
      </c>
    </row>
    <row r="311" spans="1:10" ht="15">
      <c r="A311" s="1">
        <v>156</v>
      </c>
      <c r="B311" t="str">
        <f ca="1">IFERROR(__xludf.DUMMYFUNCTION((TRANSPOSE(ImportHTML("http://spending.data.al/sq/moneypower/view/id/156/year/2014",  "table", 2)))),"*Kategoria*")</f>
        <v>*Kategoria*</v>
      </c>
      <c r="C311" t="s">
        <v>2589</v>
      </c>
    </row>
    <row r="312" spans="1:10" ht="15">
      <c r="A312" s="7"/>
      <c r="B312" t="s">
        <v>686</v>
      </c>
    </row>
    <row r="313" spans="1:10" ht="15">
      <c r="A313" s="1">
        <v>157</v>
      </c>
      <c r="B313" t="str">
        <f ca="1">IFERROR(__xludf.DUMMYFUNCTION((TRANSPOSE(ImportHTML("http://spending.data.al/sq/moneypower/view/id/157/year/2014",  "table", 2)))),"*Kategoria*")</f>
        <v>*Kategoria*</v>
      </c>
      <c r="D313" t="s">
        <v>719</v>
      </c>
      <c r="E313" t="s">
        <v>720</v>
      </c>
      <c r="F313" t="s">
        <v>721</v>
      </c>
      <c r="G313" t="s">
        <v>722</v>
      </c>
      <c r="H313" t="s">
        <v>723</v>
      </c>
      <c r="I313" t="s">
        <v>724</v>
      </c>
      <c r="J313" t="s">
        <v>685</v>
      </c>
    </row>
    <row r="314" spans="1:10" ht="15">
      <c r="A314" s="7"/>
      <c r="B314" t="s">
        <v>686</v>
      </c>
      <c r="D314" t="s">
        <v>2864</v>
      </c>
      <c r="E314" t="s">
        <v>2865</v>
      </c>
      <c r="F314" t="s">
        <v>2866</v>
      </c>
      <c r="G314" t="s">
        <v>727</v>
      </c>
      <c r="H314" t="s">
        <v>2867</v>
      </c>
      <c r="I314" t="s">
        <v>2868</v>
      </c>
      <c r="J314" t="s">
        <v>707</v>
      </c>
    </row>
    <row r="315" spans="1:10" ht="15">
      <c r="A315" s="1">
        <v>158</v>
      </c>
      <c r="B315" t="str">
        <f ca="1">IFERROR(__xludf.DUMMYFUNCTION((TRANSPOSE(ImportHTML("http://spending.data.al/sq/moneypower/view/id/158/year/2014",  "table", 2)))),"*Kategoria*")</f>
        <v>*Kategoria*</v>
      </c>
      <c r="C315" t="s">
        <v>2589</v>
      </c>
    </row>
    <row r="316" spans="1:10" ht="15">
      <c r="A316" s="7"/>
      <c r="B316" t="s">
        <v>686</v>
      </c>
    </row>
    <row r="317" spans="1:10" ht="15">
      <c r="A317" s="1">
        <v>159</v>
      </c>
      <c r="B317" t="str">
        <f ca="1">IFERROR(__xludf.DUMMYFUNCTION((TRANSPOSE(ImportHTML("http://spending.data.al/sq/moneypower/view/id/159/year/2014",  "table", 2)))),"*Kategoria*")</f>
        <v>*Kategoria*</v>
      </c>
      <c r="C317" t="s">
        <v>2589</v>
      </c>
    </row>
    <row r="318" spans="1:10" ht="15">
      <c r="A318" s="7"/>
      <c r="B318" t="s">
        <v>686</v>
      </c>
    </row>
    <row r="319" spans="1:10" ht="15">
      <c r="A319" s="1">
        <v>160</v>
      </c>
      <c r="B319" t="str">
        <f ca="1">IFERROR(__xludf.DUMMYFUNCTION((TRANSPOSE(ImportHTML("http://spending.data.al/sq/moneypower/view/id/160/year/2014",  "table", 2)))),"*Kategoria*")</f>
        <v>*Kategoria*</v>
      </c>
      <c r="C319" t="s">
        <v>2589</v>
      </c>
    </row>
    <row r="320" spans="1:10" ht="15">
      <c r="A320" s="7"/>
      <c r="B320" t="s">
        <v>686</v>
      </c>
    </row>
    <row r="321" spans="1:3" ht="15">
      <c r="A321" s="1">
        <v>161</v>
      </c>
      <c r="B321" t="str">
        <f ca="1">IFERROR(__xludf.DUMMYFUNCTION((TRANSPOSE(ImportHTML("http://spending.data.al/sq/moneypower/view/id/161/year/2014",  "table", 2)))),"*Kategoria*")</f>
        <v>*Kategoria*</v>
      </c>
      <c r="C321" t="s">
        <v>2589</v>
      </c>
    </row>
    <row r="322" spans="1:3" ht="15">
      <c r="A322" s="7"/>
      <c r="B322" t="s">
        <v>686</v>
      </c>
    </row>
    <row r="323" spans="1:3" ht="15">
      <c r="A323" s="1">
        <v>162</v>
      </c>
      <c r="B323" t="str">
        <f ca="1">IFERROR(__xludf.DUMMYFUNCTION((TRANSPOSE(ImportHTML("http://spending.data.al/sq/moneypower/view/id/162/year/2014",  "table", 2)))),"*Kategoria*")</f>
        <v>*Kategoria*</v>
      </c>
      <c r="C323" t="s">
        <v>2589</v>
      </c>
    </row>
    <row r="324" spans="1:3" ht="15">
      <c r="A324" s="7"/>
      <c r="B324" t="s">
        <v>686</v>
      </c>
    </row>
    <row r="325" spans="1:3" ht="15">
      <c r="A325" s="1">
        <v>163</v>
      </c>
      <c r="B325" t="str">
        <f ca="1">IFERROR(__xludf.DUMMYFUNCTION((TRANSPOSE(ImportHTML("http://spending.data.al/sq/moneypower/view/id/163/year/2014",  "table", 2)))),"*Kategoria*")</f>
        <v>*Kategoria*</v>
      </c>
      <c r="C325" t="s">
        <v>2589</v>
      </c>
    </row>
    <row r="326" spans="1:3" ht="15">
      <c r="A326" s="7"/>
      <c r="B326" t="s">
        <v>686</v>
      </c>
    </row>
    <row r="327" spans="1:3" ht="15">
      <c r="A327" s="1">
        <v>164</v>
      </c>
      <c r="B327" t="str">
        <f ca="1">IFERROR(__xludf.DUMMYFUNCTION((TRANSPOSE(ImportHTML("http://spending.data.al/sq/moneypower/view/id/164/year/2014",  "table", 2)))),"*Kategoria*")</f>
        <v>*Kategoria*</v>
      </c>
      <c r="C327" t="s">
        <v>2589</v>
      </c>
    </row>
    <row r="328" spans="1:3" ht="15">
      <c r="A328" s="7"/>
      <c r="B328" t="s">
        <v>686</v>
      </c>
    </row>
    <row r="329" spans="1:3" ht="15">
      <c r="A329" s="1">
        <v>165</v>
      </c>
      <c r="B329" t="str">
        <f ca="1">IFERROR(__xludf.DUMMYFUNCTION((TRANSPOSE(ImportHTML("http://spending.data.al/sq/moneypower/view/id/165/year/2014",  "table", 2)))),"*Kategoria*")</f>
        <v>*Kategoria*</v>
      </c>
      <c r="C329" t="s">
        <v>2589</v>
      </c>
    </row>
    <row r="330" spans="1:3" ht="15">
      <c r="A330" s="7"/>
      <c r="B330" t="s">
        <v>686</v>
      </c>
    </row>
    <row r="331" spans="1:3" ht="15">
      <c r="A331" s="1">
        <v>166</v>
      </c>
      <c r="B331" t="str">
        <f ca="1">IFERROR(__xludf.DUMMYFUNCTION((TRANSPOSE(ImportHTML("http://spending.data.al/sq/moneypower/view/id/166/year/2014",  "table", 2)))),"*Kategoria*")</f>
        <v>*Kategoria*</v>
      </c>
      <c r="C331" t="s">
        <v>2589</v>
      </c>
    </row>
    <row r="332" spans="1:3" ht="15">
      <c r="A332" s="7"/>
      <c r="B332" t="s">
        <v>686</v>
      </c>
    </row>
    <row r="333" spans="1:3" ht="15">
      <c r="A333" s="1">
        <v>167</v>
      </c>
      <c r="B333" t="str">
        <f ca="1">IFERROR(__xludf.DUMMYFUNCTION((TRANSPOSE(ImportHTML("http://spending.data.al/sq/moneypower/view/id/167/year/2014",  "table", 2)))),"*Kategoria*")</f>
        <v>*Kategoria*</v>
      </c>
      <c r="C333" t="s">
        <v>2589</v>
      </c>
    </row>
    <row r="334" spans="1:3" ht="15">
      <c r="A334" s="7"/>
      <c r="B334" t="s">
        <v>686</v>
      </c>
    </row>
    <row r="335" spans="1:3" ht="15">
      <c r="A335" s="1">
        <v>168</v>
      </c>
      <c r="B335" t="str">
        <f ca="1">IFERROR(__xludf.DUMMYFUNCTION((TRANSPOSE(ImportHTML("http://spending.data.al/sq/moneypower/view/id/168/year/2014",  "table", 2)))),"*Kategoria*")</f>
        <v>*Kategoria*</v>
      </c>
      <c r="C335" t="s">
        <v>2589</v>
      </c>
    </row>
    <row r="336" spans="1:3" ht="15">
      <c r="A336" s="7"/>
      <c r="B336" t="s">
        <v>686</v>
      </c>
    </row>
    <row r="337" spans="1:10" ht="15">
      <c r="A337" s="1">
        <v>169</v>
      </c>
      <c r="B337" t="str">
        <f ca="1">IFERROR(__xludf.DUMMYFUNCTION((TRANSPOSE(ImportHTML("http://spending.data.al/sq/moneypower/view/id/169/year/2014",  "table", 2)))),"*Kategoria*")</f>
        <v>*Kategoria*</v>
      </c>
      <c r="D337" t="s">
        <v>719</v>
      </c>
      <c r="E337" t="s">
        <v>720</v>
      </c>
      <c r="F337" t="s">
        <v>721</v>
      </c>
      <c r="G337" t="s">
        <v>722</v>
      </c>
      <c r="H337" t="s">
        <v>723</v>
      </c>
      <c r="I337" t="s">
        <v>724</v>
      </c>
      <c r="J337" t="s">
        <v>685</v>
      </c>
    </row>
    <row r="338" spans="1:10" ht="15">
      <c r="A338" s="7"/>
      <c r="B338" t="s">
        <v>686</v>
      </c>
      <c r="D338" t="s">
        <v>2869</v>
      </c>
      <c r="E338" t="s">
        <v>2870</v>
      </c>
      <c r="F338" t="s">
        <v>2871</v>
      </c>
      <c r="G338" t="s">
        <v>727</v>
      </c>
      <c r="H338" t="s">
        <v>727</v>
      </c>
      <c r="I338" t="s">
        <v>727</v>
      </c>
      <c r="J338" t="s">
        <v>707</v>
      </c>
    </row>
    <row r="339" spans="1:10" ht="15">
      <c r="A339" s="1">
        <v>170</v>
      </c>
      <c r="B339" t="str">
        <f ca="1">IFERROR(__xludf.DUMMYFUNCTION((TRANSPOSE(ImportHTML("http://spending.data.al/sq/moneypower/view/id/170/year/2014",  "table", 2)))),"*Kategoria*")</f>
        <v>*Kategoria*</v>
      </c>
      <c r="C339" t="s">
        <v>2589</v>
      </c>
    </row>
    <row r="340" spans="1:10" ht="15">
      <c r="A340" s="7"/>
      <c r="B340" t="s">
        <v>686</v>
      </c>
    </row>
    <row r="341" spans="1:10" ht="15">
      <c r="A341" s="1">
        <v>171</v>
      </c>
      <c r="B341" t="str">
        <f ca="1">IFERROR(__xludf.DUMMYFUNCTION((TRANSPOSE(ImportHTML("http://spending.data.al/sq/moneypower/view/id/171/year/2014",  "table", 2)))),"*Kategoria*")</f>
        <v>*Kategoria*</v>
      </c>
      <c r="C341" t="s">
        <v>2589</v>
      </c>
    </row>
    <row r="342" spans="1:10" ht="15">
      <c r="A342" s="7"/>
      <c r="B342" t="s">
        <v>686</v>
      </c>
    </row>
    <row r="343" spans="1:10" ht="15">
      <c r="A343" s="1">
        <v>172</v>
      </c>
      <c r="B343" t="str">
        <f ca="1">IFERROR(__xludf.DUMMYFUNCTION((TRANSPOSE(ImportHTML("http://spending.data.al/sq/moneypower/view/id/172/year/2014",  "table", 2)))),"*Kategoria*")</f>
        <v>*Kategoria*</v>
      </c>
      <c r="D343" t="s">
        <v>719</v>
      </c>
      <c r="E343" t="s">
        <v>720</v>
      </c>
      <c r="F343" t="s">
        <v>721</v>
      </c>
      <c r="G343" t="s">
        <v>722</v>
      </c>
      <c r="H343" t="s">
        <v>723</v>
      </c>
      <c r="I343" t="s">
        <v>724</v>
      </c>
      <c r="J343" t="s">
        <v>685</v>
      </c>
    </row>
    <row r="344" spans="1:10" ht="15">
      <c r="A344" s="7"/>
      <c r="B344" t="s">
        <v>686</v>
      </c>
      <c r="D344" t="s">
        <v>727</v>
      </c>
      <c r="E344" t="s">
        <v>2872</v>
      </c>
      <c r="F344" t="s">
        <v>727</v>
      </c>
      <c r="G344" t="s">
        <v>727</v>
      </c>
      <c r="H344" t="s">
        <v>727</v>
      </c>
      <c r="I344" t="s">
        <v>727</v>
      </c>
      <c r="J344" t="s">
        <v>2873</v>
      </c>
    </row>
    <row r="345" spans="1:10" ht="15">
      <c r="A345" s="1">
        <v>173</v>
      </c>
      <c r="B345" t="str">
        <f ca="1">IFERROR(__xludf.DUMMYFUNCTION((TRANSPOSE(ImportHTML("http://spending.data.al/sq/moneypower/view/id/173/year/2014",  "table", 2)))),"*Kategoria*")</f>
        <v>*Kategoria*</v>
      </c>
      <c r="C345" t="s">
        <v>2589</v>
      </c>
    </row>
    <row r="346" spans="1:10" ht="15">
      <c r="A346" s="7"/>
      <c r="B346" t="s">
        <v>686</v>
      </c>
    </row>
    <row r="347" spans="1:10" ht="15">
      <c r="A347" s="1">
        <v>174</v>
      </c>
      <c r="B347" t="str">
        <f ca="1">IFERROR(__xludf.DUMMYFUNCTION((TRANSPOSE(ImportHTML("http://spending.data.al/sq/moneypower/view/id/174/year/2014",  "table", 2)))),"*Kategoria*")</f>
        <v>*Kategoria*</v>
      </c>
      <c r="C347" t="s">
        <v>2589</v>
      </c>
    </row>
    <row r="348" spans="1:10" ht="15">
      <c r="A348" s="7"/>
      <c r="B348" t="s">
        <v>686</v>
      </c>
    </row>
    <row r="349" spans="1:10" ht="15">
      <c r="A349" s="1">
        <v>175</v>
      </c>
      <c r="B349" t="str">
        <f ca="1">IFERROR(__xludf.DUMMYFUNCTION((TRANSPOSE(ImportHTML("http://spending.data.al/sq/moneypower/view/id/175/year/2014",  "table", 2)))),"*Kategoria*")</f>
        <v>*Kategoria*</v>
      </c>
      <c r="C349" t="s">
        <v>2589</v>
      </c>
    </row>
    <row r="350" spans="1:10" ht="15">
      <c r="A350" s="7"/>
      <c r="B350" t="s">
        <v>686</v>
      </c>
    </row>
    <row r="351" spans="1:10" ht="15">
      <c r="A351" s="1">
        <v>176</v>
      </c>
      <c r="B351" t="str">
        <f ca="1">IFERROR(__xludf.DUMMYFUNCTION((TRANSPOSE(ImportHTML("http://spending.data.al/sq/moneypower/view/id/176/year/2014",  "table", 2)))),"*Kategoria*")</f>
        <v>*Kategoria*</v>
      </c>
      <c r="C351" t="s">
        <v>2589</v>
      </c>
    </row>
    <row r="352" spans="1:10" ht="15">
      <c r="A352" s="7"/>
      <c r="B352" t="s">
        <v>686</v>
      </c>
    </row>
    <row r="353" spans="1:10" ht="15">
      <c r="A353" s="1">
        <v>177</v>
      </c>
      <c r="B353" t="str">
        <f ca="1">IFERROR(__xludf.DUMMYFUNCTION((TRANSPOSE(ImportHTML("http://spending.data.al/sq/moneypower/view/id/177/year/2014",  "table", 2)))),"*Kategoria*")</f>
        <v>*Kategoria*</v>
      </c>
      <c r="C353" t="s">
        <v>2589</v>
      </c>
    </row>
    <row r="354" spans="1:10" ht="15">
      <c r="A354" s="7"/>
      <c r="B354" t="s">
        <v>686</v>
      </c>
    </row>
    <row r="355" spans="1:10" ht="15">
      <c r="A355" s="1">
        <v>178</v>
      </c>
      <c r="B355" t="str">
        <f ca="1">IFERROR(__xludf.DUMMYFUNCTION((TRANSPOSE(ImportHTML("http://spending.data.al/sq/moneypower/view/id/178/year/2014",  "table", 2)))),"*Kategoria*")</f>
        <v>*Kategoria*</v>
      </c>
      <c r="C355" t="s">
        <v>2589</v>
      </c>
    </row>
    <row r="356" spans="1:10" ht="15">
      <c r="A356" s="7"/>
      <c r="B356" t="s">
        <v>686</v>
      </c>
    </row>
    <row r="357" spans="1:10" ht="15">
      <c r="A357" s="1">
        <v>179</v>
      </c>
      <c r="B357" t="str">
        <f ca="1">IFERROR(__xludf.DUMMYFUNCTION((TRANSPOSE(ImportHTML("http://spending.data.al/sq/moneypower/view/id/179/year/2014",  "table", 2)))),"*Kategoria*")</f>
        <v>*Kategoria*</v>
      </c>
      <c r="C357" t="s">
        <v>2589</v>
      </c>
    </row>
    <row r="358" spans="1:10" ht="15">
      <c r="A358" s="7"/>
      <c r="B358" t="s">
        <v>686</v>
      </c>
    </row>
    <row r="359" spans="1:10" ht="15">
      <c r="A359" s="1">
        <v>180</v>
      </c>
      <c r="B359" t="str">
        <f ca="1">IFERROR(__xludf.DUMMYFUNCTION((TRANSPOSE(ImportHTML("http://spending.data.al/sq/moneypower/view/id/180/year/2014",  "table", 2)))),"*Kategoria*")</f>
        <v>*Kategoria*</v>
      </c>
      <c r="C359" t="s">
        <v>2589</v>
      </c>
    </row>
    <row r="360" spans="1:10" ht="15">
      <c r="A360" s="7"/>
      <c r="B360" t="s">
        <v>686</v>
      </c>
    </row>
    <row r="361" spans="1:10" ht="15">
      <c r="A361" s="1">
        <v>181</v>
      </c>
      <c r="B361" t="str">
        <f ca="1">IFERROR(__xludf.DUMMYFUNCTION((TRANSPOSE(ImportHTML("http://spending.data.al/sq/moneypower/view/id/181/year/2014",  "table", 2)))),"*Kategoria*")</f>
        <v>*Kategoria*</v>
      </c>
      <c r="C361" t="s">
        <v>2589</v>
      </c>
    </row>
    <row r="362" spans="1:10" ht="15">
      <c r="A362" s="7"/>
      <c r="B362" t="s">
        <v>686</v>
      </c>
    </row>
    <row r="363" spans="1:10" ht="15">
      <c r="A363" s="1">
        <v>182</v>
      </c>
      <c r="B363" t="str">
        <f ca="1">IFERROR(__xludf.DUMMYFUNCTION((TRANSPOSE(ImportHTML("http://spending.data.al/sq/moneypower/view/id/182/year/2014",  "table", 2)))),"*Kategoria*")</f>
        <v>*Kategoria*</v>
      </c>
      <c r="C363" t="s">
        <v>2589</v>
      </c>
    </row>
    <row r="364" spans="1:10" ht="15">
      <c r="A364" s="7"/>
      <c r="B364" t="s">
        <v>686</v>
      </c>
    </row>
    <row r="365" spans="1:10" ht="15">
      <c r="A365" s="1">
        <v>183</v>
      </c>
      <c r="B365" t="str">
        <f ca="1">IFERROR(__xludf.DUMMYFUNCTION((TRANSPOSE(ImportHTML("http://spending.data.al/sq/moneypower/view/id/183/year/2014",  "table", 2)))),"*Kategoria*")</f>
        <v>*Kategoria*</v>
      </c>
      <c r="D365" t="s">
        <v>719</v>
      </c>
      <c r="E365" t="s">
        <v>720</v>
      </c>
      <c r="F365" t="s">
        <v>721</v>
      </c>
      <c r="G365" t="s">
        <v>722</v>
      </c>
      <c r="H365" t="s">
        <v>723</v>
      </c>
      <c r="I365" t="s">
        <v>724</v>
      </c>
      <c r="J365" t="s">
        <v>685</v>
      </c>
    </row>
    <row r="366" spans="1:10" ht="15">
      <c r="A366" s="7"/>
      <c r="B366" t="s">
        <v>686</v>
      </c>
      <c r="D366" t="s">
        <v>2874</v>
      </c>
      <c r="E366" t="s">
        <v>2875</v>
      </c>
      <c r="F366" t="s">
        <v>2601</v>
      </c>
      <c r="G366" t="s">
        <v>2601</v>
      </c>
      <c r="H366" t="s">
        <v>2601</v>
      </c>
      <c r="I366" t="s">
        <v>2601</v>
      </c>
      <c r="J366" t="s">
        <v>2601</v>
      </c>
    </row>
    <row r="367" spans="1:10" ht="15">
      <c r="A367" s="1">
        <v>184</v>
      </c>
      <c r="B367" t="str">
        <f ca="1">IFERROR(__xludf.DUMMYFUNCTION((TRANSPOSE(ImportHTML("http://spending.data.al/sq/moneypower/view/id/184/year/2014",  "table", 2)))),"*Kategoria*")</f>
        <v>*Kategoria*</v>
      </c>
      <c r="C367" t="s">
        <v>2589</v>
      </c>
    </row>
    <row r="368" spans="1:10" ht="15">
      <c r="A368" s="7"/>
      <c r="B368" t="s">
        <v>686</v>
      </c>
    </row>
    <row r="369" spans="1:10" ht="15">
      <c r="A369" s="1">
        <v>185</v>
      </c>
      <c r="B369" t="str">
        <f ca="1">IFERROR(__xludf.DUMMYFUNCTION((TRANSPOSE(ImportHTML("http://spending.data.al/sq/moneypower/view/id/185/year/2014",  "table", 2)))),"*Kategoria*")</f>
        <v>*Kategoria*</v>
      </c>
      <c r="C369" t="s">
        <v>2589</v>
      </c>
    </row>
    <row r="370" spans="1:10" ht="15">
      <c r="A370" s="7"/>
      <c r="B370" t="s">
        <v>686</v>
      </c>
    </row>
    <row r="371" spans="1:10" ht="15">
      <c r="A371" s="1">
        <v>186</v>
      </c>
      <c r="B371" t="str">
        <f ca="1">IFERROR(__xludf.DUMMYFUNCTION((TRANSPOSE(ImportHTML("http://spending.data.al/sq/moneypower/view/id/186/year/2014",  "table", 2)))),"*Kategoria*")</f>
        <v>*Kategoria*</v>
      </c>
      <c r="C371" t="s">
        <v>2589</v>
      </c>
    </row>
    <row r="372" spans="1:10" ht="15">
      <c r="A372" s="7"/>
      <c r="B372" t="s">
        <v>686</v>
      </c>
    </row>
    <row r="373" spans="1:10" ht="15">
      <c r="A373" s="1">
        <v>187</v>
      </c>
      <c r="B373" t="str">
        <f ca="1">IFERROR(__xludf.DUMMYFUNCTION((TRANSPOSE(ImportHTML("http://spending.data.al/sq/moneypower/view/id/187/year/2014",  "table", 2)))),"*Kategoria*")</f>
        <v>*Kategoria*</v>
      </c>
      <c r="C373" t="s">
        <v>2589</v>
      </c>
    </row>
    <row r="374" spans="1:10" ht="15">
      <c r="A374" s="7"/>
      <c r="B374" t="s">
        <v>686</v>
      </c>
    </row>
    <row r="375" spans="1:10" ht="15">
      <c r="A375" s="1">
        <v>188</v>
      </c>
      <c r="B375" t="str">
        <f ca="1">IFERROR(__xludf.DUMMYFUNCTION((TRANSPOSE(ImportHTML("http://spending.data.al/sq/moneypower/view/id/188/year/2014",  "table", 2)))),"*Kategoria*")</f>
        <v>*Kategoria*</v>
      </c>
      <c r="C375" t="s">
        <v>2589</v>
      </c>
    </row>
    <row r="376" spans="1:10" ht="15">
      <c r="A376" s="7"/>
      <c r="B376" t="s">
        <v>686</v>
      </c>
    </row>
    <row r="377" spans="1:10" ht="15">
      <c r="A377" s="1">
        <v>189</v>
      </c>
      <c r="B377" t="str">
        <f ca="1">IFERROR(__xludf.DUMMYFUNCTION((TRANSPOSE(ImportHTML("http://spending.data.al/sq/moneypower/view/id/189/year/2014",  "table", 2)))),"*Kategoria*")</f>
        <v>*Kategoria*</v>
      </c>
      <c r="C377" t="s">
        <v>2589</v>
      </c>
    </row>
    <row r="378" spans="1:10" ht="15">
      <c r="A378" s="7"/>
      <c r="B378" t="s">
        <v>686</v>
      </c>
    </row>
    <row r="379" spans="1:10" ht="15">
      <c r="A379" s="1">
        <v>190</v>
      </c>
      <c r="B379" t="str">
        <f ca="1">IFERROR(__xludf.DUMMYFUNCTION((TRANSPOSE(ImportHTML("http://spending.data.al/sq/moneypower/view/id/190/year/2014",  "table", 2)))),"*Kategoria*")</f>
        <v>*Kategoria*</v>
      </c>
      <c r="C379" t="s">
        <v>2589</v>
      </c>
    </row>
    <row r="380" spans="1:10" ht="15">
      <c r="A380" s="7"/>
      <c r="B380" t="s">
        <v>686</v>
      </c>
    </row>
    <row r="381" spans="1:10" ht="15">
      <c r="A381" s="1">
        <v>191</v>
      </c>
      <c r="B381" t="str">
        <f ca="1">IFERROR(__xludf.DUMMYFUNCTION((TRANSPOSE(ImportHTML("http://spending.data.al/sq/moneypower/view/id/191/year/2014",  "table", 2)))),"*Kategoria*")</f>
        <v>*Kategoria*</v>
      </c>
      <c r="C381" t="s">
        <v>2589</v>
      </c>
    </row>
    <row r="382" spans="1:10" ht="15">
      <c r="A382" s="7"/>
      <c r="B382" t="s">
        <v>686</v>
      </c>
    </row>
    <row r="383" spans="1:10" ht="15">
      <c r="A383" s="1">
        <v>192</v>
      </c>
      <c r="B383" t="str">
        <f ca="1">IFERROR(__xludf.DUMMYFUNCTION((TRANSPOSE(ImportHTML("http://spending.data.al/sq/moneypower/view/id/192/year/2014",  "table", 2)))),"*Kategoria*")</f>
        <v>*Kategoria*</v>
      </c>
      <c r="D383" t="s">
        <v>719</v>
      </c>
      <c r="E383" t="s">
        <v>720</v>
      </c>
      <c r="F383" t="s">
        <v>721</v>
      </c>
      <c r="G383" t="s">
        <v>722</v>
      </c>
      <c r="H383" t="s">
        <v>723</v>
      </c>
      <c r="I383" t="s">
        <v>724</v>
      </c>
      <c r="J383" t="s">
        <v>685</v>
      </c>
    </row>
    <row r="384" spans="1:10" ht="15">
      <c r="A384" s="7"/>
      <c r="B384" t="s">
        <v>686</v>
      </c>
      <c r="D384" t="s">
        <v>2876</v>
      </c>
      <c r="E384" t="s">
        <v>2877</v>
      </c>
      <c r="F384" t="s">
        <v>2878</v>
      </c>
      <c r="G384" t="s">
        <v>688</v>
      </c>
      <c r="H384" t="s">
        <v>2879</v>
      </c>
      <c r="I384" t="s">
        <v>688</v>
      </c>
      <c r="J384" t="s">
        <v>2880</v>
      </c>
    </row>
    <row r="385" spans="1:10" ht="15">
      <c r="A385" s="1">
        <v>193</v>
      </c>
      <c r="B385" t="str">
        <f ca="1">IFERROR(__xludf.DUMMYFUNCTION((TRANSPOSE(ImportHTML("http://spending.data.al/sq/moneypower/view/id/193/year/2014",  "table", 2)))),"*Kategoria*")</f>
        <v>*Kategoria*</v>
      </c>
      <c r="C385" t="s">
        <v>2589</v>
      </c>
    </row>
    <row r="386" spans="1:10" ht="15">
      <c r="A386" s="7"/>
      <c r="B386" t="s">
        <v>686</v>
      </c>
    </row>
    <row r="387" spans="1:10" ht="15">
      <c r="A387" s="1">
        <v>194</v>
      </c>
      <c r="B387" t="str">
        <f ca="1">IFERROR(__xludf.DUMMYFUNCTION((TRANSPOSE(ImportHTML("http://spending.data.al/sq/moneypower/view/id/194/year/2014",  "table", 2)))),"*Kategoria*")</f>
        <v>*Kategoria*</v>
      </c>
      <c r="D387" t="s">
        <v>719</v>
      </c>
      <c r="E387" t="s">
        <v>720</v>
      </c>
      <c r="F387" t="s">
        <v>721</v>
      </c>
      <c r="G387" t="s">
        <v>722</v>
      </c>
      <c r="H387" t="s">
        <v>723</v>
      </c>
      <c r="I387" t="s">
        <v>724</v>
      </c>
      <c r="J387" t="s">
        <v>685</v>
      </c>
    </row>
    <row r="388" spans="1:10" ht="15">
      <c r="A388" s="7"/>
      <c r="B388" t="s">
        <v>686</v>
      </c>
      <c r="D388" t="s">
        <v>2881</v>
      </c>
      <c r="E388" t="s">
        <v>2882</v>
      </c>
      <c r="F388" t="s">
        <v>2883</v>
      </c>
      <c r="G388" t="s">
        <v>688</v>
      </c>
      <c r="H388" t="s">
        <v>688</v>
      </c>
      <c r="I388" t="s">
        <v>688</v>
      </c>
      <c r="J388" t="s">
        <v>688</v>
      </c>
    </row>
    <row r="389" spans="1:10" ht="15">
      <c r="A389" s="1">
        <v>195</v>
      </c>
      <c r="B389" t="str">
        <f ca="1">IFERROR(__xludf.DUMMYFUNCTION((TRANSPOSE(ImportHTML("http://spending.data.al/sq/moneypower/view/id/195/year/2014",  "table", 2)))),"*Kategoria*")</f>
        <v>*Kategoria*</v>
      </c>
      <c r="C389" t="s">
        <v>2589</v>
      </c>
    </row>
    <row r="390" spans="1:10" ht="15">
      <c r="A390" s="7"/>
      <c r="B390" t="s">
        <v>686</v>
      </c>
    </row>
    <row r="391" spans="1:10" ht="15">
      <c r="A391" s="1">
        <v>196</v>
      </c>
      <c r="B391" t="str">
        <f ca="1">IFERROR(__xludf.DUMMYFUNCTION((TRANSPOSE(ImportHTML("http://spending.data.al/sq/moneypower/view/id/196/year/2014",  "table", 2)))),"*Kategoria*")</f>
        <v>*Kategoria*</v>
      </c>
      <c r="D391" t="s">
        <v>719</v>
      </c>
      <c r="E391" t="s">
        <v>720</v>
      </c>
      <c r="F391" t="s">
        <v>721</v>
      </c>
      <c r="G391" t="s">
        <v>722</v>
      </c>
      <c r="H391" t="s">
        <v>723</v>
      </c>
      <c r="I391" t="s">
        <v>724</v>
      </c>
      <c r="J391" t="s">
        <v>685</v>
      </c>
    </row>
    <row r="392" spans="1:10" ht="15">
      <c r="A392" s="7"/>
      <c r="B392" t="s">
        <v>686</v>
      </c>
      <c r="D392" t="s">
        <v>2884</v>
      </c>
      <c r="E392" t="s">
        <v>2885</v>
      </c>
      <c r="F392" t="s">
        <v>2886</v>
      </c>
      <c r="G392" t="s">
        <v>688</v>
      </c>
      <c r="H392" t="s">
        <v>688</v>
      </c>
      <c r="I392" t="s">
        <v>688</v>
      </c>
      <c r="J392" t="s">
        <v>688</v>
      </c>
    </row>
    <row r="393" spans="1:10" ht="15">
      <c r="A393" s="1">
        <v>197</v>
      </c>
      <c r="B393" t="str">
        <f ca="1">IFERROR(__xludf.DUMMYFUNCTION((TRANSPOSE(ImportHTML("http://spending.data.al/sq/moneypower/view/id/197/year/2014",  "table", 2)))),"*Kategoria*")</f>
        <v>*Kategoria*</v>
      </c>
      <c r="C393" t="s">
        <v>2589</v>
      </c>
    </row>
    <row r="394" spans="1:10" ht="15">
      <c r="A394" s="7"/>
      <c r="B394" t="s">
        <v>686</v>
      </c>
    </row>
    <row r="395" spans="1:10" ht="15">
      <c r="A395" s="1">
        <v>198</v>
      </c>
      <c r="B395" t="str">
        <f ca="1">IFERROR(__xludf.DUMMYFUNCTION((TRANSPOSE(ImportHTML("http://spending.data.al/sq/moneypower/view/id/198/year/2014",  "table", 2)))),"*Kategoria*")</f>
        <v>*Kategoria*</v>
      </c>
      <c r="D395" t="s">
        <v>719</v>
      </c>
      <c r="E395" t="s">
        <v>720</v>
      </c>
      <c r="F395" t="s">
        <v>721</v>
      </c>
      <c r="G395" t="s">
        <v>722</v>
      </c>
      <c r="H395" t="s">
        <v>723</v>
      </c>
      <c r="I395" t="s">
        <v>724</v>
      </c>
      <c r="J395" t="s">
        <v>685</v>
      </c>
    </row>
    <row r="396" spans="1:10" ht="15">
      <c r="A396" s="7"/>
      <c r="B396" t="s">
        <v>686</v>
      </c>
      <c r="D396" t="s">
        <v>688</v>
      </c>
      <c r="E396" t="s">
        <v>2887</v>
      </c>
      <c r="F396" t="s">
        <v>2888</v>
      </c>
      <c r="G396" t="s">
        <v>688</v>
      </c>
      <c r="H396" t="s">
        <v>688</v>
      </c>
      <c r="I396" t="s">
        <v>688</v>
      </c>
      <c r="J396" t="s">
        <v>688</v>
      </c>
    </row>
    <row r="397" spans="1:10" ht="15">
      <c r="A397" s="1">
        <v>199</v>
      </c>
      <c r="B397" t="str">
        <f ca="1">IFERROR(__xludf.DUMMYFUNCTION((TRANSPOSE(ImportHTML("http://spending.data.al/sq/moneypower/view/id/199/year/2014",  "table", 2)))),"*Kategoria*")</f>
        <v>*Kategoria*</v>
      </c>
      <c r="D397" t="s">
        <v>719</v>
      </c>
      <c r="E397" t="s">
        <v>720</v>
      </c>
      <c r="F397" t="s">
        <v>721</v>
      </c>
      <c r="G397" t="s">
        <v>722</v>
      </c>
      <c r="H397" t="s">
        <v>723</v>
      </c>
      <c r="I397" t="s">
        <v>724</v>
      </c>
      <c r="J397" t="s">
        <v>685</v>
      </c>
    </row>
    <row r="398" spans="1:10" ht="15">
      <c r="A398" s="7"/>
      <c r="B398" t="s">
        <v>686</v>
      </c>
      <c r="D398" t="s">
        <v>2889</v>
      </c>
      <c r="E398" t="s">
        <v>2890</v>
      </c>
      <c r="F398" t="s">
        <v>2891</v>
      </c>
      <c r="G398" t="s">
        <v>688</v>
      </c>
      <c r="H398" t="s">
        <v>688</v>
      </c>
      <c r="I398" t="s">
        <v>688</v>
      </c>
    </row>
    <row r="399" spans="1:10" ht="15">
      <c r="A399" s="1">
        <v>200</v>
      </c>
      <c r="B399" t="str">
        <f ca="1">IFERROR(__xludf.DUMMYFUNCTION((TRANSPOSE(ImportHTML("http://spending.data.al/sq/moneypower/view/id/200/year/2014",  "table", 2)))),"*Kategoria*")</f>
        <v>*Kategoria*</v>
      </c>
      <c r="D399" t="s">
        <v>719</v>
      </c>
      <c r="E399" t="s">
        <v>720</v>
      </c>
      <c r="F399" t="s">
        <v>721</v>
      </c>
      <c r="G399" t="s">
        <v>722</v>
      </c>
      <c r="H399" t="s">
        <v>723</v>
      </c>
      <c r="I399" t="s">
        <v>724</v>
      </c>
      <c r="J399" t="s">
        <v>685</v>
      </c>
    </row>
    <row r="400" spans="1:10" ht="15">
      <c r="A400" s="7"/>
      <c r="B400" t="s">
        <v>686</v>
      </c>
      <c r="D400" t="s">
        <v>2892</v>
      </c>
      <c r="E400" t="s">
        <v>2893</v>
      </c>
      <c r="F400" t="s">
        <v>2894</v>
      </c>
      <c r="G400" t="s">
        <v>688</v>
      </c>
      <c r="H400" t="s">
        <v>688</v>
      </c>
      <c r="I400" t="s">
        <v>688</v>
      </c>
      <c r="J400" t="s">
        <v>688</v>
      </c>
    </row>
    <row r="401" spans="1:10" ht="15">
      <c r="A401" s="1">
        <v>201</v>
      </c>
      <c r="B401" t="str">
        <f ca="1">IFERROR(__xludf.DUMMYFUNCTION((TRANSPOSE(ImportHTML("http://spending.data.al/sq/moneypower/view/id/201/year/2014",  "table", 2)))),"*Kategoria*")</f>
        <v>*Kategoria*</v>
      </c>
      <c r="C401" t="s">
        <v>2589</v>
      </c>
    </row>
    <row r="402" spans="1:10" ht="15">
      <c r="A402" s="7"/>
      <c r="B402" t="s">
        <v>686</v>
      </c>
    </row>
    <row r="403" spans="1:10" ht="15">
      <c r="A403" s="1">
        <v>202</v>
      </c>
      <c r="B403" t="str">
        <f ca="1">IFERROR(__xludf.DUMMYFUNCTION((TRANSPOSE(ImportHTML("http://spending.data.al/sq/moneypower/view/id/202/year/2014",  "table", 2)))),"*Kategoria*")</f>
        <v>*Kategoria*</v>
      </c>
      <c r="C403" t="s">
        <v>2589</v>
      </c>
    </row>
    <row r="404" spans="1:10" ht="15">
      <c r="A404" s="7"/>
      <c r="B404" t="s">
        <v>686</v>
      </c>
    </row>
    <row r="405" spans="1:10" ht="15">
      <c r="A405" s="1">
        <v>203</v>
      </c>
      <c r="B405" t="str">
        <f ca="1">IFERROR(__xludf.DUMMYFUNCTION((TRANSPOSE(ImportHTML("http://spending.data.al/sq/moneypower/view/id/203/year/2014",  "table", 2)))),"*Kategoria*")</f>
        <v>*Kategoria*</v>
      </c>
      <c r="D405" t="s">
        <v>719</v>
      </c>
      <c r="E405" t="s">
        <v>720</v>
      </c>
      <c r="F405" t="s">
        <v>721</v>
      </c>
      <c r="G405" t="s">
        <v>722</v>
      </c>
      <c r="H405" t="s">
        <v>723</v>
      </c>
      <c r="I405" t="s">
        <v>724</v>
      </c>
      <c r="J405" t="s">
        <v>685</v>
      </c>
    </row>
    <row r="406" spans="1:10" ht="15">
      <c r="A406" s="7"/>
      <c r="B406" t="s">
        <v>686</v>
      </c>
      <c r="D406" t="s">
        <v>2895</v>
      </c>
      <c r="E406" t="s">
        <v>2896</v>
      </c>
      <c r="F406" t="s">
        <v>2897</v>
      </c>
      <c r="G406" t="s">
        <v>688</v>
      </c>
      <c r="H406" t="s">
        <v>2898</v>
      </c>
      <c r="I406" t="s">
        <v>688</v>
      </c>
      <c r="J406" t="s">
        <v>688</v>
      </c>
    </row>
    <row r="407" spans="1:10" ht="15">
      <c r="A407" s="1">
        <v>204</v>
      </c>
      <c r="B407" t="str">
        <f ca="1">IFERROR(__xludf.DUMMYFUNCTION((TRANSPOSE(ImportHTML("http://spending.data.al/sq/moneypower/view/id/204/year/2014",  "table", 2)))),"*Kategoria*")</f>
        <v>*Kategoria*</v>
      </c>
      <c r="C407" t="s">
        <v>2589</v>
      </c>
    </row>
    <row r="408" spans="1:10" ht="15">
      <c r="A408" s="7"/>
      <c r="B408" t="s">
        <v>686</v>
      </c>
    </row>
    <row r="409" spans="1:10" ht="15">
      <c r="A409" s="1">
        <v>205</v>
      </c>
      <c r="B409" t="str">
        <f ca="1">IFERROR(__xludf.DUMMYFUNCTION((TRANSPOSE(ImportHTML("http://spending.data.al/sq/moneypower/view/id/205/year/2014",  "table", 2)))),"*Kategoria*")</f>
        <v>*Kategoria*</v>
      </c>
      <c r="D409" t="s">
        <v>719</v>
      </c>
      <c r="E409" t="s">
        <v>720</v>
      </c>
      <c r="F409" t="s">
        <v>721</v>
      </c>
      <c r="G409" t="s">
        <v>722</v>
      </c>
      <c r="H409" t="s">
        <v>723</v>
      </c>
      <c r="I409" t="s">
        <v>724</v>
      </c>
      <c r="J409" t="s">
        <v>685</v>
      </c>
    </row>
    <row r="410" spans="1:10" ht="15">
      <c r="A410" s="7"/>
      <c r="B410" t="s">
        <v>686</v>
      </c>
      <c r="D410" t="s">
        <v>2899</v>
      </c>
      <c r="E410" t="s">
        <v>2900</v>
      </c>
      <c r="F410" t="s">
        <v>2901</v>
      </c>
      <c r="G410" t="s">
        <v>2601</v>
      </c>
      <c r="H410" t="s">
        <v>2601</v>
      </c>
      <c r="I410" t="s">
        <v>2601</v>
      </c>
      <c r="J410" t="s">
        <v>707</v>
      </c>
    </row>
    <row r="411" spans="1:10" ht="15">
      <c r="A411" s="1">
        <v>206</v>
      </c>
      <c r="B411" t="str">
        <f ca="1">IFERROR(__xludf.DUMMYFUNCTION((TRANSPOSE(ImportHTML("http://spending.data.al/sq/moneypower/view/id/206/year/2014",  "table", 2)))),"*Kategoria*")</f>
        <v>*Kategoria*</v>
      </c>
      <c r="C411" t="s">
        <v>2589</v>
      </c>
    </row>
    <row r="412" spans="1:10" ht="15">
      <c r="A412" s="7"/>
      <c r="B412" t="s">
        <v>686</v>
      </c>
    </row>
    <row r="413" spans="1:10" ht="15">
      <c r="A413" s="1">
        <v>207</v>
      </c>
      <c r="B413" t="str">
        <f ca="1">IFERROR(__xludf.DUMMYFUNCTION((TRANSPOSE(ImportHTML("http://spending.data.al/sq/moneypower/view/id/207/year/2014",  "table", 2)))),"*Kategoria*")</f>
        <v>*Kategoria*</v>
      </c>
      <c r="C413" t="s">
        <v>2589</v>
      </c>
    </row>
    <row r="414" spans="1:10" ht="15">
      <c r="A414" s="7"/>
      <c r="B414" t="s">
        <v>686</v>
      </c>
    </row>
    <row r="415" spans="1:10" ht="15">
      <c r="A415" s="1">
        <v>208</v>
      </c>
      <c r="B415" t="str">
        <f ca="1">IFERROR(__xludf.DUMMYFUNCTION((TRANSPOSE(ImportHTML("http://spending.data.al/sq/moneypower/view/id/208/year/2014",  "table", 2)))),"*Kategoria*")</f>
        <v>*Kategoria*</v>
      </c>
      <c r="D415" t="s">
        <v>719</v>
      </c>
      <c r="E415" t="s">
        <v>720</v>
      </c>
      <c r="F415" t="s">
        <v>721</v>
      </c>
      <c r="G415" t="s">
        <v>722</v>
      </c>
      <c r="H415" t="s">
        <v>723</v>
      </c>
      <c r="I415" t="s">
        <v>724</v>
      </c>
      <c r="J415" t="s">
        <v>685</v>
      </c>
    </row>
    <row r="416" spans="1:10" ht="15">
      <c r="A416" s="7"/>
      <c r="B416" t="s">
        <v>686</v>
      </c>
      <c r="D416" t="s">
        <v>2902</v>
      </c>
      <c r="E416" t="s">
        <v>2903</v>
      </c>
      <c r="F416" t="s">
        <v>2601</v>
      </c>
      <c r="G416" t="s">
        <v>2904</v>
      </c>
      <c r="H416" t="s">
        <v>2905</v>
      </c>
      <c r="I416" t="s">
        <v>2601</v>
      </c>
      <c r="J416" t="s">
        <v>707</v>
      </c>
    </row>
    <row r="417" spans="1:10" ht="15">
      <c r="A417" s="1">
        <v>209</v>
      </c>
      <c r="B417" t="str">
        <f ca="1">IFERROR(__xludf.DUMMYFUNCTION((TRANSPOSE(ImportHTML("http://spending.data.al/sq/moneypower/view/id/209/year/2014",  "table", 2)))),"*Kategoria*")</f>
        <v>*Kategoria*</v>
      </c>
      <c r="C417" t="s">
        <v>2589</v>
      </c>
    </row>
    <row r="418" spans="1:10" ht="15">
      <c r="A418" s="7"/>
      <c r="B418" t="s">
        <v>686</v>
      </c>
    </row>
    <row r="419" spans="1:10" ht="15">
      <c r="A419" s="1">
        <v>210</v>
      </c>
      <c r="B419" t="str">
        <f ca="1">IFERROR(__xludf.DUMMYFUNCTION((TRANSPOSE(ImportHTML("http://spending.data.al/sq/moneypower/view/id/210/year/2014",  "table", 2)))),"*Kategoria*")</f>
        <v>*Kategoria*</v>
      </c>
      <c r="C419" t="s">
        <v>2589</v>
      </c>
    </row>
    <row r="420" spans="1:10" ht="15">
      <c r="A420" s="7"/>
      <c r="B420" t="s">
        <v>686</v>
      </c>
    </row>
    <row r="421" spans="1:10" ht="15">
      <c r="A421" s="1">
        <v>211</v>
      </c>
      <c r="B421" t="str">
        <f ca="1">IFERROR(__xludf.DUMMYFUNCTION((TRANSPOSE(ImportHTML("http://spending.data.al/sq/moneypower/view/id/211/year/2014",  "table", 2)))),"*Kategoria*")</f>
        <v>*Kategoria*</v>
      </c>
      <c r="C421" t="s">
        <v>2589</v>
      </c>
    </row>
    <row r="422" spans="1:10" ht="15">
      <c r="A422" s="7"/>
      <c r="B422" t="s">
        <v>686</v>
      </c>
    </row>
    <row r="423" spans="1:10" ht="15">
      <c r="A423" s="1">
        <v>212</v>
      </c>
      <c r="B423" t="str">
        <f ca="1">IFERROR(__xludf.DUMMYFUNCTION((TRANSPOSE(ImportHTML("http://spending.data.al/sq/moneypower/view/id/212/year/2014",  "table", 2)))),"*Kategoria*")</f>
        <v>*Kategoria*</v>
      </c>
      <c r="D423" t="s">
        <v>719</v>
      </c>
      <c r="E423" t="s">
        <v>720</v>
      </c>
      <c r="F423" t="s">
        <v>721</v>
      </c>
      <c r="G423" t="s">
        <v>722</v>
      </c>
      <c r="H423" t="s">
        <v>723</v>
      </c>
      <c r="I423" t="s">
        <v>724</v>
      </c>
      <c r="J423" t="s">
        <v>685</v>
      </c>
    </row>
    <row r="424" spans="1:10" ht="15">
      <c r="A424" s="7"/>
      <c r="B424" t="s">
        <v>686</v>
      </c>
      <c r="D424" t="s">
        <v>2906</v>
      </c>
      <c r="E424" t="s">
        <v>2907</v>
      </c>
      <c r="F424" t="s">
        <v>2908</v>
      </c>
      <c r="G424" t="s">
        <v>688</v>
      </c>
      <c r="H424" t="s">
        <v>688</v>
      </c>
      <c r="I424" t="s">
        <v>688</v>
      </c>
      <c r="J424" t="s">
        <v>688</v>
      </c>
    </row>
    <row r="425" spans="1:10" ht="15">
      <c r="A425" s="1">
        <v>213</v>
      </c>
      <c r="B425" t="str">
        <f ca="1">IFERROR(__xludf.DUMMYFUNCTION((TRANSPOSE(ImportHTML("http://spending.data.al/sq/moneypower/view/id/213/year/2014",  "table", 2)))),"*Kategoria*")</f>
        <v>*Kategoria*</v>
      </c>
      <c r="D425" t="s">
        <v>719</v>
      </c>
      <c r="E425" t="s">
        <v>720</v>
      </c>
      <c r="F425" t="s">
        <v>721</v>
      </c>
      <c r="G425" t="s">
        <v>722</v>
      </c>
      <c r="H425" t="s">
        <v>723</v>
      </c>
      <c r="I425" t="s">
        <v>724</v>
      </c>
      <c r="J425" t="s">
        <v>685</v>
      </c>
    </row>
    <row r="426" spans="1:10" ht="15">
      <c r="A426" s="7"/>
      <c r="B426" t="s">
        <v>686</v>
      </c>
      <c r="D426" t="s">
        <v>2909</v>
      </c>
      <c r="E426" t="s">
        <v>2601</v>
      </c>
      <c r="F426" t="s">
        <v>2601</v>
      </c>
      <c r="G426" t="s">
        <v>2601</v>
      </c>
      <c r="H426" t="s">
        <v>2601</v>
      </c>
      <c r="I426" t="s">
        <v>2601</v>
      </c>
      <c r="J426" t="s">
        <v>707</v>
      </c>
    </row>
    <row r="427" spans="1:10" ht="15">
      <c r="A427" s="1">
        <v>214</v>
      </c>
      <c r="B427" t="str">
        <f ca="1">IFERROR(__xludf.DUMMYFUNCTION((TRANSPOSE(ImportHTML("http://spending.data.al/sq/moneypower/view/id/214/year/2014",  "table", 2)))),"*Kategoria*")</f>
        <v>*Kategoria*</v>
      </c>
      <c r="D427" t="s">
        <v>719</v>
      </c>
      <c r="E427" t="s">
        <v>720</v>
      </c>
      <c r="F427" t="s">
        <v>721</v>
      </c>
      <c r="G427" t="s">
        <v>722</v>
      </c>
      <c r="H427" t="s">
        <v>723</v>
      </c>
      <c r="I427" t="s">
        <v>724</v>
      </c>
      <c r="J427" t="s">
        <v>685</v>
      </c>
    </row>
    <row r="428" spans="1:10" ht="15">
      <c r="A428" s="7"/>
      <c r="B428" t="s">
        <v>686</v>
      </c>
      <c r="D428" t="s">
        <v>2910</v>
      </c>
      <c r="E428" t="s">
        <v>2911</v>
      </c>
      <c r="F428" t="s">
        <v>2912</v>
      </c>
      <c r="G428" t="s">
        <v>727</v>
      </c>
      <c r="H428" t="s">
        <v>727</v>
      </c>
      <c r="I428" t="s">
        <v>727</v>
      </c>
      <c r="J428" t="s">
        <v>2913</v>
      </c>
    </row>
    <row r="429" spans="1:10" ht="15">
      <c r="A429" s="1">
        <v>215</v>
      </c>
      <c r="B429" t="str">
        <f ca="1">IFERROR(__xludf.DUMMYFUNCTION((TRANSPOSE(ImportHTML("http://spending.data.al/sq/moneypower/view/id/215/year/2014",  "table", 2)))),"*Kategoria*")</f>
        <v>*Kategoria*</v>
      </c>
      <c r="D429" t="s">
        <v>719</v>
      </c>
      <c r="E429" t="s">
        <v>720</v>
      </c>
      <c r="F429" t="s">
        <v>721</v>
      </c>
      <c r="G429" t="s">
        <v>722</v>
      </c>
      <c r="H429" t="s">
        <v>723</v>
      </c>
      <c r="I429" t="s">
        <v>724</v>
      </c>
      <c r="J429" t="s">
        <v>685</v>
      </c>
    </row>
    <row r="430" spans="1:10" ht="15">
      <c r="A430" s="7"/>
      <c r="B430" t="s">
        <v>686</v>
      </c>
      <c r="D430" t="s">
        <v>2914</v>
      </c>
      <c r="E430" t="s">
        <v>2915</v>
      </c>
      <c r="F430" t="s">
        <v>2601</v>
      </c>
      <c r="G430" t="s">
        <v>727</v>
      </c>
      <c r="H430" t="s">
        <v>727</v>
      </c>
      <c r="I430" t="s">
        <v>727</v>
      </c>
      <c r="J430" t="s">
        <v>2916</v>
      </c>
    </row>
    <row r="431" spans="1:10" ht="15">
      <c r="A431" s="1">
        <v>216</v>
      </c>
      <c r="B431" t="str">
        <f ca="1">IFERROR(__xludf.DUMMYFUNCTION((TRANSPOSE(ImportHTML("http://spending.data.al/sq/moneypower/view/id/216/year/2014",  "table", 2)))),"*Kategoria*")</f>
        <v>*Kategoria*</v>
      </c>
      <c r="D431" t="s">
        <v>719</v>
      </c>
      <c r="E431" t="s">
        <v>720</v>
      </c>
      <c r="F431" t="s">
        <v>721</v>
      </c>
      <c r="G431" t="s">
        <v>722</v>
      </c>
      <c r="H431" t="s">
        <v>723</v>
      </c>
      <c r="I431" t="s">
        <v>724</v>
      </c>
      <c r="J431" t="s">
        <v>685</v>
      </c>
    </row>
    <row r="432" spans="1:10" ht="15">
      <c r="A432" s="7"/>
      <c r="B432" t="s">
        <v>686</v>
      </c>
      <c r="D432" t="s">
        <v>2917</v>
      </c>
      <c r="E432" t="s">
        <v>727</v>
      </c>
      <c r="F432" t="s">
        <v>727</v>
      </c>
      <c r="G432" t="s">
        <v>727</v>
      </c>
      <c r="H432" t="s">
        <v>727</v>
      </c>
      <c r="I432" t="s">
        <v>727</v>
      </c>
      <c r="J432" t="s">
        <v>707</v>
      </c>
    </row>
    <row r="433" spans="1:10" ht="15">
      <c r="A433" s="1">
        <v>217</v>
      </c>
      <c r="B433" t="str">
        <f ca="1">IFERROR(__xludf.DUMMYFUNCTION((TRANSPOSE(ImportHTML("http://spending.data.al/sq/moneypower/view/id/217/year/2014",  "table", 2)))),"*Kategoria*")</f>
        <v>*Kategoria*</v>
      </c>
      <c r="D433" t="s">
        <v>719</v>
      </c>
      <c r="E433" t="s">
        <v>720</v>
      </c>
      <c r="F433" t="s">
        <v>721</v>
      </c>
      <c r="G433" t="s">
        <v>722</v>
      </c>
      <c r="H433" t="s">
        <v>723</v>
      </c>
      <c r="I433" t="s">
        <v>724</v>
      </c>
      <c r="J433" t="s">
        <v>685</v>
      </c>
    </row>
    <row r="434" spans="1:10" ht="15">
      <c r="A434" s="7"/>
      <c r="B434" t="s">
        <v>686</v>
      </c>
      <c r="D434" t="s">
        <v>2918</v>
      </c>
      <c r="E434" t="s">
        <v>727</v>
      </c>
      <c r="F434" t="s">
        <v>727</v>
      </c>
      <c r="G434" t="s">
        <v>727</v>
      </c>
      <c r="H434" t="s">
        <v>2601</v>
      </c>
      <c r="I434" t="s">
        <v>2601</v>
      </c>
      <c r="J434" t="s">
        <v>727</v>
      </c>
    </row>
    <row r="435" spans="1:10" ht="15">
      <c r="A435" s="1">
        <v>218</v>
      </c>
      <c r="B435" t="str">
        <f ca="1">IFERROR(__xludf.DUMMYFUNCTION((TRANSPOSE(ImportHTML("http://spending.data.al/sq/moneypower/view/id/218/year/2014",  "table", 2)))),"*Kategoria*")</f>
        <v>*Kategoria*</v>
      </c>
      <c r="D435" t="s">
        <v>719</v>
      </c>
      <c r="E435" t="s">
        <v>720</v>
      </c>
      <c r="F435" t="s">
        <v>721</v>
      </c>
      <c r="G435" t="s">
        <v>722</v>
      </c>
      <c r="H435" t="s">
        <v>723</v>
      </c>
      <c r="I435" t="s">
        <v>724</v>
      </c>
      <c r="J435" t="s">
        <v>685</v>
      </c>
    </row>
    <row r="436" spans="1:10" ht="15">
      <c r="A436" s="7"/>
      <c r="B436" t="s">
        <v>686</v>
      </c>
      <c r="D436" t="s">
        <v>2919</v>
      </c>
      <c r="E436" t="s">
        <v>727</v>
      </c>
      <c r="F436" t="s">
        <v>2920</v>
      </c>
      <c r="G436" t="s">
        <v>727</v>
      </c>
      <c r="H436" t="s">
        <v>2921</v>
      </c>
      <c r="I436" t="s">
        <v>727</v>
      </c>
      <c r="J436" t="s">
        <v>727</v>
      </c>
    </row>
    <row r="437" spans="1:10" ht="15">
      <c r="A437" s="1">
        <v>219</v>
      </c>
      <c r="B437" t="str">
        <f ca="1">IFERROR(__xludf.DUMMYFUNCTION((TRANSPOSE(ImportHTML("http://spending.data.al/sq/moneypower/view/id/219/year/2014",  "table", 2)))),"*Kategoria*")</f>
        <v>*Kategoria*</v>
      </c>
      <c r="D437" t="s">
        <v>719</v>
      </c>
      <c r="E437" t="s">
        <v>720</v>
      </c>
      <c r="F437" t="s">
        <v>721</v>
      </c>
      <c r="G437" t="s">
        <v>722</v>
      </c>
      <c r="H437" t="s">
        <v>723</v>
      </c>
      <c r="I437" t="s">
        <v>724</v>
      </c>
      <c r="J437" t="s">
        <v>685</v>
      </c>
    </row>
    <row r="438" spans="1:10" ht="15">
      <c r="A438" s="7"/>
      <c r="B438" t="s">
        <v>686</v>
      </c>
      <c r="D438" t="s">
        <v>2922</v>
      </c>
      <c r="E438" t="s">
        <v>2923</v>
      </c>
      <c r="F438" t="s">
        <v>2924</v>
      </c>
      <c r="G438" t="s">
        <v>2601</v>
      </c>
      <c r="H438" t="s">
        <v>2601</v>
      </c>
      <c r="I438" t="s">
        <v>2601</v>
      </c>
      <c r="J438" t="s">
        <v>2601</v>
      </c>
    </row>
    <row r="439" spans="1:10" ht="15">
      <c r="A439" s="1">
        <v>220</v>
      </c>
      <c r="B439" t="str">
        <f ca="1">IFERROR(__xludf.DUMMYFUNCTION((TRANSPOSE(ImportHTML("http://spending.data.al/sq/moneypower/view/id/220/year/2014",  "table", 2)))),"*Kategoria*")</f>
        <v>*Kategoria*</v>
      </c>
      <c r="D439" t="s">
        <v>719</v>
      </c>
      <c r="E439" t="s">
        <v>720</v>
      </c>
      <c r="F439" t="s">
        <v>721</v>
      </c>
      <c r="G439" t="s">
        <v>722</v>
      </c>
      <c r="H439" t="s">
        <v>723</v>
      </c>
      <c r="I439" t="s">
        <v>724</v>
      </c>
      <c r="J439" t="s">
        <v>685</v>
      </c>
    </row>
    <row r="440" spans="1:10" ht="15">
      <c r="A440" s="7"/>
      <c r="B440" t="s">
        <v>686</v>
      </c>
      <c r="D440" t="s">
        <v>2925</v>
      </c>
      <c r="E440" t="s">
        <v>2926</v>
      </c>
      <c r="F440" t="s">
        <v>2927</v>
      </c>
      <c r="G440" t="s">
        <v>727</v>
      </c>
      <c r="H440" t="s">
        <v>727</v>
      </c>
      <c r="I440" t="s">
        <v>727</v>
      </c>
      <c r="J440" t="s">
        <v>2928</v>
      </c>
    </row>
    <row r="441" spans="1:10" ht="15">
      <c r="A441" s="1">
        <v>221</v>
      </c>
      <c r="B441" t="str">
        <f ca="1">IFERROR(__xludf.DUMMYFUNCTION((TRANSPOSE(ImportHTML("http://spending.data.al/sq/moneypower/view/id/221/year/2014",  "table", 2)))),"*Kategoria*")</f>
        <v>*Kategoria*</v>
      </c>
      <c r="D441" t="s">
        <v>719</v>
      </c>
      <c r="E441" t="s">
        <v>720</v>
      </c>
      <c r="F441" t="s">
        <v>721</v>
      </c>
      <c r="G441" t="s">
        <v>722</v>
      </c>
      <c r="H441" t="s">
        <v>723</v>
      </c>
      <c r="I441" t="s">
        <v>724</v>
      </c>
      <c r="J441" t="s">
        <v>685</v>
      </c>
    </row>
    <row r="442" spans="1:10" ht="15">
      <c r="A442" s="7"/>
      <c r="B442" t="s">
        <v>686</v>
      </c>
      <c r="D442" t="s">
        <v>2929</v>
      </c>
      <c r="E442" t="s">
        <v>2601</v>
      </c>
      <c r="F442" t="s">
        <v>2930</v>
      </c>
      <c r="G442" t="s">
        <v>2601</v>
      </c>
      <c r="H442" t="s">
        <v>2601</v>
      </c>
      <c r="I442" t="s">
        <v>2601</v>
      </c>
      <c r="J442" t="s">
        <v>2601</v>
      </c>
    </row>
    <row r="443" spans="1:10" ht="15">
      <c r="A443" s="1">
        <v>222</v>
      </c>
      <c r="B443" t="str">
        <f ca="1">IFERROR(__xludf.DUMMYFUNCTION((TRANSPOSE(ImportHTML("http://spending.data.al/sq/moneypower/view/id/222/year/2014",  "table", 2)))),"*Kategoria*")</f>
        <v>*Kategoria*</v>
      </c>
      <c r="C443" t="s">
        <v>2589</v>
      </c>
    </row>
    <row r="444" spans="1:10" ht="15">
      <c r="A444" s="7"/>
      <c r="B444" t="s">
        <v>686</v>
      </c>
    </row>
    <row r="445" spans="1:10" ht="15">
      <c r="A445" s="1">
        <v>223</v>
      </c>
      <c r="B445" t="str">
        <f ca="1">IFERROR(__xludf.DUMMYFUNCTION((TRANSPOSE(ImportHTML("http://spending.data.al/sq/moneypower/view/id/223/year/2014",  "table", 2)))),"*Kategoria*")</f>
        <v>*Kategoria*</v>
      </c>
      <c r="D445" t="s">
        <v>719</v>
      </c>
      <c r="E445" t="s">
        <v>720</v>
      </c>
      <c r="F445" t="s">
        <v>721</v>
      </c>
      <c r="G445" t="s">
        <v>722</v>
      </c>
      <c r="H445" t="s">
        <v>723</v>
      </c>
      <c r="I445" t="s">
        <v>724</v>
      </c>
      <c r="J445" t="s">
        <v>685</v>
      </c>
    </row>
    <row r="446" spans="1:10" ht="15">
      <c r="A446" s="7"/>
      <c r="B446" t="s">
        <v>686</v>
      </c>
      <c r="D446" t="s">
        <v>2931</v>
      </c>
      <c r="E446" t="s">
        <v>2932</v>
      </c>
      <c r="F446" t="s">
        <v>2601</v>
      </c>
      <c r="G446" t="s">
        <v>2601</v>
      </c>
      <c r="H446" t="s">
        <v>2601</v>
      </c>
      <c r="I446" t="s">
        <v>2601</v>
      </c>
      <c r="J446" t="s">
        <v>2601</v>
      </c>
    </row>
    <row r="447" spans="1:10" ht="15">
      <c r="A447" s="1">
        <v>224</v>
      </c>
      <c r="B447" t="str">
        <f ca="1">IFERROR(__xludf.DUMMYFUNCTION((TRANSPOSE(ImportHTML("http://spending.data.al/sq/moneypower/view/id/224/year/2014",  "table", 2)))),"*Kategoria*")</f>
        <v>*Kategoria*</v>
      </c>
      <c r="D447" t="s">
        <v>719</v>
      </c>
      <c r="E447" t="s">
        <v>720</v>
      </c>
      <c r="F447" t="s">
        <v>721</v>
      </c>
      <c r="G447" t="s">
        <v>722</v>
      </c>
      <c r="H447" t="s">
        <v>723</v>
      </c>
      <c r="I447" t="s">
        <v>724</v>
      </c>
      <c r="J447" t="s">
        <v>685</v>
      </c>
    </row>
    <row r="448" spans="1:10" ht="15">
      <c r="A448" s="7"/>
      <c r="B448" t="s">
        <v>686</v>
      </c>
      <c r="D448" t="s">
        <v>2933</v>
      </c>
      <c r="E448" t="s">
        <v>2934</v>
      </c>
      <c r="F448" t="s">
        <v>2935</v>
      </c>
      <c r="G448" t="s">
        <v>727</v>
      </c>
      <c r="H448" t="s">
        <v>2936</v>
      </c>
      <c r="I448" t="s">
        <v>727</v>
      </c>
      <c r="J448" t="s">
        <v>2937</v>
      </c>
    </row>
    <row r="449" spans="1:10" ht="15">
      <c r="A449" s="1">
        <v>225</v>
      </c>
      <c r="B449" t="str">
        <f ca="1">IFERROR(__xludf.DUMMYFUNCTION((TRANSPOSE(ImportHTML("http://spending.data.al/sq/moneypower/view/id/225/year/2014",  "table", 2)))),"*Kategoria*")</f>
        <v>*Kategoria*</v>
      </c>
      <c r="D449" t="s">
        <v>719</v>
      </c>
      <c r="E449" t="s">
        <v>720</v>
      </c>
      <c r="F449" t="s">
        <v>721</v>
      </c>
      <c r="G449" t="s">
        <v>722</v>
      </c>
      <c r="H449" t="s">
        <v>723</v>
      </c>
      <c r="I449" t="s">
        <v>724</v>
      </c>
      <c r="J449" t="s">
        <v>685</v>
      </c>
    </row>
    <row r="450" spans="1:10" ht="15">
      <c r="A450" s="7"/>
      <c r="B450" t="s">
        <v>686</v>
      </c>
      <c r="D450" t="s">
        <v>2938</v>
      </c>
      <c r="E450" t="s">
        <v>2939</v>
      </c>
      <c r="F450" t="s">
        <v>2940</v>
      </c>
      <c r="G450" t="s">
        <v>727</v>
      </c>
      <c r="H450" t="s">
        <v>727</v>
      </c>
      <c r="I450" t="s">
        <v>727</v>
      </c>
      <c r="J450" t="s">
        <v>727</v>
      </c>
    </row>
    <row r="451" spans="1:10" ht="15">
      <c r="A451" s="1">
        <v>226</v>
      </c>
      <c r="B451" t="str">
        <f ca="1">IFERROR(__xludf.DUMMYFUNCTION((TRANSPOSE(ImportHTML("http://spending.data.al/sq/moneypower/view/id/226/year/2014",  "table", 2)))),"*Kategoria*")</f>
        <v>*Kategoria*</v>
      </c>
      <c r="D451" t="s">
        <v>719</v>
      </c>
      <c r="E451" t="s">
        <v>720</v>
      </c>
      <c r="F451" t="s">
        <v>721</v>
      </c>
      <c r="G451" t="s">
        <v>722</v>
      </c>
      <c r="H451" t="s">
        <v>723</v>
      </c>
      <c r="I451" t="s">
        <v>724</v>
      </c>
      <c r="J451" t="s">
        <v>685</v>
      </c>
    </row>
    <row r="452" spans="1:10" ht="15">
      <c r="A452" s="7"/>
      <c r="B452" t="s">
        <v>686</v>
      </c>
      <c r="D452" t="s">
        <v>2941</v>
      </c>
      <c r="E452" t="s">
        <v>2942</v>
      </c>
      <c r="F452" t="s">
        <v>2943</v>
      </c>
      <c r="G452" t="s">
        <v>727</v>
      </c>
      <c r="H452" t="s">
        <v>727</v>
      </c>
      <c r="I452" t="s">
        <v>2944</v>
      </c>
      <c r="J452" t="s">
        <v>727</v>
      </c>
    </row>
    <row r="453" spans="1:10" ht="15">
      <c r="A453" s="1">
        <v>227</v>
      </c>
      <c r="B453" t="str">
        <f ca="1">IFERROR(__xludf.DUMMYFUNCTION((TRANSPOSE(ImportHTML("http://spending.data.al/sq/moneypower/view/id/227/year/2014",  "table", 2)))),"*Kategoria*")</f>
        <v>*Kategoria*</v>
      </c>
      <c r="D453" t="s">
        <v>719</v>
      </c>
      <c r="E453" t="s">
        <v>720</v>
      </c>
      <c r="F453" t="s">
        <v>721</v>
      </c>
      <c r="G453" t="s">
        <v>722</v>
      </c>
      <c r="H453" t="s">
        <v>723</v>
      </c>
      <c r="I453" t="s">
        <v>724</v>
      </c>
      <c r="J453" t="s">
        <v>685</v>
      </c>
    </row>
    <row r="454" spans="1:10" ht="15">
      <c r="A454" s="7"/>
      <c r="B454" t="s">
        <v>686</v>
      </c>
      <c r="D454" t="s">
        <v>2945</v>
      </c>
      <c r="E454" t="s">
        <v>727</v>
      </c>
      <c r="F454" t="s">
        <v>2946</v>
      </c>
      <c r="G454" t="s">
        <v>727</v>
      </c>
      <c r="H454" t="s">
        <v>727</v>
      </c>
      <c r="I454" t="s">
        <v>727</v>
      </c>
      <c r="J454" t="s">
        <v>727</v>
      </c>
    </row>
    <row r="455" spans="1:10" ht="15">
      <c r="A455" s="1">
        <v>228</v>
      </c>
      <c r="B455" t="str">
        <f ca="1">IFERROR(__xludf.DUMMYFUNCTION((TRANSPOSE(ImportHTML("http://spending.data.al/sq/moneypower/view/id/228/year/2014",  "table", 2)))),"*Kategoria*")</f>
        <v>*Kategoria*</v>
      </c>
      <c r="D455" t="s">
        <v>719</v>
      </c>
      <c r="E455" t="s">
        <v>720</v>
      </c>
      <c r="F455" t="s">
        <v>721</v>
      </c>
      <c r="G455" t="s">
        <v>722</v>
      </c>
      <c r="H455" t="s">
        <v>723</v>
      </c>
      <c r="I455" t="s">
        <v>724</v>
      </c>
      <c r="J455" t="s">
        <v>685</v>
      </c>
    </row>
    <row r="456" spans="1:10" ht="15">
      <c r="A456" s="7"/>
      <c r="B456" t="s">
        <v>686</v>
      </c>
      <c r="D456" t="s">
        <v>2947</v>
      </c>
      <c r="E456" t="s">
        <v>727</v>
      </c>
      <c r="F456" t="s">
        <v>2948</v>
      </c>
      <c r="G456" t="s">
        <v>727</v>
      </c>
      <c r="H456" t="s">
        <v>727</v>
      </c>
      <c r="I456" t="s">
        <v>727</v>
      </c>
      <c r="J456" t="s">
        <v>727</v>
      </c>
    </row>
    <row r="457" spans="1:10" ht="15">
      <c r="A457" s="1">
        <v>229</v>
      </c>
      <c r="B457" t="str">
        <f ca="1">IFERROR(__xludf.DUMMYFUNCTION((TRANSPOSE(ImportHTML("http://spending.data.al/sq/moneypower/view/id/229/year/2014",  "table", 2)))),"*Kategoria*")</f>
        <v>*Kategoria*</v>
      </c>
      <c r="D457" t="s">
        <v>719</v>
      </c>
      <c r="E457" t="s">
        <v>720</v>
      </c>
      <c r="F457" t="s">
        <v>721</v>
      </c>
      <c r="G457" t="s">
        <v>722</v>
      </c>
      <c r="H457" t="s">
        <v>723</v>
      </c>
      <c r="I457" t="s">
        <v>724</v>
      </c>
      <c r="J457" t="s">
        <v>685</v>
      </c>
    </row>
    <row r="458" spans="1:10" ht="15">
      <c r="A458" s="7"/>
      <c r="B458" t="s">
        <v>686</v>
      </c>
      <c r="D458" t="s">
        <v>727</v>
      </c>
      <c r="E458" t="s">
        <v>2949</v>
      </c>
      <c r="F458" t="s">
        <v>2950</v>
      </c>
      <c r="G458" t="s">
        <v>727</v>
      </c>
      <c r="H458" t="s">
        <v>727</v>
      </c>
      <c r="I458" t="s">
        <v>727</v>
      </c>
      <c r="J458" t="s">
        <v>2951</v>
      </c>
    </row>
    <row r="459" spans="1:10" ht="15">
      <c r="A459" s="1">
        <v>230</v>
      </c>
      <c r="B459" t="str">
        <f ca="1">IFERROR(__xludf.DUMMYFUNCTION((TRANSPOSE(ImportHTML("http://spending.data.al/sq/moneypower/view/id/230/year/2014",  "table", 2)))),"*Kategoria*")</f>
        <v>*Kategoria*</v>
      </c>
      <c r="D459" t="s">
        <v>719</v>
      </c>
      <c r="E459" t="s">
        <v>720</v>
      </c>
      <c r="F459" t="s">
        <v>721</v>
      </c>
      <c r="G459" t="s">
        <v>722</v>
      </c>
      <c r="H459" t="s">
        <v>723</v>
      </c>
      <c r="I459" t="s">
        <v>724</v>
      </c>
      <c r="J459" t="s">
        <v>685</v>
      </c>
    </row>
    <row r="460" spans="1:10" ht="15">
      <c r="A460" s="7"/>
      <c r="B460" t="s">
        <v>686</v>
      </c>
      <c r="D460" t="s">
        <v>2952</v>
      </c>
      <c r="E460" t="s">
        <v>727</v>
      </c>
      <c r="F460" t="s">
        <v>2953</v>
      </c>
      <c r="G460" t="s">
        <v>727</v>
      </c>
      <c r="H460" t="s">
        <v>727</v>
      </c>
      <c r="I460" t="s">
        <v>727</v>
      </c>
      <c r="J460" t="s">
        <v>727</v>
      </c>
    </row>
    <row r="461" spans="1:10" ht="15">
      <c r="A461" s="1">
        <v>231</v>
      </c>
      <c r="B461" t="str">
        <f ca="1">IFERROR(__xludf.DUMMYFUNCTION((TRANSPOSE(ImportHTML("http://spending.data.al/sq/moneypower/view/id/231/year/2014",  "table", 2)))),"*Kategoria*")</f>
        <v>*Kategoria*</v>
      </c>
      <c r="D461" t="s">
        <v>719</v>
      </c>
      <c r="E461" t="s">
        <v>720</v>
      </c>
      <c r="F461" t="s">
        <v>721</v>
      </c>
      <c r="G461" t="s">
        <v>722</v>
      </c>
      <c r="H461" t="s">
        <v>723</v>
      </c>
      <c r="I461" t="s">
        <v>724</v>
      </c>
      <c r="J461" t="s">
        <v>685</v>
      </c>
    </row>
    <row r="462" spans="1:10" ht="15">
      <c r="A462" s="7"/>
      <c r="B462" t="s">
        <v>686</v>
      </c>
      <c r="D462" t="s">
        <v>2952</v>
      </c>
      <c r="E462" t="s">
        <v>727</v>
      </c>
      <c r="F462" t="s">
        <v>2953</v>
      </c>
      <c r="G462" t="s">
        <v>727</v>
      </c>
      <c r="H462" t="s">
        <v>727</v>
      </c>
      <c r="I462" t="s">
        <v>727</v>
      </c>
      <c r="J462" t="s">
        <v>727</v>
      </c>
    </row>
    <row r="463" spans="1:10" ht="15">
      <c r="A463" s="1">
        <v>232</v>
      </c>
      <c r="B463" t="str">
        <f ca="1">IFERROR(__xludf.DUMMYFUNCTION((TRANSPOSE(ImportHTML("http://spending.data.al/sq/moneypower/view/id/232/year/2014",  "table", 2)))),"*Kategoria*")</f>
        <v>*Kategoria*</v>
      </c>
      <c r="C463" t="s">
        <v>2589</v>
      </c>
    </row>
    <row r="464" spans="1:10" ht="15">
      <c r="A464" s="7"/>
      <c r="B464" t="s">
        <v>686</v>
      </c>
    </row>
    <row r="465" spans="1:10" ht="15">
      <c r="A465" s="1">
        <v>233</v>
      </c>
      <c r="B465" t="str">
        <f ca="1">IFERROR(__xludf.DUMMYFUNCTION((TRANSPOSE(ImportHTML("http://spending.data.al/sq/moneypower/view/id/233/year/2014",  "table", 2)))),"*Kategoria*")</f>
        <v>*Kategoria*</v>
      </c>
      <c r="D465" t="s">
        <v>719</v>
      </c>
      <c r="E465" t="s">
        <v>720</v>
      </c>
      <c r="F465" t="s">
        <v>721</v>
      </c>
      <c r="G465" t="s">
        <v>722</v>
      </c>
      <c r="H465" t="s">
        <v>723</v>
      </c>
      <c r="I465" t="s">
        <v>724</v>
      </c>
      <c r="J465" t="s">
        <v>685</v>
      </c>
    </row>
    <row r="466" spans="1:10" ht="15">
      <c r="A466" s="7"/>
      <c r="B466" t="s">
        <v>686</v>
      </c>
      <c r="D466" t="s">
        <v>2954</v>
      </c>
      <c r="E466" t="s">
        <v>2955</v>
      </c>
      <c r="F466" t="s">
        <v>2956</v>
      </c>
      <c r="G466" t="s">
        <v>727</v>
      </c>
      <c r="H466" t="s">
        <v>727</v>
      </c>
      <c r="I466" t="s">
        <v>727</v>
      </c>
      <c r="J466" t="s">
        <v>727</v>
      </c>
    </row>
    <row r="467" spans="1:10" ht="15">
      <c r="A467" s="1">
        <v>234</v>
      </c>
      <c r="B467" t="str">
        <f ca="1">IFERROR(__xludf.DUMMYFUNCTION((TRANSPOSE(ImportHTML("http://spending.data.al/sq/moneypower/view/id/234/year/2014",  "table", 2)))),"*Kategoria*")</f>
        <v>*Kategoria*</v>
      </c>
      <c r="D467" t="s">
        <v>719</v>
      </c>
      <c r="E467" t="s">
        <v>720</v>
      </c>
      <c r="F467" t="s">
        <v>721</v>
      </c>
      <c r="G467" t="s">
        <v>722</v>
      </c>
      <c r="H467" t="s">
        <v>723</v>
      </c>
      <c r="I467" t="s">
        <v>724</v>
      </c>
      <c r="J467" t="s">
        <v>685</v>
      </c>
    </row>
    <row r="468" spans="1:10" ht="15">
      <c r="A468" s="7"/>
      <c r="B468" t="s">
        <v>686</v>
      </c>
      <c r="D468" t="s">
        <v>2957</v>
      </c>
      <c r="E468" t="s">
        <v>2595</v>
      </c>
      <c r="F468" t="s">
        <v>2958</v>
      </c>
      <c r="G468" t="s">
        <v>727</v>
      </c>
      <c r="H468" t="s">
        <v>727</v>
      </c>
      <c r="I468" t="s">
        <v>727</v>
      </c>
      <c r="J468" t="s">
        <v>727</v>
      </c>
    </row>
    <row r="469" spans="1:10" ht="15">
      <c r="A469" s="1">
        <v>235</v>
      </c>
      <c r="B469" t="str">
        <f ca="1">IFERROR(__xludf.DUMMYFUNCTION((TRANSPOSE(ImportHTML("http://spending.data.al/sq/moneypower/view/id/235/year/2014",  "table", 2)))),"*Kategoria*")</f>
        <v>*Kategoria*</v>
      </c>
      <c r="C469" t="s">
        <v>2589</v>
      </c>
    </row>
    <row r="470" spans="1:10" ht="15">
      <c r="A470" s="7"/>
      <c r="B470" t="s">
        <v>686</v>
      </c>
    </row>
    <row r="471" spans="1:10" ht="15">
      <c r="A471" s="1">
        <v>236</v>
      </c>
      <c r="B471" t="str">
        <f ca="1">IFERROR(__xludf.DUMMYFUNCTION((TRANSPOSE(ImportHTML("http://spending.data.al/sq/moneypower/view/id/236/year/2014",  "table", 2)))),"*Kategoria*")</f>
        <v>*Kategoria*</v>
      </c>
      <c r="C471" t="s">
        <v>2589</v>
      </c>
    </row>
    <row r="472" spans="1:10" ht="15">
      <c r="A472" s="7"/>
      <c r="B472" t="s">
        <v>686</v>
      </c>
    </row>
    <row r="473" spans="1:10" ht="15">
      <c r="A473" s="1">
        <v>237</v>
      </c>
      <c r="B473" t="str">
        <f ca="1">IFERROR(__xludf.DUMMYFUNCTION((TRANSPOSE(ImportHTML("http://spending.data.al/sq/moneypower/view/id/237/year/2014",  "table", 2)))),"*Kategoria*")</f>
        <v>*Kategoria*</v>
      </c>
      <c r="D473" t="s">
        <v>719</v>
      </c>
      <c r="E473" t="s">
        <v>720</v>
      </c>
      <c r="F473" t="s">
        <v>721</v>
      </c>
      <c r="G473" t="s">
        <v>722</v>
      </c>
      <c r="H473" t="s">
        <v>723</v>
      </c>
      <c r="I473" t="s">
        <v>724</v>
      </c>
      <c r="J473" t="s">
        <v>685</v>
      </c>
    </row>
    <row r="474" spans="1:10" ht="15">
      <c r="A474" s="7"/>
      <c r="B474" t="s">
        <v>686</v>
      </c>
      <c r="D474" t="s">
        <v>2584</v>
      </c>
      <c r="E474" t="s">
        <v>2585</v>
      </c>
      <c r="F474" t="s">
        <v>2586</v>
      </c>
      <c r="G474" t="s">
        <v>688</v>
      </c>
      <c r="H474" t="s">
        <v>2587</v>
      </c>
      <c r="I474" t="s">
        <v>688</v>
      </c>
      <c r="J474" t="s">
        <v>2588</v>
      </c>
    </row>
    <row r="475" spans="1:10" ht="15">
      <c r="A475" s="1">
        <v>238</v>
      </c>
      <c r="B475" t="str">
        <f ca="1">IFERROR(__xludf.DUMMYFUNCTION((TRANSPOSE(ImportHTML("http://spending.data.al/sq/moneypower/view/id/238/year/2014",  "table", 2)))),"*Kategoria*")</f>
        <v>*Kategoria*</v>
      </c>
      <c r="C475" t="s">
        <v>2589</v>
      </c>
    </row>
    <row r="476" spans="1:10" ht="15">
      <c r="A476" s="7"/>
      <c r="B476" t="s">
        <v>686</v>
      </c>
    </row>
    <row r="477" spans="1:10" ht="15">
      <c r="A477" s="1">
        <v>239</v>
      </c>
      <c r="B477" t="str">
        <f ca="1">IFERROR(__xludf.DUMMYFUNCTION((TRANSPOSE(ImportHTML("http://spending.data.al/sq/moneypower/view/id/239/year/2014",  "table", 2)))),"*Kategoria*")</f>
        <v>*Kategoria*</v>
      </c>
      <c r="C477" t="s">
        <v>2589</v>
      </c>
    </row>
    <row r="478" spans="1:10" ht="15">
      <c r="A478" s="7"/>
      <c r="B478" t="s">
        <v>686</v>
      </c>
    </row>
    <row r="479" spans="1:10" ht="15">
      <c r="A479" s="1">
        <v>240</v>
      </c>
      <c r="B479" t="str">
        <f ca="1">IFERROR(__xludf.DUMMYFUNCTION((TRANSPOSE(ImportHTML("http://spending.data.al/sq/moneypower/view/id/240/year/2014",  "table", 2)))),"*Kategoria*")</f>
        <v>*Kategoria*</v>
      </c>
      <c r="C479" t="s">
        <v>2589</v>
      </c>
    </row>
    <row r="480" spans="1:10" ht="15">
      <c r="A480" s="7"/>
      <c r="B480" t="s">
        <v>686</v>
      </c>
    </row>
    <row r="481" spans="1:10" ht="15">
      <c r="A481" s="1">
        <v>241</v>
      </c>
      <c r="B481" t="str">
        <f ca="1">IFERROR(__xludf.DUMMYFUNCTION((TRANSPOSE(ImportHTML("http://spending.data.al/sq/moneypower/view/id/241/year/2014",  "table", 2)))),"*Kategoria*")</f>
        <v>*Kategoria*</v>
      </c>
      <c r="C481" t="s">
        <v>2589</v>
      </c>
    </row>
    <row r="482" spans="1:10" ht="15">
      <c r="A482" s="7"/>
      <c r="B482" t="s">
        <v>686</v>
      </c>
    </row>
    <row r="483" spans="1:10" ht="15">
      <c r="A483" s="1">
        <v>242</v>
      </c>
      <c r="B483" t="str">
        <f ca="1">IFERROR(__xludf.DUMMYFUNCTION((TRANSPOSE(ImportHTML("http://spending.data.al/sq/moneypower/view/id/242/year/2014",  "table", 2)))),"*Kategoria*")</f>
        <v>*Kategoria*</v>
      </c>
      <c r="C483" t="s">
        <v>2589</v>
      </c>
    </row>
    <row r="484" spans="1:10" ht="15">
      <c r="A484" s="7"/>
      <c r="B484" t="s">
        <v>686</v>
      </c>
    </row>
    <row r="485" spans="1:10" ht="15">
      <c r="A485" s="1">
        <v>243</v>
      </c>
      <c r="B485" t="str">
        <f ca="1">IFERROR(__xludf.DUMMYFUNCTION((TRANSPOSE(ImportHTML("http://spending.data.al/sq/moneypower/view/id/243/year/2014",  "table", 2)))),"*Kategoria*")</f>
        <v>*Kategoria*</v>
      </c>
      <c r="C485" t="s">
        <v>2589</v>
      </c>
    </row>
    <row r="486" spans="1:10" ht="15">
      <c r="A486" s="7"/>
      <c r="B486" t="s">
        <v>686</v>
      </c>
    </row>
    <row r="487" spans="1:10" ht="15">
      <c r="A487" s="1">
        <v>244</v>
      </c>
      <c r="B487" t="str">
        <f ca="1">IFERROR(__xludf.DUMMYFUNCTION((TRANSPOSE(ImportHTML("http://spending.data.al/sq/moneypower/view/id/244/year/2014",  "table", 2)))),"*Kategoria*")</f>
        <v>*Kategoria*</v>
      </c>
      <c r="C487" t="s">
        <v>2589</v>
      </c>
    </row>
    <row r="488" spans="1:10" ht="15">
      <c r="A488" s="7"/>
      <c r="B488" t="s">
        <v>686</v>
      </c>
    </row>
    <row r="489" spans="1:10" ht="15">
      <c r="A489" s="1">
        <v>245</v>
      </c>
      <c r="B489" t="str">
        <f ca="1">IFERROR(__xludf.DUMMYFUNCTION((TRANSPOSE(ImportHTML("http://spending.data.al/sq/moneypower/view/id/245/year/2014",  "table", 2)))),"*Kategoria*")</f>
        <v>*Kategoria*</v>
      </c>
      <c r="C489" t="s">
        <v>2589</v>
      </c>
    </row>
    <row r="490" spans="1:10" ht="15">
      <c r="A490" s="7"/>
      <c r="B490" t="s">
        <v>686</v>
      </c>
    </row>
    <row r="491" spans="1:10" ht="15">
      <c r="A491" s="1">
        <v>246</v>
      </c>
      <c r="B491" t="str">
        <f ca="1">IFERROR(__xludf.DUMMYFUNCTION((TRANSPOSE(ImportHTML("http://spending.data.al/sq/moneypower/view/id/246/year/2014",  "table", 2)))),"*Kategoria*")</f>
        <v>*Kategoria*</v>
      </c>
      <c r="C491" t="s">
        <v>2589</v>
      </c>
    </row>
    <row r="492" spans="1:10" ht="15">
      <c r="A492" s="7"/>
      <c r="B492" t="s">
        <v>686</v>
      </c>
    </row>
    <row r="493" spans="1:10" ht="15">
      <c r="A493" s="1">
        <v>247</v>
      </c>
      <c r="B493" t="str">
        <f ca="1">IFERROR(__xludf.DUMMYFUNCTION((TRANSPOSE(ImportHTML("http://spending.data.al/sq/moneypower/view/id/247/year/2014",  "table", 2)))),"*Kategoria*")</f>
        <v>*Kategoria*</v>
      </c>
      <c r="C493" t="s">
        <v>2589</v>
      </c>
    </row>
    <row r="494" spans="1:10" ht="15">
      <c r="A494" s="7"/>
      <c r="B494" t="s">
        <v>686</v>
      </c>
    </row>
    <row r="495" spans="1:10" ht="15">
      <c r="A495" s="1">
        <v>248</v>
      </c>
      <c r="B495" t="str">
        <f ca="1">IFERROR(__xludf.DUMMYFUNCTION((TRANSPOSE(ImportHTML("http://spending.data.al/sq/moneypower/view/id/248/year/2014",  "table", 2)))),"*Kategoria*")</f>
        <v>*Kategoria*</v>
      </c>
      <c r="D495" t="s">
        <v>719</v>
      </c>
      <c r="E495" t="s">
        <v>720</v>
      </c>
      <c r="F495" t="s">
        <v>721</v>
      </c>
      <c r="G495" t="s">
        <v>722</v>
      </c>
      <c r="H495" t="s">
        <v>723</v>
      </c>
      <c r="I495" t="s">
        <v>724</v>
      </c>
      <c r="J495" t="s">
        <v>685</v>
      </c>
    </row>
    <row r="496" spans="1:10" ht="15">
      <c r="A496" s="7"/>
      <c r="B496" t="s">
        <v>686</v>
      </c>
      <c r="D496" t="s">
        <v>2590</v>
      </c>
      <c r="E496" t="s">
        <v>2591</v>
      </c>
      <c r="F496" t="s">
        <v>2592</v>
      </c>
      <c r="G496" t="s">
        <v>727</v>
      </c>
      <c r="H496" t="s">
        <v>727</v>
      </c>
      <c r="I496" t="s">
        <v>727</v>
      </c>
      <c r="J496" t="s">
        <v>2593</v>
      </c>
    </row>
    <row r="497" spans="1:10" ht="15">
      <c r="A497" s="1">
        <v>249</v>
      </c>
      <c r="B497" t="str">
        <f ca="1">IFERROR(__xludf.DUMMYFUNCTION((TRANSPOSE(ImportHTML("http://spending.data.al/sq/moneypower/view/id/249/year/2014",  "table", 2)))),"*Kategoria*")</f>
        <v>*Kategoria*</v>
      </c>
      <c r="C497" t="s">
        <v>2589</v>
      </c>
    </row>
    <row r="498" spans="1:10" ht="15">
      <c r="A498" s="7"/>
      <c r="B498" t="s">
        <v>686</v>
      </c>
    </row>
    <row r="499" spans="1:10" ht="15">
      <c r="A499" s="1">
        <v>250</v>
      </c>
      <c r="B499" t="str">
        <f ca="1">IFERROR(__xludf.DUMMYFUNCTION((TRANSPOSE(ImportHTML("http://spending.data.al/sq/moneypower/view/id/250/year/2014",  "table", 2)))),"*Kategoria*")</f>
        <v>*Kategoria*</v>
      </c>
      <c r="C499" t="s">
        <v>2589</v>
      </c>
    </row>
    <row r="500" spans="1:10" ht="15">
      <c r="A500" s="7"/>
      <c r="B500" t="s">
        <v>686</v>
      </c>
    </row>
    <row r="501" spans="1:10" ht="15">
      <c r="A501" s="1">
        <v>251</v>
      </c>
      <c r="B501" t="str">
        <f ca="1">IFERROR(__xludf.DUMMYFUNCTION((TRANSPOSE(ImportHTML("http://spending.data.al/sq/moneypower/view/id/251/year/2014",  "table", 2)))),"*Kategoria*")</f>
        <v>*Kategoria*</v>
      </c>
      <c r="C501" t="s">
        <v>2589</v>
      </c>
    </row>
    <row r="502" spans="1:10" ht="15">
      <c r="A502" s="7"/>
      <c r="B502" t="s">
        <v>686</v>
      </c>
    </row>
    <row r="503" spans="1:10" ht="15">
      <c r="A503" s="1">
        <v>252</v>
      </c>
      <c r="B503" t="str">
        <f ca="1">IFERROR(__xludf.DUMMYFUNCTION((TRANSPOSE(ImportHTML("http://spending.data.al/sq/moneypower/view/id/252/year/2014",  "table", 2)))),"*Kategoria*")</f>
        <v>*Kategoria*</v>
      </c>
      <c r="D503" t="s">
        <v>719</v>
      </c>
      <c r="E503" t="s">
        <v>720</v>
      </c>
      <c r="F503" t="s">
        <v>721</v>
      </c>
      <c r="G503" t="s">
        <v>722</v>
      </c>
      <c r="H503" t="s">
        <v>723</v>
      </c>
      <c r="I503" t="s">
        <v>724</v>
      </c>
      <c r="J503" t="s">
        <v>685</v>
      </c>
    </row>
    <row r="504" spans="1:10" ht="15">
      <c r="A504" s="7"/>
      <c r="B504" t="s">
        <v>686</v>
      </c>
      <c r="D504" t="s">
        <v>2594</v>
      </c>
      <c r="E504" t="s">
        <v>2595</v>
      </c>
      <c r="F504" t="s">
        <v>2596</v>
      </c>
      <c r="G504" t="s">
        <v>727</v>
      </c>
      <c r="H504" t="s">
        <v>727</v>
      </c>
      <c r="I504" t="s">
        <v>727</v>
      </c>
      <c r="J504" t="s">
        <v>727</v>
      </c>
    </row>
    <row r="505" spans="1:10" ht="15">
      <c r="A505" s="1">
        <v>253</v>
      </c>
      <c r="B505" t="str">
        <f ca="1">IFERROR(__xludf.DUMMYFUNCTION((TRANSPOSE(ImportHTML("http://spending.data.al/sq/moneypower/view/id/253/year/2014",  "table", 2)))),"*Kategoria*")</f>
        <v>*Kategoria*</v>
      </c>
      <c r="D505" t="s">
        <v>719</v>
      </c>
      <c r="E505" t="s">
        <v>720</v>
      </c>
      <c r="F505" t="s">
        <v>721</v>
      </c>
      <c r="G505" t="s">
        <v>722</v>
      </c>
      <c r="H505" t="s">
        <v>723</v>
      </c>
      <c r="I505" t="s">
        <v>724</v>
      </c>
      <c r="J505" t="s">
        <v>685</v>
      </c>
    </row>
    <row r="506" spans="1:10" ht="15">
      <c r="A506" s="7"/>
      <c r="B506" t="s">
        <v>686</v>
      </c>
      <c r="D506" t="s">
        <v>2597</v>
      </c>
      <c r="E506" t="s">
        <v>2598</v>
      </c>
      <c r="F506" t="s">
        <v>2599</v>
      </c>
      <c r="G506" t="s">
        <v>727</v>
      </c>
      <c r="H506" t="s">
        <v>727</v>
      </c>
      <c r="I506" t="s">
        <v>727</v>
      </c>
      <c r="J506" t="s">
        <v>727</v>
      </c>
    </row>
    <row r="507" spans="1:10" ht="15">
      <c r="A507" s="1">
        <v>254</v>
      </c>
      <c r="B507" t="str">
        <f ca="1">IFERROR(__xludf.DUMMYFUNCTION((TRANSPOSE(ImportHTML("http://spending.data.al/sq/moneypower/view/id/254/year/2014",  "table", 2)))),"*Kategoria*")</f>
        <v>*Kategoria*</v>
      </c>
      <c r="C507" t="s">
        <v>2589</v>
      </c>
    </row>
    <row r="508" spans="1:10" ht="15">
      <c r="A508" s="7"/>
      <c r="B508" t="s">
        <v>686</v>
      </c>
    </row>
    <row r="509" spans="1:10" ht="15">
      <c r="A509" s="1">
        <v>255</v>
      </c>
      <c r="B509" t="str">
        <f ca="1">IFERROR(__xludf.DUMMYFUNCTION((TRANSPOSE(ImportHTML("http://spending.data.al/sq/moneypower/view/id/255/year/2014",  "table", 2)))),"*Kategoria*")</f>
        <v>*Kategoria*</v>
      </c>
      <c r="C509" t="s">
        <v>2589</v>
      </c>
    </row>
    <row r="510" spans="1:10" ht="15">
      <c r="A510" s="7"/>
      <c r="B510" t="s">
        <v>686</v>
      </c>
    </row>
    <row r="511" spans="1:10" ht="15">
      <c r="A511" s="1">
        <v>256</v>
      </c>
      <c r="B511" t="str">
        <f ca="1">IFERROR(__xludf.DUMMYFUNCTION((TRANSPOSE(ImportHTML("http://spending.data.al/sq/moneypower/view/id/256/year/2014",  "table", 2)))),"*Kategoria*")</f>
        <v>*Kategoria*</v>
      </c>
      <c r="C511" t="s">
        <v>2589</v>
      </c>
    </row>
    <row r="512" spans="1:10" ht="15">
      <c r="A512" s="7"/>
      <c r="B512" t="s">
        <v>686</v>
      </c>
    </row>
    <row r="513" spans="1:10" ht="15">
      <c r="A513" s="1">
        <v>257</v>
      </c>
      <c r="B513" t="str">
        <f ca="1">IFERROR(__xludf.DUMMYFUNCTION((TRANSPOSE(ImportHTML("http://spending.data.al/sq/moneypower/view/id/257/year/2014",  "table", 2)))),"*Kategoria*")</f>
        <v>*Kategoria*</v>
      </c>
      <c r="C513" t="s">
        <v>2589</v>
      </c>
    </row>
    <row r="514" spans="1:10" ht="15">
      <c r="A514" s="7"/>
      <c r="B514" t="s">
        <v>686</v>
      </c>
    </row>
    <row r="515" spans="1:10" ht="15">
      <c r="A515" s="1">
        <v>258</v>
      </c>
      <c r="B515" t="str">
        <f ca="1">IFERROR(__xludf.DUMMYFUNCTION((TRANSPOSE(ImportHTML("http://spending.data.al/sq/moneypower/view/id/258/year/2014",  "table", 2)))),"*Kategoria*")</f>
        <v>*Kategoria*</v>
      </c>
      <c r="D515" t="s">
        <v>719</v>
      </c>
      <c r="E515" t="s">
        <v>720</v>
      </c>
      <c r="F515" t="s">
        <v>721</v>
      </c>
      <c r="G515" t="s">
        <v>722</v>
      </c>
      <c r="H515" t="s">
        <v>723</v>
      </c>
      <c r="I515" t="s">
        <v>724</v>
      </c>
      <c r="J515" t="s">
        <v>685</v>
      </c>
    </row>
    <row r="516" spans="1:10" ht="15">
      <c r="A516" s="7"/>
      <c r="B516" t="s">
        <v>686</v>
      </c>
      <c r="D516" t="s">
        <v>2600</v>
      </c>
      <c r="E516" t="s">
        <v>2601</v>
      </c>
      <c r="F516" t="s">
        <v>2602</v>
      </c>
      <c r="G516" t="s">
        <v>2601</v>
      </c>
      <c r="H516" t="s">
        <v>2601</v>
      </c>
      <c r="I516" t="s">
        <v>2601</v>
      </c>
      <c r="J516" t="s">
        <v>2601</v>
      </c>
    </row>
    <row r="517" spans="1:10" ht="15">
      <c r="A517" s="1">
        <v>259</v>
      </c>
      <c r="B517" t="str">
        <f ca="1">IFERROR(__xludf.DUMMYFUNCTION((TRANSPOSE(ImportHTML("http://spending.data.al/sq/moneypower/view/id/259/year/2014",  "table", 2)))),"*Kategoria*")</f>
        <v>*Kategoria*</v>
      </c>
      <c r="C517" t="s">
        <v>2589</v>
      </c>
    </row>
    <row r="518" spans="1:10" ht="15">
      <c r="A518" s="7"/>
      <c r="B518" t="s">
        <v>686</v>
      </c>
    </row>
    <row r="519" spans="1:10" ht="15">
      <c r="A519" s="1">
        <v>260</v>
      </c>
      <c r="B519" t="str">
        <f ca="1">IFERROR(__xludf.DUMMYFUNCTION((TRANSPOSE(ImportHTML("http://spending.data.al/sq/moneypower/view/id/260/year/2014",  "table", 2)))),"*Kategoria*")</f>
        <v>*Kategoria*</v>
      </c>
      <c r="C519" t="s">
        <v>2589</v>
      </c>
    </row>
    <row r="520" spans="1:10" ht="15">
      <c r="A520" s="7"/>
      <c r="B520" t="s">
        <v>686</v>
      </c>
    </row>
    <row r="521" spans="1:10" ht="15">
      <c r="A521" s="1">
        <v>261</v>
      </c>
      <c r="B521" t="str">
        <f ca="1">IFERROR(__xludf.DUMMYFUNCTION((TRANSPOSE(ImportHTML("http://spending.data.al/sq/moneypower/view/id/261/year/2014",  "table", 2)))),"*Kategoria*")</f>
        <v>*Kategoria*</v>
      </c>
      <c r="C521" t="s">
        <v>2589</v>
      </c>
    </row>
    <row r="522" spans="1:10" ht="15">
      <c r="A522" s="7"/>
      <c r="B522" t="s">
        <v>686</v>
      </c>
    </row>
    <row r="523" spans="1:10" ht="15">
      <c r="A523" s="1">
        <v>262</v>
      </c>
      <c r="B523" t="str">
        <f ca="1">IFERROR(__xludf.DUMMYFUNCTION((TRANSPOSE(ImportHTML("http://spending.data.al/sq/moneypower/view/id/262/year/2014",  "table", 2)))),"*Kategoria*")</f>
        <v>*Kategoria*</v>
      </c>
      <c r="C523" t="s">
        <v>2589</v>
      </c>
    </row>
    <row r="524" spans="1:10" ht="15">
      <c r="A524" s="7"/>
      <c r="B524" t="s">
        <v>686</v>
      </c>
    </row>
    <row r="525" spans="1:10" ht="15">
      <c r="A525" s="1">
        <v>263</v>
      </c>
      <c r="B525" t="str">
        <f ca="1">IFERROR(__xludf.DUMMYFUNCTION((TRANSPOSE(ImportHTML("http://spending.data.al/sq/moneypower/view/id/263/year/2014",  "table", 2)))),"*Kategoria*")</f>
        <v>*Kategoria*</v>
      </c>
      <c r="C525" t="s">
        <v>2589</v>
      </c>
    </row>
    <row r="526" spans="1:10" ht="15">
      <c r="A526" s="7"/>
      <c r="B526" t="s">
        <v>686</v>
      </c>
    </row>
    <row r="527" spans="1:10" ht="15">
      <c r="A527" s="1">
        <v>264</v>
      </c>
      <c r="B527" t="str">
        <f ca="1">IFERROR(__xludf.DUMMYFUNCTION((TRANSPOSE(ImportHTML("http://spending.data.al/sq/moneypower/view/id/264/year/2014",  "table", 2)))),"*Kategoria*")</f>
        <v>*Kategoria*</v>
      </c>
      <c r="C527" t="s">
        <v>2589</v>
      </c>
    </row>
    <row r="528" spans="1:10" ht="15">
      <c r="A528" s="7"/>
      <c r="B528" t="s">
        <v>686</v>
      </c>
    </row>
    <row r="529" spans="1:10" ht="15">
      <c r="A529" s="1">
        <v>265</v>
      </c>
      <c r="B529" t="str">
        <f ca="1">IFERROR(__xludf.DUMMYFUNCTION((TRANSPOSE(ImportHTML("http://spending.data.al/sq/moneypower/view/id/265/year/2014",  "table", 2)))),"*Kategoria*")</f>
        <v>*Kategoria*</v>
      </c>
      <c r="C529" t="s">
        <v>2589</v>
      </c>
    </row>
    <row r="530" spans="1:10" ht="15">
      <c r="A530" s="7"/>
      <c r="B530" t="s">
        <v>686</v>
      </c>
    </row>
    <row r="531" spans="1:10" ht="15">
      <c r="A531" s="1">
        <v>266</v>
      </c>
      <c r="B531" t="str">
        <f ca="1">IFERROR(__xludf.DUMMYFUNCTION((TRANSPOSE(ImportHTML("http://spending.data.al/sq/moneypower/view/id/266/year/2014",  "table", 2)))),"*Kategoria*")</f>
        <v>*Kategoria*</v>
      </c>
      <c r="C531" t="s">
        <v>2589</v>
      </c>
    </row>
    <row r="532" spans="1:10" ht="15">
      <c r="A532" s="7"/>
      <c r="B532" t="s">
        <v>686</v>
      </c>
    </row>
    <row r="533" spans="1:10" ht="15">
      <c r="A533" s="1">
        <v>267</v>
      </c>
      <c r="B533" t="str">
        <f ca="1">IFERROR(__xludf.DUMMYFUNCTION((TRANSPOSE(ImportHTML("http://spending.data.al/sq/moneypower/view/id/267/year/2014",  "table", 2)))),"*Kategoria*")</f>
        <v>*Kategoria*</v>
      </c>
      <c r="D533" t="s">
        <v>719</v>
      </c>
      <c r="E533" t="s">
        <v>720</v>
      </c>
      <c r="F533" t="s">
        <v>721</v>
      </c>
      <c r="G533" t="s">
        <v>722</v>
      </c>
      <c r="H533" t="s">
        <v>723</v>
      </c>
      <c r="I533" t="s">
        <v>724</v>
      </c>
      <c r="J533" t="s">
        <v>685</v>
      </c>
    </row>
    <row r="534" spans="1:10" ht="15">
      <c r="A534" s="7"/>
      <c r="B534" t="s">
        <v>686</v>
      </c>
      <c r="D534" t="s">
        <v>2603</v>
      </c>
      <c r="E534" t="s">
        <v>727</v>
      </c>
      <c r="F534" t="s">
        <v>2604</v>
      </c>
      <c r="G534" t="s">
        <v>727</v>
      </c>
      <c r="H534" t="s">
        <v>727</v>
      </c>
      <c r="I534" t="s">
        <v>727</v>
      </c>
      <c r="J534" t="s">
        <v>2605</v>
      </c>
    </row>
    <row r="535" spans="1:10" ht="15">
      <c r="A535" s="1">
        <v>268</v>
      </c>
      <c r="B535" t="str">
        <f ca="1">IFERROR(__xludf.DUMMYFUNCTION((TRANSPOSE(ImportHTML("http://spending.data.al/sq/moneypower/view/id/268/year/2014",  "table", 2)))),"*Kategoria*")</f>
        <v>*Kategoria*</v>
      </c>
      <c r="D535" t="s">
        <v>719</v>
      </c>
      <c r="E535" t="s">
        <v>720</v>
      </c>
      <c r="F535" t="s">
        <v>721</v>
      </c>
      <c r="G535" t="s">
        <v>722</v>
      </c>
      <c r="H535" t="s">
        <v>723</v>
      </c>
      <c r="I535" t="s">
        <v>724</v>
      </c>
      <c r="J535" t="s">
        <v>685</v>
      </c>
    </row>
    <row r="536" spans="1:10" ht="15">
      <c r="A536" s="7"/>
      <c r="B536" t="s">
        <v>686</v>
      </c>
      <c r="D536" t="s">
        <v>2606</v>
      </c>
      <c r="E536" t="s">
        <v>2607</v>
      </c>
      <c r="F536" t="s">
        <v>2608</v>
      </c>
      <c r="G536" t="s">
        <v>727</v>
      </c>
      <c r="H536" t="s">
        <v>727</v>
      </c>
      <c r="I536" t="s">
        <v>727</v>
      </c>
      <c r="J536" t="s">
        <v>727</v>
      </c>
    </row>
    <row r="537" spans="1:10" ht="15">
      <c r="A537" s="1">
        <v>269</v>
      </c>
      <c r="B537" t="str">
        <f ca="1">IFERROR(__xludf.DUMMYFUNCTION((TRANSPOSE(ImportHTML("http://spending.data.al/sq/moneypower/view/id/269/year/2014",  "table", 2)))),"*Kategoria*")</f>
        <v>*Kategoria*</v>
      </c>
      <c r="D537" t="s">
        <v>719</v>
      </c>
      <c r="E537" t="s">
        <v>720</v>
      </c>
      <c r="F537" t="s">
        <v>721</v>
      </c>
      <c r="G537" t="s">
        <v>722</v>
      </c>
      <c r="H537" t="s">
        <v>723</v>
      </c>
      <c r="I537" t="s">
        <v>724</v>
      </c>
      <c r="J537" t="s">
        <v>685</v>
      </c>
    </row>
    <row r="538" spans="1:10" ht="15">
      <c r="A538" s="7"/>
      <c r="B538" t="s">
        <v>686</v>
      </c>
      <c r="D538" t="s">
        <v>2609</v>
      </c>
      <c r="E538" t="s">
        <v>2610</v>
      </c>
      <c r="F538" t="s">
        <v>2611</v>
      </c>
      <c r="G538" t="s">
        <v>727</v>
      </c>
      <c r="H538" t="s">
        <v>2612</v>
      </c>
      <c r="I538" t="s">
        <v>727</v>
      </c>
      <c r="J538" t="s">
        <v>2613</v>
      </c>
    </row>
    <row r="539" spans="1:10" ht="15">
      <c r="A539" s="1">
        <v>270</v>
      </c>
      <c r="B539" t="str">
        <f ca="1">IFERROR(__xludf.DUMMYFUNCTION((TRANSPOSE(ImportHTML("http://spending.data.al/sq/moneypower/view/id/270/year/2014",  "table", 2)))),"*Kategoria*")</f>
        <v>*Kategoria*</v>
      </c>
      <c r="C539" t="s">
        <v>2589</v>
      </c>
    </row>
    <row r="540" spans="1:10" ht="15">
      <c r="A540" s="7"/>
      <c r="B540" t="s">
        <v>686</v>
      </c>
    </row>
    <row r="541" spans="1:10" ht="15">
      <c r="A541" s="1">
        <v>271</v>
      </c>
      <c r="B541" t="str">
        <f ca="1">IFERROR(__xludf.DUMMYFUNCTION((TRANSPOSE(ImportHTML("http://spending.data.al/sq/moneypower/view/id/271/year/2014",  "table", 2)))),"*Kategoria*")</f>
        <v>*Kategoria*</v>
      </c>
      <c r="D541" t="s">
        <v>719</v>
      </c>
      <c r="E541" t="s">
        <v>720</v>
      </c>
      <c r="F541" t="s">
        <v>721</v>
      </c>
      <c r="G541" t="s">
        <v>722</v>
      </c>
      <c r="H541" t="s">
        <v>723</v>
      </c>
      <c r="I541" t="s">
        <v>724</v>
      </c>
      <c r="J541" t="s">
        <v>685</v>
      </c>
    </row>
    <row r="542" spans="1:10" ht="15">
      <c r="A542" s="7"/>
      <c r="B542" t="s">
        <v>686</v>
      </c>
      <c r="D542" t="s">
        <v>2614</v>
      </c>
      <c r="E542" t="s">
        <v>2615</v>
      </c>
      <c r="F542" t="s">
        <v>727</v>
      </c>
      <c r="G542" t="s">
        <v>727</v>
      </c>
      <c r="H542" t="s">
        <v>727</v>
      </c>
      <c r="I542" t="s">
        <v>727</v>
      </c>
      <c r="J542" t="s">
        <v>727</v>
      </c>
    </row>
    <row r="543" spans="1:10" ht="15">
      <c r="A543" s="1">
        <v>272</v>
      </c>
      <c r="B543" t="str">
        <f ca="1">IFERROR(__xludf.DUMMYFUNCTION((TRANSPOSE(ImportHTML("http://spending.data.al/sq/moneypower/view/id/272/year/2014",  "table", 2)))),"*Kategoria*")</f>
        <v>*Kategoria*</v>
      </c>
      <c r="C543" t="s">
        <v>2589</v>
      </c>
    </row>
    <row r="544" spans="1:10" ht="15">
      <c r="A544" s="7"/>
      <c r="B544" t="s">
        <v>686</v>
      </c>
    </row>
    <row r="545" spans="1:10" ht="15">
      <c r="A545" s="1">
        <v>273</v>
      </c>
      <c r="B545" t="str">
        <f ca="1">IFERROR(__xludf.DUMMYFUNCTION((TRANSPOSE(ImportHTML("http://spending.data.al/sq/moneypower/view/id/273/year/2014",  "table", 2)))),"*Kategoria*")</f>
        <v>*Kategoria*</v>
      </c>
      <c r="D545" t="s">
        <v>719</v>
      </c>
      <c r="E545" t="s">
        <v>720</v>
      </c>
      <c r="F545" t="s">
        <v>721</v>
      </c>
      <c r="G545" t="s">
        <v>722</v>
      </c>
      <c r="H545" t="s">
        <v>723</v>
      </c>
      <c r="I545" t="s">
        <v>724</v>
      </c>
      <c r="J545" t="s">
        <v>685</v>
      </c>
    </row>
    <row r="546" spans="1:10" ht="15">
      <c r="A546" s="7"/>
      <c r="B546" t="s">
        <v>686</v>
      </c>
      <c r="D546" t="s">
        <v>2616</v>
      </c>
      <c r="E546" t="s">
        <v>2617</v>
      </c>
      <c r="F546" t="s">
        <v>2618</v>
      </c>
      <c r="G546" t="s">
        <v>707</v>
      </c>
      <c r="H546" t="s">
        <v>2619</v>
      </c>
      <c r="I546" t="s">
        <v>688</v>
      </c>
      <c r="J546" t="s">
        <v>688</v>
      </c>
    </row>
    <row r="547" spans="1:10" ht="15">
      <c r="A547" s="1">
        <v>274</v>
      </c>
      <c r="B547" t="str">
        <f ca="1">IFERROR(__xludf.DUMMYFUNCTION((TRANSPOSE(ImportHTML("http://spending.data.al/sq/moneypower/view/id/274/year/2014",  "table", 2)))),"*Kategoria*")</f>
        <v>*Kategoria*</v>
      </c>
      <c r="C547" t="s">
        <v>2589</v>
      </c>
    </row>
    <row r="548" spans="1:10" ht="15">
      <c r="A548" s="7"/>
      <c r="B548" t="s">
        <v>686</v>
      </c>
    </row>
    <row r="549" spans="1:10" ht="15">
      <c r="A549" s="1">
        <v>275</v>
      </c>
      <c r="B549" t="str">
        <f ca="1">IFERROR(__xludf.DUMMYFUNCTION((TRANSPOSE(ImportHTML("http://spending.data.al/sq/moneypower/view/id/275/year/2014",  "table", 2)))),"*Kategoria*")</f>
        <v>*Kategoria*</v>
      </c>
      <c r="C549" t="s">
        <v>2589</v>
      </c>
    </row>
    <row r="550" spans="1:10" ht="15">
      <c r="A550" s="7"/>
      <c r="B550" t="s">
        <v>686</v>
      </c>
    </row>
    <row r="551" spans="1:10" ht="15">
      <c r="A551" s="1">
        <v>276</v>
      </c>
      <c r="B551" t="str">
        <f ca="1">IFERROR(__xludf.DUMMYFUNCTION((TRANSPOSE(ImportHTML("http://spending.data.al/sq/moneypower/view/id/276/year/2014",  "table", 2)))),"*Kategoria*")</f>
        <v>*Kategoria*</v>
      </c>
      <c r="C551" t="s">
        <v>2589</v>
      </c>
    </row>
    <row r="552" spans="1:10" ht="15">
      <c r="A552" s="7"/>
      <c r="B552" t="s">
        <v>686</v>
      </c>
    </row>
    <row r="553" spans="1:10" ht="15">
      <c r="A553" s="1">
        <v>277</v>
      </c>
      <c r="B553" t="str">
        <f ca="1">IFERROR(__xludf.DUMMYFUNCTION((TRANSPOSE(ImportHTML("http://spending.data.al/sq/moneypower/view/id/277/year/2014",  "table", 2)))),"*Kategoria*")</f>
        <v>*Kategoria*</v>
      </c>
      <c r="D553" t="s">
        <v>719</v>
      </c>
      <c r="E553" t="s">
        <v>720</v>
      </c>
      <c r="F553" t="s">
        <v>721</v>
      </c>
      <c r="G553" t="s">
        <v>722</v>
      </c>
      <c r="H553" t="s">
        <v>723</v>
      </c>
      <c r="I553" t="s">
        <v>724</v>
      </c>
      <c r="J553" t="s">
        <v>685</v>
      </c>
    </row>
    <row r="554" spans="1:10" ht="15">
      <c r="A554" s="7"/>
      <c r="B554" t="s">
        <v>686</v>
      </c>
      <c r="D554" t="s">
        <v>2620</v>
      </c>
      <c r="E554" t="s">
        <v>2621</v>
      </c>
      <c r="F554" t="s">
        <v>2622</v>
      </c>
      <c r="G554" t="s">
        <v>688</v>
      </c>
      <c r="H554" t="s">
        <v>688</v>
      </c>
      <c r="J554" t="s">
        <v>2623</v>
      </c>
    </row>
    <row r="555" spans="1:10" ht="15">
      <c r="A555" s="1">
        <v>278</v>
      </c>
      <c r="B555" t="str">
        <f ca="1">IFERROR(__xludf.DUMMYFUNCTION((TRANSPOSE(ImportHTML("http://spending.data.al/sq/moneypower/view/id/278/year/2014",  "table", 2)))),"*Kategoria*")</f>
        <v>*Kategoria*</v>
      </c>
      <c r="C555" t="s">
        <v>2589</v>
      </c>
    </row>
    <row r="556" spans="1:10" ht="15">
      <c r="A556" s="7"/>
      <c r="B556" t="s">
        <v>686</v>
      </c>
    </row>
    <row r="557" spans="1:10" ht="15">
      <c r="A557" s="1">
        <v>279</v>
      </c>
      <c r="B557" t="str">
        <f ca="1">IFERROR(__xludf.DUMMYFUNCTION((TRANSPOSE(ImportHTML("http://spending.data.al/sq/moneypower/view/id/279/year/2014",  "table", 2)))),"*Kategoria*")</f>
        <v>*Kategoria*</v>
      </c>
      <c r="D557" t="s">
        <v>719</v>
      </c>
      <c r="E557" t="s">
        <v>720</v>
      </c>
      <c r="F557" t="s">
        <v>721</v>
      </c>
      <c r="G557" t="s">
        <v>722</v>
      </c>
      <c r="H557" t="s">
        <v>723</v>
      </c>
      <c r="I557" t="s">
        <v>724</v>
      </c>
      <c r="J557" t="s">
        <v>685</v>
      </c>
    </row>
    <row r="558" spans="1:10" ht="15">
      <c r="A558" s="7"/>
      <c r="B558" t="s">
        <v>686</v>
      </c>
      <c r="D558" t="s">
        <v>2624</v>
      </c>
      <c r="E558" t="s">
        <v>2625</v>
      </c>
      <c r="F558" t="s">
        <v>2626</v>
      </c>
      <c r="G558" t="s">
        <v>688</v>
      </c>
      <c r="H558" t="s">
        <v>688</v>
      </c>
      <c r="J558" t="s">
        <v>2627</v>
      </c>
    </row>
    <row r="559" spans="1:10" ht="15">
      <c r="A559" s="1">
        <v>280</v>
      </c>
      <c r="B559" t="str">
        <f ca="1">IFERROR(__xludf.DUMMYFUNCTION((TRANSPOSE(ImportHTML("http://spending.data.al/sq/moneypower/view/id/280/year/2014",  "table", 2)))),"*Kategoria*")</f>
        <v>*Kategoria*</v>
      </c>
      <c r="D559" t="s">
        <v>719</v>
      </c>
      <c r="E559" t="s">
        <v>720</v>
      </c>
      <c r="F559" t="s">
        <v>721</v>
      </c>
      <c r="G559" t="s">
        <v>722</v>
      </c>
      <c r="H559" t="s">
        <v>723</v>
      </c>
      <c r="I559" t="s">
        <v>724</v>
      </c>
      <c r="J559" t="s">
        <v>685</v>
      </c>
    </row>
    <row r="560" spans="1:10" ht="15">
      <c r="A560" s="7"/>
      <c r="B560" t="s">
        <v>686</v>
      </c>
      <c r="D560" t="s">
        <v>2628</v>
      </c>
      <c r="E560" t="s">
        <v>2629</v>
      </c>
      <c r="F560" t="s">
        <v>688</v>
      </c>
      <c r="G560" t="s">
        <v>688</v>
      </c>
      <c r="H560" t="s">
        <v>688</v>
      </c>
      <c r="I560" t="s">
        <v>688</v>
      </c>
      <c r="J560" t="s">
        <v>688</v>
      </c>
    </row>
    <row r="561" spans="1:10" ht="15">
      <c r="A561" s="1">
        <v>281</v>
      </c>
      <c r="B561" t="str">
        <f ca="1">IFERROR(__xludf.DUMMYFUNCTION((TRANSPOSE(ImportHTML("http://spending.data.al/sq/moneypower/view/id/281/year/2014",  "table", 2)))),"*Kategoria*")</f>
        <v>*Kategoria*</v>
      </c>
      <c r="C561" t="s">
        <v>2589</v>
      </c>
    </row>
    <row r="562" spans="1:10" ht="15">
      <c r="A562" s="7"/>
      <c r="B562" t="s">
        <v>686</v>
      </c>
    </row>
    <row r="563" spans="1:10" ht="15">
      <c r="A563" s="1">
        <v>282</v>
      </c>
      <c r="B563" t="str">
        <f ca="1">IFERROR(__xludf.DUMMYFUNCTION((TRANSPOSE(ImportHTML("http://spending.data.al/sq/moneypower/view/id/282/year/2014",  "table", 2)))),"*Kategoria*")</f>
        <v>*Kategoria*</v>
      </c>
      <c r="C563" t="s">
        <v>2589</v>
      </c>
    </row>
    <row r="564" spans="1:10" ht="15">
      <c r="A564" s="7"/>
      <c r="B564" t="s">
        <v>686</v>
      </c>
    </row>
    <row r="565" spans="1:10" ht="15">
      <c r="A565" s="1">
        <v>283</v>
      </c>
      <c r="B565" t="str">
        <f ca="1">IFERROR(__xludf.DUMMYFUNCTION((TRANSPOSE(ImportHTML("http://spending.data.al/sq/moneypower/view/id/283/year/2014",  "table", 2)))),"*Kategoria*")</f>
        <v>*Kategoria*</v>
      </c>
      <c r="C565" t="s">
        <v>2589</v>
      </c>
    </row>
    <row r="566" spans="1:10" ht="15">
      <c r="A566" s="7"/>
      <c r="B566" t="s">
        <v>686</v>
      </c>
    </row>
    <row r="567" spans="1:10" ht="15">
      <c r="A567" s="1">
        <v>284</v>
      </c>
      <c r="B567" t="str">
        <f ca="1">IFERROR(__xludf.DUMMYFUNCTION((TRANSPOSE(ImportHTML("http://spending.data.al/sq/moneypower/view/id/284/year/2014",  "table", 2)))),"*Kategoria*")</f>
        <v>*Kategoria*</v>
      </c>
      <c r="C567" t="s">
        <v>2589</v>
      </c>
    </row>
    <row r="568" spans="1:10" ht="15">
      <c r="A568" s="7"/>
      <c r="B568" t="s">
        <v>686</v>
      </c>
    </row>
    <row r="569" spans="1:10" ht="15">
      <c r="A569" s="1">
        <v>285</v>
      </c>
      <c r="B569" t="str">
        <f ca="1">IFERROR(__xludf.DUMMYFUNCTION((TRANSPOSE(ImportHTML("http://spending.data.al/sq/moneypower/view/id/285/year/2014",  "table", 2)))),"*Kategoria*")</f>
        <v>*Kategoria*</v>
      </c>
      <c r="D569" t="s">
        <v>719</v>
      </c>
      <c r="E569" t="s">
        <v>720</v>
      </c>
      <c r="F569" t="s">
        <v>721</v>
      </c>
      <c r="G569" t="s">
        <v>722</v>
      </c>
      <c r="H569" t="s">
        <v>723</v>
      </c>
      <c r="I569" t="s">
        <v>724</v>
      </c>
      <c r="J569" t="s">
        <v>685</v>
      </c>
    </row>
    <row r="570" spans="1:10" ht="15">
      <c r="A570" s="7"/>
      <c r="B570" t="s">
        <v>686</v>
      </c>
      <c r="D570" t="s">
        <v>2630</v>
      </c>
      <c r="E570" t="s">
        <v>2631</v>
      </c>
      <c r="F570" t="s">
        <v>2632</v>
      </c>
      <c r="G570" t="s">
        <v>2601</v>
      </c>
      <c r="H570" t="s">
        <v>2601</v>
      </c>
      <c r="I570" t="s">
        <v>2601</v>
      </c>
      <c r="J570" t="s">
        <v>2633</v>
      </c>
    </row>
    <row r="571" spans="1:10" ht="15">
      <c r="A571" s="1">
        <v>286</v>
      </c>
      <c r="B571" t="str">
        <f ca="1">IFERROR(__xludf.DUMMYFUNCTION((TRANSPOSE(ImportHTML("http://spending.data.al/sq/moneypower/view/id/286/year/2014",  "table", 2)))),"*Kategoria*")</f>
        <v>*Kategoria*</v>
      </c>
      <c r="D571" t="s">
        <v>719</v>
      </c>
      <c r="E571" t="s">
        <v>720</v>
      </c>
      <c r="F571" t="s">
        <v>721</v>
      </c>
      <c r="G571" t="s">
        <v>722</v>
      </c>
      <c r="H571" t="s">
        <v>723</v>
      </c>
      <c r="I571" t="s">
        <v>724</v>
      </c>
      <c r="J571" t="s">
        <v>685</v>
      </c>
    </row>
    <row r="572" spans="1:10" ht="15">
      <c r="A572" s="7"/>
      <c r="B572" t="s">
        <v>686</v>
      </c>
      <c r="D572" t="s">
        <v>2634</v>
      </c>
      <c r="E572" t="s">
        <v>2601</v>
      </c>
      <c r="F572" t="s">
        <v>2635</v>
      </c>
      <c r="G572" t="s">
        <v>2601</v>
      </c>
      <c r="H572" t="s">
        <v>2601</v>
      </c>
      <c r="I572" t="s">
        <v>2601</v>
      </c>
      <c r="J572" t="s">
        <v>2636</v>
      </c>
    </row>
    <row r="573" spans="1:10" ht="15">
      <c r="A573" s="1">
        <v>287</v>
      </c>
      <c r="B573" t="str">
        <f ca="1">IFERROR(__xludf.DUMMYFUNCTION((TRANSPOSE(ImportHTML("http://spending.data.al/sq/moneypower/view/id/287/year/2014",  "table", 2)))),"*Kategoria*")</f>
        <v>*Kategoria*</v>
      </c>
      <c r="C573" t="s">
        <v>2589</v>
      </c>
    </row>
    <row r="574" spans="1:10" ht="15">
      <c r="A574" s="7"/>
      <c r="B574" t="s">
        <v>686</v>
      </c>
    </row>
    <row r="575" spans="1:10" ht="15">
      <c r="A575" s="1">
        <v>288</v>
      </c>
      <c r="B575" t="str">
        <f ca="1">IFERROR(__xludf.DUMMYFUNCTION((TRANSPOSE(ImportHTML("http://spending.data.al/sq/moneypower/view/id/288/year/2014",  "table", 2)))),"*Kategoria*")</f>
        <v>*Kategoria*</v>
      </c>
      <c r="D575" t="s">
        <v>719</v>
      </c>
      <c r="E575" t="s">
        <v>720</v>
      </c>
      <c r="F575" t="s">
        <v>721</v>
      </c>
      <c r="G575" t="s">
        <v>722</v>
      </c>
      <c r="H575" t="s">
        <v>723</v>
      </c>
      <c r="I575" t="s">
        <v>724</v>
      </c>
      <c r="J575" t="s">
        <v>685</v>
      </c>
    </row>
    <row r="576" spans="1:10" ht="15">
      <c r="A576" s="7"/>
      <c r="B576" t="s">
        <v>686</v>
      </c>
      <c r="D576" t="s">
        <v>2637</v>
      </c>
      <c r="E576" t="s">
        <v>2638</v>
      </c>
      <c r="F576" t="s">
        <v>2639</v>
      </c>
      <c r="G576" t="s">
        <v>2601</v>
      </c>
      <c r="H576" t="s">
        <v>2640</v>
      </c>
      <c r="I576" t="s">
        <v>2601</v>
      </c>
      <c r="J576" t="s">
        <v>2641</v>
      </c>
    </row>
    <row r="577" spans="1:10" ht="15">
      <c r="A577" s="1">
        <v>289</v>
      </c>
      <c r="B577" t="str">
        <f ca="1">IFERROR(__xludf.DUMMYFUNCTION((TRANSPOSE(ImportHTML("http://spending.data.al/sq/moneypower/view/id/289/year/2014",  "table", 2)))),"*Kategoria*")</f>
        <v>*Kategoria*</v>
      </c>
      <c r="C577" t="s">
        <v>2589</v>
      </c>
    </row>
    <row r="578" spans="1:10" ht="15">
      <c r="A578" s="7"/>
      <c r="B578" t="s">
        <v>686</v>
      </c>
    </row>
    <row r="579" spans="1:10" ht="15">
      <c r="A579" s="1">
        <v>290</v>
      </c>
      <c r="B579" t="str">
        <f ca="1">IFERROR(__xludf.DUMMYFUNCTION((TRANSPOSE(ImportHTML("http://spending.data.al/sq/moneypower/view/id/290/year/2014",  "table", 2)))),"*Kategoria*")</f>
        <v>*Kategoria*</v>
      </c>
      <c r="D579" t="s">
        <v>719</v>
      </c>
      <c r="E579" t="s">
        <v>720</v>
      </c>
      <c r="F579" t="s">
        <v>721</v>
      </c>
      <c r="G579" t="s">
        <v>722</v>
      </c>
      <c r="H579" t="s">
        <v>723</v>
      </c>
      <c r="I579" t="s">
        <v>724</v>
      </c>
      <c r="J579" t="s">
        <v>685</v>
      </c>
    </row>
    <row r="580" spans="1:10" ht="15">
      <c r="A580" s="7"/>
      <c r="B580" t="s">
        <v>686</v>
      </c>
      <c r="D580" t="s">
        <v>2642</v>
      </c>
      <c r="E580" t="s">
        <v>2643</v>
      </c>
      <c r="F580" t="s">
        <v>2644</v>
      </c>
      <c r="G580" t="s">
        <v>2601</v>
      </c>
      <c r="H580" t="s">
        <v>2601</v>
      </c>
      <c r="I580" t="s">
        <v>2601</v>
      </c>
      <c r="J580" t="s">
        <v>2645</v>
      </c>
    </row>
    <row r="581" spans="1:10" ht="15">
      <c r="A581" s="1">
        <v>291</v>
      </c>
      <c r="B581" t="str">
        <f ca="1">IFERROR(__xludf.DUMMYFUNCTION((TRANSPOSE(ImportHTML("http://spending.data.al/sq/moneypower/view/id/291/year/2014",  "table", 2)))),"*Kategoria*")</f>
        <v>*Kategoria*</v>
      </c>
      <c r="C581" t="s">
        <v>2589</v>
      </c>
    </row>
    <row r="582" spans="1:10" ht="15">
      <c r="A582" s="7"/>
      <c r="B582" t="s">
        <v>686</v>
      </c>
    </row>
    <row r="583" spans="1:10" ht="15">
      <c r="A583" s="1">
        <v>292</v>
      </c>
      <c r="B583" t="str">
        <f ca="1">IFERROR(__xludf.DUMMYFUNCTION((TRANSPOSE(ImportHTML("http://spending.data.al/sq/moneypower/view/id/292/year/2014",  "table", 2)))),"*Kategoria*")</f>
        <v>*Kategoria*</v>
      </c>
      <c r="D583" t="s">
        <v>719</v>
      </c>
      <c r="E583" t="s">
        <v>720</v>
      </c>
      <c r="F583" t="s">
        <v>721</v>
      </c>
      <c r="G583" t="s">
        <v>722</v>
      </c>
      <c r="H583" t="s">
        <v>723</v>
      </c>
      <c r="I583" t="s">
        <v>724</v>
      </c>
      <c r="J583" t="s">
        <v>685</v>
      </c>
    </row>
    <row r="584" spans="1:10" ht="15">
      <c r="A584" s="7"/>
      <c r="B584" t="s">
        <v>686</v>
      </c>
      <c r="D584" t="s">
        <v>2646</v>
      </c>
      <c r="E584" t="s">
        <v>2647</v>
      </c>
      <c r="F584" t="s">
        <v>2601</v>
      </c>
      <c r="G584" t="s">
        <v>2601</v>
      </c>
      <c r="H584" t="s">
        <v>2601</v>
      </c>
      <c r="I584" t="s">
        <v>2601</v>
      </c>
      <c r="J584" t="s">
        <v>2648</v>
      </c>
    </row>
    <row r="585" spans="1:10" ht="15">
      <c r="A585" s="1">
        <v>293</v>
      </c>
      <c r="B585" t="str">
        <f ca="1">IFERROR(__xludf.DUMMYFUNCTION((TRANSPOSE(ImportHTML("http://spending.data.al/sq/moneypower/view/id/293/year/2014",  "table", 2)))),"*Kategoria*")</f>
        <v>*Kategoria*</v>
      </c>
      <c r="D585" t="s">
        <v>719</v>
      </c>
      <c r="E585" t="s">
        <v>720</v>
      </c>
      <c r="F585" t="s">
        <v>721</v>
      </c>
      <c r="G585" t="s">
        <v>722</v>
      </c>
      <c r="H585" t="s">
        <v>723</v>
      </c>
      <c r="I585" t="s">
        <v>724</v>
      </c>
      <c r="J585" t="s">
        <v>685</v>
      </c>
    </row>
    <row r="586" spans="1:10" ht="15">
      <c r="A586" s="7"/>
      <c r="B586" t="s">
        <v>686</v>
      </c>
      <c r="D586" t="s">
        <v>2649</v>
      </c>
      <c r="E586" t="s">
        <v>2650</v>
      </c>
      <c r="F586" t="s">
        <v>2651</v>
      </c>
      <c r="G586" t="s">
        <v>2601</v>
      </c>
      <c r="H586" t="s">
        <v>2601</v>
      </c>
      <c r="I586" t="s">
        <v>2601</v>
      </c>
      <c r="J586" t="s">
        <v>2652</v>
      </c>
    </row>
    <row r="587" spans="1:10" ht="15">
      <c r="A587" s="1">
        <v>294</v>
      </c>
      <c r="B587" t="str">
        <f ca="1">IFERROR(__xludf.DUMMYFUNCTION((TRANSPOSE(ImportHTML("http://spending.data.al/sq/moneypower/view/id/294/year/2014",  "table", 2)))),"*Kategoria*")</f>
        <v>*Kategoria*</v>
      </c>
      <c r="D587" t="s">
        <v>719</v>
      </c>
      <c r="E587" t="s">
        <v>720</v>
      </c>
      <c r="F587" t="s">
        <v>721</v>
      </c>
      <c r="G587" t="s">
        <v>722</v>
      </c>
      <c r="H587" t="s">
        <v>723</v>
      </c>
      <c r="I587" t="s">
        <v>724</v>
      </c>
      <c r="J587" t="s">
        <v>685</v>
      </c>
    </row>
    <row r="588" spans="1:10" ht="15">
      <c r="A588" s="7"/>
      <c r="B588" t="s">
        <v>686</v>
      </c>
      <c r="D588" t="s">
        <v>2601</v>
      </c>
      <c r="E588" t="s">
        <v>2653</v>
      </c>
      <c r="F588" t="s">
        <v>2654</v>
      </c>
      <c r="G588" t="s">
        <v>2601</v>
      </c>
      <c r="H588" t="s">
        <v>2601</v>
      </c>
      <c r="I588" t="s">
        <v>2601</v>
      </c>
      <c r="J588" t="s">
        <v>2655</v>
      </c>
    </row>
    <row r="589" spans="1:10" ht="15">
      <c r="A589" s="1">
        <v>295</v>
      </c>
      <c r="B589" t="str">
        <f ca="1">IFERROR(__xludf.DUMMYFUNCTION((TRANSPOSE(ImportHTML("http://spending.data.al/sq/moneypower/view/id/295/year/2014",  "table", 2)))),"*Kategoria*")</f>
        <v>*Kategoria*</v>
      </c>
      <c r="C589" t="s">
        <v>2589</v>
      </c>
    </row>
    <row r="590" spans="1:10" ht="15">
      <c r="A590" s="7"/>
      <c r="B590" t="s">
        <v>686</v>
      </c>
    </row>
    <row r="591" spans="1:10" ht="15">
      <c r="A591" s="1">
        <v>296</v>
      </c>
      <c r="B591" t="str">
        <f ca="1">IFERROR(__xludf.DUMMYFUNCTION((TRANSPOSE(ImportHTML("http://spending.data.al/sq/moneypower/view/id/296/year/2014",  "table", 2)))),"*Kategoria*")</f>
        <v>*Kategoria*</v>
      </c>
      <c r="C591" t="s">
        <v>2589</v>
      </c>
    </row>
    <row r="592" spans="1:10" ht="15">
      <c r="A592" s="7"/>
      <c r="B592" t="s">
        <v>686</v>
      </c>
    </row>
    <row r="593" spans="1:10" ht="15">
      <c r="A593" s="1">
        <v>297</v>
      </c>
      <c r="B593" t="str">
        <f ca="1">IFERROR(__xludf.DUMMYFUNCTION((TRANSPOSE(ImportHTML("http://spending.data.al/sq/moneypower/view/id/297/year/2014",  "table", 2)))),"*Kategoria*")</f>
        <v>*Kategoria*</v>
      </c>
      <c r="D593" t="s">
        <v>719</v>
      </c>
      <c r="E593" t="s">
        <v>720</v>
      </c>
      <c r="F593" t="s">
        <v>721</v>
      </c>
      <c r="G593" t="s">
        <v>722</v>
      </c>
      <c r="H593" t="s">
        <v>723</v>
      </c>
      <c r="I593" t="s">
        <v>724</v>
      </c>
      <c r="J593" t="s">
        <v>685</v>
      </c>
    </row>
    <row r="594" spans="1:10" ht="15">
      <c r="A594" s="7"/>
      <c r="B594" t="s">
        <v>686</v>
      </c>
      <c r="D594" t="s">
        <v>2656</v>
      </c>
      <c r="E594" t="s">
        <v>727</v>
      </c>
      <c r="F594" t="s">
        <v>2657</v>
      </c>
      <c r="G594" t="s">
        <v>727</v>
      </c>
      <c r="H594" t="s">
        <v>727</v>
      </c>
      <c r="I594" t="s">
        <v>727</v>
      </c>
      <c r="J594" t="s">
        <v>2658</v>
      </c>
    </row>
    <row r="595" spans="1:10" ht="15">
      <c r="A595" s="1">
        <v>298</v>
      </c>
      <c r="B595" t="str">
        <f ca="1">IFERROR(__xludf.DUMMYFUNCTION((TRANSPOSE(ImportHTML("http://spending.data.al/sq/moneypower/view/id/298/year/2014",  "table", 2)))),"*Kategoria*")</f>
        <v>*Kategoria*</v>
      </c>
      <c r="C595" t="s">
        <v>2589</v>
      </c>
    </row>
    <row r="596" spans="1:10" ht="15">
      <c r="A596" s="7"/>
      <c r="B596" t="s">
        <v>686</v>
      </c>
    </row>
    <row r="597" spans="1:10" ht="15">
      <c r="A597" s="1">
        <v>299</v>
      </c>
      <c r="B597" t="str">
        <f ca="1">IFERROR(__xludf.DUMMYFUNCTION((TRANSPOSE(ImportHTML("http://spending.data.al/sq/moneypower/view/id/299/year/2014",  "table", 2)))),"*Kategoria*")</f>
        <v>*Kategoria*</v>
      </c>
      <c r="C597" t="s">
        <v>2589</v>
      </c>
    </row>
    <row r="598" spans="1:10" ht="15">
      <c r="A598" s="7"/>
      <c r="B598" t="s">
        <v>686</v>
      </c>
    </row>
    <row r="599" spans="1:10" ht="15">
      <c r="A599" s="1">
        <v>300</v>
      </c>
      <c r="B599" t="str">
        <f ca="1">IFERROR(__xludf.DUMMYFUNCTION((TRANSPOSE(ImportHTML("http://spending.data.al/sq/moneypower/view/id/300/year/2014",  "table", 2)))),"*Kategoria*")</f>
        <v>*Kategoria*</v>
      </c>
      <c r="C599" t="s">
        <v>2589</v>
      </c>
    </row>
    <row r="600" spans="1:10" ht="15">
      <c r="A600" s="7"/>
      <c r="B600" t="s">
        <v>686</v>
      </c>
    </row>
    <row r="601" spans="1:10" ht="15">
      <c r="A601" s="1">
        <v>301</v>
      </c>
      <c r="B601" t="str">
        <f ca="1">IFERROR(__xludf.DUMMYFUNCTION((TRANSPOSE(ImportHTML("http://spending.data.al/sq/moneypower/view/id/301/year/2014",  "table", 2)))),"*Kategoria*")</f>
        <v>*Kategoria*</v>
      </c>
      <c r="C601" t="s">
        <v>2589</v>
      </c>
    </row>
    <row r="602" spans="1:10" ht="15">
      <c r="A602" s="7"/>
      <c r="B602" t="s">
        <v>686</v>
      </c>
    </row>
    <row r="603" spans="1:10" ht="15">
      <c r="A603" s="1">
        <v>302</v>
      </c>
      <c r="B603" t="str">
        <f ca="1">IFERROR(__xludf.DUMMYFUNCTION((TRANSPOSE(ImportHTML("http://spending.data.al/sq/moneypower/view/id/302/year/2014",  "table", 2)))),"*Kategoria*")</f>
        <v>*Kategoria*</v>
      </c>
      <c r="C603" t="s">
        <v>2589</v>
      </c>
    </row>
    <row r="604" spans="1:10" ht="15">
      <c r="A604" s="7"/>
      <c r="B604" t="s">
        <v>686</v>
      </c>
    </row>
    <row r="605" spans="1:10" ht="15">
      <c r="A605" s="1">
        <v>303</v>
      </c>
      <c r="B605" t="str">
        <f ca="1">IFERROR(__xludf.DUMMYFUNCTION((TRANSPOSE(ImportHTML("http://spending.data.al/sq/moneypower/view/id/303/year/2014",  "table", 2)))),"*Kategoria*")</f>
        <v>*Kategoria*</v>
      </c>
      <c r="D605" t="s">
        <v>719</v>
      </c>
      <c r="E605" t="s">
        <v>720</v>
      </c>
      <c r="F605" t="s">
        <v>721</v>
      </c>
      <c r="G605" t="s">
        <v>722</v>
      </c>
      <c r="H605" t="s">
        <v>723</v>
      </c>
      <c r="I605" t="s">
        <v>724</v>
      </c>
      <c r="J605" t="s">
        <v>685</v>
      </c>
    </row>
    <row r="606" spans="1:10" ht="15">
      <c r="A606" s="7"/>
      <c r="B606" t="s">
        <v>686</v>
      </c>
      <c r="D606" t="s">
        <v>2659</v>
      </c>
      <c r="E606" t="s">
        <v>727</v>
      </c>
      <c r="F606" t="s">
        <v>2660</v>
      </c>
      <c r="G606" t="s">
        <v>727</v>
      </c>
      <c r="H606" t="s">
        <v>727</v>
      </c>
      <c r="I606" t="s">
        <v>727</v>
      </c>
      <c r="J606" t="s">
        <v>2661</v>
      </c>
    </row>
    <row r="607" spans="1:10" ht="15">
      <c r="A607" s="1">
        <v>304</v>
      </c>
      <c r="B607" t="str">
        <f ca="1">IFERROR(__xludf.DUMMYFUNCTION((TRANSPOSE(ImportHTML("http://spending.data.al/sq/moneypower/view/id/304/year/2014",  "table", 2)))),"*Kategoria*")</f>
        <v>*Kategoria*</v>
      </c>
      <c r="C607" t="s">
        <v>2589</v>
      </c>
    </row>
    <row r="608" spans="1:10" ht="15">
      <c r="A608" s="7"/>
      <c r="B608" t="s">
        <v>686</v>
      </c>
    </row>
    <row r="609" spans="1:10" ht="15">
      <c r="A609" s="1">
        <v>305</v>
      </c>
      <c r="B609" t="str">
        <f ca="1">IFERROR(__xludf.DUMMYFUNCTION((TRANSPOSE(ImportHTML("http://spending.data.al/sq/moneypower/view/id/305/year/2014",  "table", 2)))),"*Kategoria*")</f>
        <v>*Kategoria*</v>
      </c>
      <c r="D609" t="s">
        <v>719</v>
      </c>
      <c r="E609" t="s">
        <v>720</v>
      </c>
      <c r="F609" t="s">
        <v>721</v>
      </c>
      <c r="G609" t="s">
        <v>722</v>
      </c>
      <c r="H609" t="s">
        <v>723</v>
      </c>
      <c r="I609" t="s">
        <v>724</v>
      </c>
      <c r="J609" t="s">
        <v>685</v>
      </c>
    </row>
    <row r="610" spans="1:10" ht="15">
      <c r="A610" s="7"/>
      <c r="B610" t="s">
        <v>686</v>
      </c>
      <c r="D610" t="s">
        <v>2662</v>
      </c>
      <c r="E610" t="s">
        <v>2663</v>
      </c>
      <c r="F610" t="s">
        <v>727</v>
      </c>
      <c r="G610" t="s">
        <v>727</v>
      </c>
      <c r="H610" t="s">
        <v>2664</v>
      </c>
      <c r="I610" t="s">
        <v>727</v>
      </c>
      <c r="J610" t="s">
        <v>2665</v>
      </c>
    </row>
    <row r="611" spans="1:10" ht="15">
      <c r="A611" s="1">
        <v>306</v>
      </c>
      <c r="B611" t="str">
        <f ca="1">IFERROR(__xludf.DUMMYFUNCTION((TRANSPOSE(ImportHTML("http://spending.data.al/sq/moneypower/view/id/306/year/2014",  "table", 2)))),"*Kategoria*")</f>
        <v>*Kategoria*</v>
      </c>
      <c r="C611" t="s">
        <v>2589</v>
      </c>
    </row>
    <row r="612" spans="1:10" ht="15">
      <c r="A612" s="7"/>
      <c r="B612" t="s">
        <v>686</v>
      </c>
    </row>
    <row r="613" spans="1:10" ht="15">
      <c r="A613" s="1">
        <v>307</v>
      </c>
      <c r="B613" t="str">
        <f ca="1">IFERROR(__xludf.DUMMYFUNCTION((TRANSPOSE(ImportHTML("http://spending.data.al/sq/moneypower/view/id/307/year/2014",  "table", 2)))),"*Kategoria*")</f>
        <v>*Kategoria*</v>
      </c>
      <c r="D613" t="s">
        <v>719</v>
      </c>
      <c r="E613" t="s">
        <v>720</v>
      </c>
      <c r="F613" t="s">
        <v>721</v>
      </c>
      <c r="G613" t="s">
        <v>722</v>
      </c>
      <c r="H613" t="s">
        <v>723</v>
      </c>
      <c r="I613" t="s">
        <v>724</v>
      </c>
      <c r="J613" t="s">
        <v>685</v>
      </c>
    </row>
    <row r="614" spans="1:10" ht="15">
      <c r="A614" s="7"/>
      <c r="B614" t="s">
        <v>686</v>
      </c>
      <c r="D614" t="s">
        <v>2666</v>
      </c>
      <c r="E614" t="s">
        <v>2667</v>
      </c>
      <c r="F614" t="s">
        <v>2668</v>
      </c>
      <c r="G614" t="s">
        <v>2601</v>
      </c>
      <c r="H614" t="s">
        <v>2669</v>
      </c>
      <c r="I614" t="s">
        <v>2601</v>
      </c>
      <c r="J614" t="s">
        <v>2670</v>
      </c>
    </row>
    <row r="615" spans="1:10" ht="15">
      <c r="A615" s="1">
        <v>308</v>
      </c>
      <c r="B615" t="str">
        <f ca="1">IFERROR(__xludf.DUMMYFUNCTION((TRANSPOSE(ImportHTML("http://spending.data.al/sq/moneypower/view/id/308/year/2014",  "table", 2)))),"*Kategoria*")</f>
        <v>*Kategoria*</v>
      </c>
      <c r="C615" t="s">
        <v>2589</v>
      </c>
    </row>
    <row r="616" spans="1:10" ht="15">
      <c r="A616" s="7"/>
      <c r="B616" t="s">
        <v>686</v>
      </c>
    </row>
    <row r="617" spans="1:10" ht="15">
      <c r="A617" s="1">
        <v>309</v>
      </c>
      <c r="B617" t="str">
        <f ca="1">IFERROR(__xludf.DUMMYFUNCTION((TRANSPOSE(ImportHTML("http://spending.data.al/sq/moneypower/view/id/309/year/2014",  "table", 2)))),"*Kategoria*")</f>
        <v>*Kategoria*</v>
      </c>
      <c r="D617" t="s">
        <v>719</v>
      </c>
      <c r="E617" t="s">
        <v>720</v>
      </c>
      <c r="F617" t="s">
        <v>721</v>
      </c>
      <c r="G617" t="s">
        <v>722</v>
      </c>
      <c r="H617" t="s">
        <v>723</v>
      </c>
      <c r="I617" t="s">
        <v>724</v>
      </c>
      <c r="J617" t="s">
        <v>685</v>
      </c>
    </row>
    <row r="618" spans="1:10" ht="15">
      <c r="A618" s="7"/>
      <c r="B618" t="s">
        <v>686</v>
      </c>
      <c r="D618" t="s">
        <v>2671</v>
      </c>
      <c r="E618" t="s">
        <v>2672</v>
      </c>
      <c r="F618" t="s">
        <v>2673</v>
      </c>
      <c r="G618" t="s">
        <v>727</v>
      </c>
      <c r="H618" t="s">
        <v>2674</v>
      </c>
      <c r="I618" t="s">
        <v>727</v>
      </c>
      <c r="J618" t="s">
        <v>2675</v>
      </c>
    </row>
    <row r="619" spans="1:10" ht="15">
      <c r="A619" s="1">
        <v>310</v>
      </c>
      <c r="B619" t="str">
        <f ca="1">IFERROR(__xludf.DUMMYFUNCTION((TRANSPOSE(ImportHTML("http://spending.data.al/sq/moneypower/view/id/310/year/2014",  "table", 2)))),"*Kategoria*")</f>
        <v>*Kategoria*</v>
      </c>
      <c r="C619" t="s">
        <v>2589</v>
      </c>
    </row>
    <row r="620" spans="1:10" ht="15">
      <c r="A620" s="7"/>
      <c r="B620" t="s">
        <v>686</v>
      </c>
    </row>
    <row r="621" spans="1:10" ht="15">
      <c r="A621" s="1">
        <v>311</v>
      </c>
      <c r="B621" t="str">
        <f ca="1">IFERROR(__xludf.DUMMYFUNCTION((TRANSPOSE(ImportHTML("http://spending.data.al/sq/moneypower/view/id/311/year/2014",  "table", 2)))),"*Kategoria*")</f>
        <v>*Kategoria*</v>
      </c>
      <c r="D621" t="s">
        <v>719</v>
      </c>
      <c r="E621" t="s">
        <v>720</v>
      </c>
      <c r="F621" t="s">
        <v>721</v>
      </c>
      <c r="G621" t="s">
        <v>722</v>
      </c>
      <c r="H621" t="s">
        <v>723</v>
      </c>
      <c r="I621" t="s">
        <v>724</v>
      </c>
      <c r="J621" t="s">
        <v>685</v>
      </c>
    </row>
    <row r="622" spans="1:10" ht="15">
      <c r="A622" s="7"/>
      <c r="B622" t="s">
        <v>686</v>
      </c>
      <c r="D622" t="s">
        <v>2676</v>
      </c>
      <c r="E622" t="s">
        <v>2677</v>
      </c>
      <c r="F622" t="s">
        <v>727</v>
      </c>
      <c r="G622" t="s">
        <v>727</v>
      </c>
      <c r="H622" t="s">
        <v>727</v>
      </c>
      <c r="I622" t="s">
        <v>727</v>
      </c>
      <c r="J622" t="s">
        <v>2678</v>
      </c>
    </row>
    <row r="623" spans="1:10" ht="15">
      <c r="A623" s="1">
        <v>312</v>
      </c>
      <c r="B623" t="str">
        <f ca="1">IFERROR(__xludf.DUMMYFUNCTION((TRANSPOSE(ImportHTML("http://spending.data.al/sq/moneypower/view/id/312/year/2014",  "table", 2)))),"*Kategoria*")</f>
        <v>*Kategoria*</v>
      </c>
      <c r="D623" t="s">
        <v>719</v>
      </c>
      <c r="E623" t="s">
        <v>720</v>
      </c>
      <c r="F623" t="s">
        <v>721</v>
      </c>
      <c r="G623" t="s">
        <v>722</v>
      </c>
      <c r="H623" t="s">
        <v>723</v>
      </c>
      <c r="I623" t="s">
        <v>724</v>
      </c>
      <c r="J623" t="s">
        <v>685</v>
      </c>
    </row>
    <row r="624" spans="1:10" ht="15">
      <c r="A624" s="7"/>
      <c r="B624" t="s">
        <v>686</v>
      </c>
      <c r="D624" t="s">
        <v>2679</v>
      </c>
      <c r="E624" t="s">
        <v>2680</v>
      </c>
      <c r="F624" t="s">
        <v>2681</v>
      </c>
      <c r="G624" t="s">
        <v>2601</v>
      </c>
      <c r="H624" t="s">
        <v>2601</v>
      </c>
      <c r="I624" t="s">
        <v>2601</v>
      </c>
      <c r="J624" t="s">
        <v>2682</v>
      </c>
    </row>
    <row r="625" spans="1:10" ht="15">
      <c r="A625" s="1">
        <v>313</v>
      </c>
      <c r="B625" t="str">
        <f ca="1">IFERROR(__xludf.DUMMYFUNCTION((TRANSPOSE(ImportHTML("http://spending.data.al/sq/moneypower/view/id/313/year/2014",  "table", 2)))),"*Kategoria*")</f>
        <v>*Kategoria*</v>
      </c>
      <c r="D625" t="s">
        <v>719</v>
      </c>
      <c r="E625" t="s">
        <v>720</v>
      </c>
      <c r="F625" t="s">
        <v>721</v>
      </c>
      <c r="G625" t="s">
        <v>722</v>
      </c>
      <c r="H625" t="s">
        <v>723</v>
      </c>
      <c r="I625" t="s">
        <v>724</v>
      </c>
      <c r="J625" t="s">
        <v>685</v>
      </c>
    </row>
    <row r="626" spans="1:10" ht="15">
      <c r="A626" s="7"/>
      <c r="B626" t="s">
        <v>686</v>
      </c>
      <c r="D626" t="s">
        <v>2683</v>
      </c>
      <c r="E626" t="s">
        <v>2684</v>
      </c>
      <c r="F626" t="s">
        <v>2685</v>
      </c>
      <c r="G626" t="s">
        <v>727</v>
      </c>
      <c r="H626" t="s">
        <v>727</v>
      </c>
      <c r="I626" t="s">
        <v>727</v>
      </c>
      <c r="J626" t="s">
        <v>2686</v>
      </c>
    </row>
    <row r="627" spans="1:10" ht="15">
      <c r="A627" s="1">
        <v>314</v>
      </c>
      <c r="B627" t="str">
        <f ca="1">IFERROR(__xludf.DUMMYFUNCTION((TRANSPOSE(ImportHTML("http://spending.data.al/sq/moneypower/view/id/314/year/2014",  "table", 2)))),"*Kategoria*")</f>
        <v>*Kategoria*</v>
      </c>
      <c r="C627" t="s">
        <v>2589</v>
      </c>
    </row>
    <row r="628" spans="1:10" ht="15">
      <c r="A628" s="7"/>
      <c r="B628" t="s">
        <v>686</v>
      </c>
    </row>
    <row r="629" spans="1:10" ht="15">
      <c r="A629" s="1">
        <v>315</v>
      </c>
      <c r="B629" t="str">
        <f ca="1">IFERROR(__xludf.DUMMYFUNCTION((TRANSPOSE(ImportHTML("http://spending.data.al/sq/moneypower/view/id/315/year/2014",  "table", 2)))),"*Kategoria*")</f>
        <v>*Kategoria*</v>
      </c>
      <c r="C629" t="s">
        <v>2589</v>
      </c>
    </row>
    <row r="630" spans="1:10" ht="15">
      <c r="A630" s="7"/>
      <c r="B630" t="s">
        <v>686</v>
      </c>
    </row>
    <row r="631" spans="1:10" ht="15">
      <c r="A631" s="1">
        <v>316</v>
      </c>
      <c r="B631" t="str">
        <f ca="1">IFERROR(__xludf.DUMMYFUNCTION((TRANSPOSE(ImportHTML("http://spending.data.al/sq/moneypower/view/id/316/year/2014",  "table", 2)))),"*Kategoria*")</f>
        <v>*Kategoria*</v>
      </c>
      <c r="C631" t="s">
        <v>2589</v>
      </c>
    </row>
    <row r="632" spans="1:10" ht="15">
      <c r="A632" s="7"/>
      <c r="B632" t="s">
        <v>686</v>
      </c>
    </row>
    <row r="633" spans="1:10" ht="15">
      <c r="A633" s="1">
        <v>317</v>
      </c>
      <c r="B633" t="str">
        <f ca="1">IFERROR(__xludf.DUMMYFUNCTION((TRANSPOSE(ImportHTML("http://spending.data.al/sq/moneypower/view/id/317/year/2014",  "table", 2)))),"*Kategoria*")</f>
        <v>*Kategoria*</v>
      </c>
      <c r="D633" t="s">
        <v>719</v>
      </c>
      <c r="E633" t="s">
        <v>720</v>
      </c>
      <c r="F633" t="s">
        <v>721</v>
      </c>
      <c r="G633" t="s">
        <v>722</v>
      </c>
      <c r="H633" t="s">
        <v>723</v>
      </c>
      <c r="I633" t="s">
        <v>724</v>
      </c>
      <c r="J633" t="s">
        <v>685</v>
      </c>
    </row>
    <row r="634" spans="1:10" ht="15">
      <c r="A634" s="7"/>
      <c r="B634" t="s">
        <v>686</v>
      </c>
      <c r="D634" t="s">
        <v>727</v>
      </c>
      <c r="E634" t="s">
        <v>2687</v>
      </c>
      <c r="F634" t="s">
        <v>2688</v>
      </c>
      <c r="G634" t="s">
        <v>727</v>
      </c>
      <c r="H634" t="s">
        <v>727</v>
      </c>
      <c r="I634" t="s">
        <v>727</v>
      </c>
      <c r="J634" t="s">
        <v>2689</v>
      </c>
    </row>
    <row r="635" spans="1:10" ht="15">
      <c r="A635" s="1">
        <v>318</v>
      </c>
      <c r="B635" t="str">
        <f ca="1">IFERROR(__xludf.DUMMYFUNCTION((TRANSPOSE(ImportHTML("http://spending.data.al/sq/moneypower/view/id/318/year/2014",  "table", 2)))),"*Kategoria*")</f>
        <v>*Kategoria*</v>
      </c>
      <c r="D635" t="s">
        <v>719</v>
      </c>
      <c r="E635" t="s">
        <v>720</v>
      </c>
      <c r="F635" t="s">
        <v>721</v>
      </c>
      <c r="G635" t="s">
        <v>722</v>
      </c>
      <c r="H635" t="s">
        <v>723</v>
      </c>
      <c r="I635" t="s">
        <v>724</v>
      </c>
      <c r="J635" t="s">
        <v>685</v>
      </c>
    </row>
    <row r="636" spans="1:10" ht="15">
      <c r="A636" s="7"/>
      <c r="B636" t="s">
        <v>686</v>
      </c>
      <c r="D636" t="s">
        <v>2690</v>
      </c>
      <c r="E636" t="s">
        <v>2691</v>
      </c>
      <c r="F636" t="s">
        <v>2692</v>
      </c>
      <c r="G636" t="s">
        <v>2693</v>
      </c>
      <c r="H636" t="s">
        <v>2601</v>
      </c>
      <c r="I636" t="s">
        <v>2601</v>
      </c>
      <c r="J636" t="s">
        <v>2694</v>
      </c>
    </row>
    <row r="637" spans="1:10" ht="15">
      <c r="A637" s="1">
        <v>319</v>
      </c>
      <c r="B637" t="str">
        <f ca="1">IFERROR(__xludf.DUMMYFUNCTION((TRANSPOSE(ImportHTML("http://spending.data.al/sq/moneypower/view/id/319/year/2014",  "table", 2)))),"*Kategoria*")</f>
        <v>*Kategoria*</v>
      </c>
      <c r="C637" t="s">
        <v>2589</v>
      </c>
    </row>
    <row r="638" spans="1:10" ht="15">
      <c r="A638" s="7"/>
      <c r="B638" t="s">
        <v>686</v>
      </c>
    </row>
    <row r="639" spans="1:10" ht="15">
      <c r="A639" s="1">
        <v>320</v>
      </c>
      <c r="B639" t="str">
        <f ca="1">IFERROR(__xludf.DUMMYFUNCTION((TRANSPOSE(ImportHTML("http://spending.data.al/sq/moneypower/view/id/320/year/2014",  "table", 2)))),"*Kategoria*")</f>
        <v>*Kategoria*</v>
      </c>
      <c r="C639" t="s">
        <v>2589</v>
      </c>
    </row>
    <row r="640" spans="1:10" ht="15">
      <c r="A640" s="7"/>
      <c r="B640" t="s">
        <v>686</v>
      </c>
    </row>
    <row r="641" spans="1:3" ht="15">
      <c r="A641" s="1">
        <v>321</v>
      </c>
      <c r="B641" t="str">
        <f ca="1">IFERROR(__xludf.DUMMYFUNCTION((TRANSPOSE(ImportHTML("http://spending.data.al/sq/moneypower/view/id/321/year/2014",  "table", 2)))),"*Kategoria*")</f>
        <v>*Kategoria*</v>
      </c>
      <c r="C641" t="s">
        <v>2589</v>
      </c>
    </row>
    <row r="642" spans="1:3" ht="15">
      <c r="A642" s="7"/>
      <c r="B642" t="s">
        <v>686</v>
      </c>
    </row>
    <row r="643" spans="1:3" ht="15">
      <c r="A643" s="1">
        <v>322</v>
      </c>
      <c r="B643" t="str">
        <f ca="1">IFERROR(__xludf.DUMMYFUNCTION((TRANSPOSE(ImportHTML("http://spending.data.al/sq/moneypower/view/id/322/year/2014",  "table", 2)))),"*Kategoria*")</f>
        <v>*Kategoria*</v>
      </c>
      <c r="C643" t="s">
        <v>2589</v>
      </c>
    </row>
    <row r="644" spans="1:3" ht="15">
      <c r="A644" s="7"/>
      <c r="B644" t="s">
        <v>686</v>
      </c>
    </row>
    <row r="645" spans="1:3" ht="15">
      <c r="A645" s="1">
        <v>323</v>
      </c>
      <c r="B645" t="str">
        <f ca="1">IFERROR(__xludf.DUMMYFUNCTION((TRANSPOSE(ImportHTML("http://spending.data.al/sq/moneypower/view/id/323/year/2014",  "table", 2)))),"*Kategoria*")</f>
        <v>*Kategoria*</v>
      </c>
      <c r="C645" t="s">
        <v>2589</v>
      </c>
    </row>
    <row r="646" spans="1:3" ht="15">
      <c r="A646" s="7"/>
      <c r="B646" t="s">
        <v>686</v>
      </c>
    </row>
    <row r="647" spans="1:3" ht="15">
      <c r="A647" s="1">
        <v>324</v>
      </c>
      <c r="B647" t="str">
        <f ca="1">IFERROR(__xludf.DUMMYFUNCTION((TRANSPOSE(ImportHTML("http://spending.data.al/sq/moneypower/view/id/324/year/2014",  "table", 2)))),"*Kategoria*")</f>
        <v>*Kategoria*</v>
      </c>
      <c r="C647" t="s">
        <v>2589</v>
      </c>
    </row>
    <row r="648" spans="1:3" ht="15">
      <c r="A648" s="7"/>
      <c r="B648" t="s">
        <v>686</v>
      </c>
    </row>
    <row r="649" spans="1:3" ht="15">
      <c r="A649" s="1">
        <v>325</v>
      </c>
      <c r="B649" t="str">
        <f ca="1">IFERROR(__xludf.DUMMYFUNCTION((TRANSPOSE(ImportHTML("http://spending.data.al/sq/moneypower/view/id/325/year/2014",  "table", 2)))),"*Kategoria*")</f>
        <v>*Kategoria*</v>
      </c>
      <c r="C649" t="s">
        <v>2589</v>
      </c>
    </row>
    <row r="650" spans="1:3" ht="15">
      <c r="A650" s="7"/>
      <c r="B650" t="s">
        <v>686</v>
      </c>
    </row>
    <row r="651" spans="1:3" ht="15">
      <c r="A651" s="1">
        <v>326</v>
      </c>
      <c r="B651" t="str">
        <f ca="1">IFERROR(__xludf.DUMMYFUNCTION((TRANSPOSE(ImportHTML("http://spending.data.al/sq/moneypower/view/id/326/year/2014",  "table", 2)))),"*Kategoria*")</f>
        <v>*Kategoria*</v>
      </c>
      <c r="C651" t="s">
        <v>2589</v>
      </c>
    </row>
    <row r="652" spans="1:3" ht="15">
      <c r="A652" s="7"/>
      <c r="B652" t="s">
        <v>686</v>
      </c>
    </row>
    <row r="653" spans="1:3" ht="15">
      <c r="A653" s="1">
        <v>327</v>
      </c>
      <c r="B653" t="str">
        <f ca="1">IFERROR(__xludf.DUMMYFUNCTION((TRANSPOSE(ImportHTML("http://spending.data.al/sq/moneypower/view/id/327/year/2014",  "table", 2)))),"*Kategoria*")</f>
        <v>*Kategoria*</v>
      </c>
      <c r="C653" t="s">
        <v>2589</v>
      </c>
    </row>
    <row r="654" spans="1:3" ht="15.75" customHeight="1">
      <c r="B654" t="s">
        <v>686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7"/>
  <sheetViews>
    <sheetView topLeftCell="B52" workbookViewId="0">
      <selection activeCell="F57" sqref="F57"/>
    </sheetView>
  </sheetViews>
  <sheetFormatPr defaultColWidth="14.42578125" defaultRowHeight="15.75" customHeight="1"/>
  <sheetData>
    <row r="1" spans="2:16" ht="15.75" customHeight="1">
      <c r="C1" t="str">
        <f ca="1">IFERROR(__xludf.DUMMYFUNCTION(TRANSPOSE(ImportHTML("http://spending.data.al/sq/moneypower/view/id/1", "table", 0))),"*Kategoria*")</f>
        <v>*Kategoria*</v>
      </c>
      <c r="D1" t="s">
        <v>673</v>
      </c>
      <c r="E1" t="s">
        <v>674</v>
      </c>
      <c r="F1" t="s">
        <v>675</v>
      </c>
      <c r="G1" t="s">
        <v>676</v>
      </c>
      <c r="H1" t="s">
        <v>677</v>
      </c>
      <c r="I1" t="s">
        <v>678</v>
      </c>
      <c r="J1" t="s">
        <v>679</v>
      </c>
      <c r="K1" t="s">
        <v>680</v>
      </c>
      <c r="L1" t="s">
        <v>681</v>
      </c>
      <c r="M1" t="s">
        <v>682</v>
      </c>
      <c r="N1" t="s">
        <v>683</v>
      </c>
      <c r="O1" t="s">
        <v>684</v>
      </c>
      <c r="P1" t="s">
        <v>685</v>
      </c>
    </row>
    <row r="2" spans="2:16" ht="15">
      <c r="B2" s="1">
        <v>1</v>
      </c>
    </row>
    <row r="3" spans="2:16" ht="15">
      <c r="B3" s="7"/>
      <c r="C3" t="s">
        <v>686</v>
      </c>
      <c r="D3" t="s">
        <v>729</v>
      </c>
      <c r="E3" t="s">
        <v>688</v>
      </c>
      <c r="F3" t="s">
        <v>688</v>
      </c>
      <c r="G3" t="s">
        <v>688</v>
      </c>
      <c r="H3" t="s">
        <v>688</v>
      </c>
      <c r="I3" t="s">
        <v>688</v>
      </c>
      <c r="J3" t="s">
        <v>688</v>
      </c>
      <c r="K3" t="s">
        <v>730</v>
      </c>
      <c r="L3" t="s">
        <v>688</v>
      </c>
      <c r="M3" t="s">
        <v>731</v>
      </c>
      <c r="N3" t="s">
        <v>688</v>
      </c>
      <c r="P3" t="s">
        <v>732</v>
      </c>
    </row>
    <row r="4" spans="2:16" ht="15">
      <c r="B4" s="1">
        <v>2</v>
      </c>
      <c r="C4" t="str">
        <f ca="1">IFERROR(__xludf.DUMMYFUNCTION(TRANSPOSE(ImportHTML("http://spending.data.al/sq/moneypower/view/id/2", "table", 0))),"*Kategoria*")</f>
        <v>*Kategoria*</v>
      </c>
      <c r="D4" t="s">
        <v>673</v>
      </c>
      <c r="E4" t="s">
        <v>674</v>
      </c>
      <c r="F4" t="s">
        <v>675</v>
      </c>
      <c r="G4" t="s">
        <v>676</v>
      </c>
      <c r="H4" t="s">
        <v>677</v>
      </c>
      <c r="I4" t="s">
        <v>678</v>
      </c>
      <c r="J4" t="s">
        <v>679</v>
      </c>
      <c r="K4" t="s">
        <v>680</v>
      </c>
      <c r="L4" t="s">
        <v>681</v>
      </c>
      <c r="M4" t="s">
        <v>682</v>
      </c>
      <c r="N4" t="s">
        <v>683</v>
      </c>
      <c r="O4" t="s">
        <v>684</v>
      </c>
      <c r="P4" t="s">
        <v>685</v>
      </c>
    </row>
    <row r="5" spans="2:16" ht="15">
      <c r="B5" s="7"/>
      <c r="C5" t="s">
        <v>686</v>
      </c>
      <c r="D5" t="s">
        <v>733</v>
      </c>
      <c r="E5" t="s">
        <v>688</v>
      </c>
      <c r="F5" t="s">
        <v>734</v>
      </c>
      <c r="G5" t="s">
        <v>688</v>
      </c>
      <c r="H5" t="s">
        <v>688</v>
      </c>
      <c r="I5" t="s">
        <v>688</v>
      </c>
      <c r="J5" t="s">
        <v>688</v>
      </c>
      <c r="K5" t="s">
        <v>688</v>
      </c>
      <c r="L5" t="s">
        <v>688</v>
      </c>
      <c r="M5" t="s">
        <v>735</v>
      </c>
      <c r="N5" t="s">
        <v>688</v>
      </c>
      <c r="P5" t="s">
        <v>736</v>
      </c>
    </row>
    <row r="6" spans="2:16" ht="15">
      <c r="B6" s="1">
        <v>3</v>
      </c>
      <c r="C6" t="str">
        <f ca="1">IFERROR(__xludf.DUMMYFUNCTION(TRANSPOSE(ImportHTML("http://spending.data.al/sq/moneypower/view/id/3", "table", 0))),"*Kategoria*")</f>
        <v>*Kategoria*</v>
      </c>
      <c r="D6" t="s">
        <v>673</v>
      </c>
      <c r="E6" t="s">
        <v>674</v>
      </c>
      <c r="F6" t="s">
        <v>675</v>
      </c>
      <c r="G6" t="s">
        <v>676</v>
      </c>
      <c r="H6" t="s">
        <v>677</v>
      </c>
      <c r="I6" t="s">
        <v>678</v>
      </c>
      <c r="J6" t="s">
        <v>679</v>
      </c>
      <c r="K6" t="s">
        <v>680</v>
      </c>
      <c r="L6" t="s">
        <v>681</v>
      </c>
      <c r="M6" t="s">
        <v>682</v>
      </c>
      <c r="N6" t="s">
        <v>683</v>
      </c>
      <c r="O6" t="s">
        <v>684</v>
      </c>
      <c r="P6" t="s">
        <v>685</v>
      </c>
    </row>
    <row r="7" spans="2:16" ht="15">
      <c r="B7" s="7"/>
      <c r="C7" t="s">
        <v>686</v>
      </c>
      <c r="D7" t="s">
        <v>737</v>
      </c>
      <c r="E7" t="s">
        <v>688</v>
      </c>
      <c r="F7" t="s">
        <v>688</v>
      </c>
      <c r="G7" t="s">
        <v>738</v>
      </c>
      <c r="H7" t="s">
        <v>688</v>
      </c>
      <c r="I7" t="s">
        <v>688</v>
      </c>
      <c r="J7" t="s">
        <v>688</v>
      </c>
      <c r="K7" t="s">
        <v>688</v>
      </c>
      <c r="L7" t="s">
        <v>688</v>
      </c>
      <c r="M7" t="s">
        <v>739</v>
      </c>
      <c r="N7" t="s">
        <v>740</v>
      </c>
      <c r="P7" t="s">
        <v>688</v>
      </c>
    </row>
    <row r="8" spans="2:16" ht="15">
      <c r="B8" s="1">
        <v>4</v>
      </c>
      <c r="C8" t="str">
        <f ca="1">IFERROR(__xludf.DUMMYFUNCTION(TRANSPOSE(ImportHTML("http://spending.data.al/sq/moneypower/view/id/4", "table", 0))),"*Kategoria*")</f>
        <v>*Kategoria*</v>
      </c>
      <c r="D8" t="s">
        <v>673</v>
      </c>
      <c r="E8" t="s">
        <v>674</v>
      </c>
      <c r="F8" t="s">
        <v>675</v>
      </c>
      <c r="G8" t="s">
        <v>676</v>
      </c>
      <c r="H8" t="s">
        <v>677</v>
      </c>
      <c r="I8" t="s">
        <v>678</v>
      </c>
      <c r="J8" t="s">
        <v>679</v>
      </c>
      <c r="K8" t="s">
        <v>680</v>
      </c>
      <c r="L8" t="s">
        <v>681</v>
      </c>
      <c r="M8" t="s">
        <v>682</v>
      </c>
      <c r="N8" t="s">
        <v>683</v>
      </c>
      <c r="O8" t="s">
        <v>684</v>
      </c>
      <c r="P8" t="s">
        <v>685</v>
      </c>
    </row>
    <row r="9" spans="2:16" ht="15">
      <c r="B9" s="7"/>
      <c r="C9" t="s">
        <v>686</v>
      </c>
      <c r="D9" t="s">
        <v>741</v>
      </c>
      <c r="E9" t="s">
        <v>688</v>
      </c>
      <c r="F9" t="s">
        <v>688</v>
      </c>
      <c r="G9" t="s">
        <v>742</v>
      </c>
      <c r="H9" t="s">
        <v>688</v>
      </c>
      <c r="I9" t="s">
        <v>688</v>
      </c>
      <c r="J9" t="s">
        <v>688</v>
      </c>
      <c r="K9" t="s">
        <v>688</v>
      </c>
      <c r="L9" t="s">
        <v>688</v>
      </c>
      <c r="M9" t="s">
        <v>743</v>
      </c>
      <c r="N9" t="s">
        <v>744</v>
      </c>
      <c r="P9" t="s">
        <v>745</v>
      </c>
    </row>
    <row r="10" spans="2:16" ht="15">
      <c r="B10" s="1">
        <v>5</v>
      </c>
      <c r="C10" t="str">
        <f ca="1">IFERROR(__xludf.DUMMYFUNCTION(TRANSPOSE(ImportHTML("http://spending.data.al/sq/moneypower/view/id/5", "table", 0))),"*Kategoria*")</f>
        <v>*Kategoria*</v>
      </c>
      <c r="D10" t="s">
        <v>673</v>
      </c>
      <c r="E10" t="s">
        <v>674</v>
      </c>
      <c r="F10" t="s">
        <v>675</v>
      </c>
      <c r="G10" t="s">
        <v>676</v>
      </c>
      <c r="H10" t="s">
        <v>677</v>
      </c>
      <c r="I10" t="s">
        <v>678</v>
      </c>
      <c r="J10" t="s">
        <v>679</v>
      </c>
      <c r="K10" t="s">
        <v>680</v>
      </c>
      <c r="L10" t="s">
        <v>681</v>
      </c>
      <c r="M10" t="s">
        <v>682</v>
      </c>
      <c r="N10" t="s">
        <v>683</v>
      </c>
      <c r="O10" t="s">
        <v>684</v>
      </c>
      <c r="P10" t="s">
        <v>685</v>
      </c>
    </row>
    <row r="11" spans="2:16" ht="15">
      <c r="B11" s="7"/>
      <c r="C11" t="s">
        <v>686</v>
      </c>
      <c r="D11" t="s">
        <v>746</v>
      </c>
      <c r="E11" t="s">
        <v>688</v>
      </c>
      <c r="F11" t="s">
        <v>688</v>
      </c>
      <c r="G11" t="s">
        <v>688</v>
      </c>
      <c r="H11" t="s">
        <v>688</v>
      </c>
      <c r="I11" t="s">
        <v>688</v>
      </c>
      <c r="J11" t="s">
        <v>688</v>
      </c>
      <c r="K11" t="s">
        <v>688</v>
      </c>
      <c r="L11" t="s">
        <v>688</v>
      </c>
      <c r="M11" t="s">
        <v>747</v>
      </c>
      <c r="N11" t="s">
        <v>688</v>
      </c>
      <c r="P11" t="s">
        <v>748</v>
      </c>
    </row>
    <row r="12" spans="2:16" ht="15">
      <c r="B12" s="1">
        <v>6</v>
      </c>
      <c r="C12" t="str">
        <f ca="1">IFERROR(__xludf.DUMMYFUNCTION(TRANSPOSE(ImportHTML("http://spending.data.al/sq/moneypower/view/id/6", "table", 0))),"*Kategoria*")</f>
        <v>*Kategoria*</v>
      </c>
      <c r="D12" t="s">
        <v>673</v>
      </c>
      <c r="E12" t="s">
        <v>674</v>
      </c>
      <c r="F12" t="s">
        <v>675</v>
      </c>
      <c r="G12" t="s">
        <v>676</v>
      </c>
      <c r="H12" t="s">
        <v>677</v>
      </c>
      <c r="I12" t="s">
        <v>678</v>
      </c>
      <c r="J12" t="s">
        <v>679</v>
      </c>
      <c r="K12" t="s">
        <v>680</v>
      </c>
      <c r="L12" t="s">
        <v>681</v>
      </c>
      <c r="M12" t="s">
        <v>682</v>
      </c>
      <c r="N12" t="s">
        <v>683</v>
      </c>
      <c r="O12" t="s">
        <v>684</v>
      </c>
      <c r="P12" t="s">
        <v>685</v>
      </c>
    </row>
    <row r="13" spans="2:16" ht="15">
      <c r="B13" s="7"/>
      <c r="C13" t="s">
        <v>686</v>
      </c>
      <c r="D13" t="s">
        <v>749</v>
      </c>
      <c r="E13" t="s">
        <v>750</v>
      </c>
      <c r="F13" t="s">
        <v>751</v>
      </c>
      <c r="G13" t="s">
        <v>688</v>
      </c>
      <c r="H13" t="s">
        <v>752</v>
      </c>
      <c r="I13" t="s">
        <v>688</v>
      </c>
      <c r="J13" t="s">
        <v>688</v>
      </c>
      <c r="K13" t="s">
        <v>688</v>
      </c>
      <c r="L13" t="s">
        <v>688</v>
      </c>
      <c r="M13" t="s">
        <v>688</v>
      </c>
      <c r="N13" t="s">
        <v>688</v>
      </c>
      <c r="P13" t="s">
        <v>753</v>
      </c>
    </row>
    <row r="14" spans="2:16" ht="15">
      <c r="B14" s="1">
        <v>7</v>
      </c>
      <c r="C14" t="str">
        <f ca="1">IFERROR(__xludf.DUMMYFUNCTION(TRANSPOSE(ImportHTML("http://spending.data.al/sq/moneypower/view/id/7", "table", 0))),"*Kategoria*")</f>
        <v>*Kategoria*</v>
      </c>
      <c r="D14" t="s">
        <v>673</v>
      </c>
      <c r="E14" t="s">
        <v>674</v>
      </c>
      <c r="F14" t="s">
        <v>675</v>
      </c>
      <c r="G14" t="s">
        <v>676</v>
      </c>
      <c r="H14" t="s">
        <v>677</v>
      </c>
      <c r="I14" t="s">
        <v>678</v>
      </c>
      <c r="J14" t="s">
        <v>679</v>
      </c>
      <c r="K14" t="s">
        <v>680</v>
      </c>
      <c r="L14" t="s">
        <v>681</v>
      </c>
      <c r="M14" t="s">
        <v>682</v>
      </c>
      <c r="N14" t="s">
        <v>683</v>
      </c>
      <c r="O14" t="s">
        <v>684</v>
      </c>
      <c r="P14" t="s">
        <v>685</v>
      </c>
    </row>
    <row r="15" spans="2:16" ht="15">
      <c r="B15" s="7"/>
      <c r="C15" t="s">
        <v>686</v>
      </c>
      <c r="D15" t="s">
        <v>754</v>
      </c>
      <c r="E15" t="s">
        <v>688</v>
      </c>
      <c r="F15" t="s">
        <v>688</v>
      </c>
      <c r="G15" t="s">
        <v>688</v>
      </c>
      <c r="H15" t="s">
        <v>688</v>
      </c>
      <c r="I15" t="s">
        <v>688</v>
      </c>
      <c r="J15" t="s">
        <v>688</v>
      </c>
      <c r="K15" t="s">
        <v>688</v>
      </c>
      <c r="L15" t="s">
        <v>688</v>
      </c>
      <c r="M15" t="s">
        <v>755</v>
      </c>
      <c r="N15" t="s">
        <v>688</v>
      </c>
      <c r="P15" t="s">
        <v>756</v>
      </c>
    </row>
    <row r="16" spans="2:16" ht="15">
      <c r="B16" s="1">
        <v>8</v>
      </c>
      <c r="C16" t="str">
        <f ca="1">IFERROR(__xludf.DUMMYFUNCTION(TRANSPOSE(ImportHTML("http://spending.data.al/sq/moneypower/view/id/8", "table", 0))),"*Kategoria*")</f>
        <v>*Kategoria*</v>
      </c>
      <c r="D16" t="s">
        <v>673</v>
      </c>
      <c r="E16" t="s">
        <v>674</v>
      </c>
      <c r="F16" t="s">
        <v>675</v>
      </c>
      <c r="G16" t="s">
        <v>676</v>
      </c>
      <c r="H16" t="s">
        <v>677</v>
      </c>
      <c r="I16" t="s">
        <v>678</v>
      </c>
      <c r="J16" t="s">
        <v>679</v>
      </c>
      <c r="K16" t="s">
        <v>680</v>
      </c>
      <c r="L16" t="s">
        <v>681</v>
      </c>
      <c r="M16" t="s">
        <v>682</v>
      </c>
      <c r="N16" t="s">
        <v>683</v>
      </c>
      <c r="O16" t="s">
        <v>684</v>
      </c>
      <c r="P16" t="s">
        <v>685</v>
      </c>
    </row>
    <row r="17" spans="2:16" ht="15">
      <c r="B17" s="7"/>
      <c r="C17" t="s">
        <v>686</v>
      </c>
      <c r="D17" t="s">
        <v>757</v>
      </c>
      <c r="E17" t="s">
        <v>688</v>
      </c>
      <c r="F17" t="s">
        <v>758</v>
      </c>
      <c r="G17" t="s">
        <v>688</v>
      </c>
      <c r="H17" t="s">
        <v>688</v>
      </c>
      <c r="I17" t="s">
        <v>688</v>
      </c>
      <c r="J17" t="s">
        <v>688</v>
      </c>
      <c r="K17" t="s">
        <v>688</v>
      </c>
      <c r="L17" t="s">
        <v>688</v>
      </c>
      <c r="M17" t="s">
        <v>759</v>
      </c>
      <c r="N17" t="s">
        <v>688</v>
      </c>
      <c r="P17" t="s">
        <v>760</v>
      </c>
    </row>
    <row r="18" spans="2:16" ht="15">
      <c r="B18" s="1">
        <v>9</v>
      </c>
      <c r="C18" t="str">
        <f ca="1">IFERROR(__xludf.DUMMYFUNCTION(TRANSPOSE(ImportHTML("http://spending.data.al/sq/moneypower/view/id/9", "table", 0))),"*Kategoria*")</f>
        <v>*Kategoria*</v>
      </c>
      <c r="D18" t="s">
        <v>673</v>
      </c>
      <c r="E18" t="s">
        <v>674</v>
      </c>
      <c r="F18" t="s">
        <v>675</v>
      </c>
      <c r="G18" t="s">
        <v>676</v>
      </c>
      <c r="H18" t="s">
        <v>677</v>
      </c>
      <c r="I18" t="s">
        <v>678</v>
      </c>
      <c r="J18" t="s">
        <v>679</v>
      </c>
      <c r="K18" t="s">
        <v>680</v>
      </c>
      <c r="L18" t="s">
        <v>681</v>
      </c>
      <c r="M18" t="s">
        <v>682</v>
      </c>
      <c r="N18" t="s">
        <v>683</v>
      </c>
      <c r="O18" t="s">
        <v>684</v>
      </c>
      <c r="P18" t="s">
        <v>685</v>
      </c>
    </row>
    <row r="19" spans="2:16" ht="15">
      <c r="B19" s="7"/>
      <c r="C19" t="s">
        <v>686</v>
      </c>
      <c r="D19" t="s">
        <v>761</v>
      </c>
      <c r="E19" t="s">
        <v>688</v>
      </c>
      <c r="F19" t="s">
        <v>688</v>
      </c>
      <c r="G19" t="s">
        <v>688</v>
      </c>
      <c r="H19" t="s">
        <v>688</v>
      </c>
      <c r="I19" t="s">
        <v>688</v>
      </c>
      <c r="J19" t="s">
        <v>688</v>
      </c>
      <c r="K19" t="s">
        <v>688</v>
      </c>
      <c r="L19" t="s">
        <v>688</v>
      </c>
      <c r="M19" t="s">
        <v>762</v>
      </c>
      <c r="N19" t="s">
        <v>688</v>
      </c>
      <c r="P19" t="s">
        <v>763</v>
      </c>
    </row>
    <row r="20" spans="2:16" ht="15">
      <c r="B20" s="1">
        <v>10</v>
      </c>
      <c r="C20" t="str">
        <f ca="1">IFERROR(__xludf.DUMMYFUNCTION(TRANSPOSE(ImportHTML("http://spending.data.al/sq/moneypower/view/id/10", "table", 0))),"*Kategoria*")</f>
        <v>*Kategoria*</v>
      </c>
      <c r="D20" t="s">
        <v>673</v>
      </c>
      <c r="E20" t="s">
        <v>674</v>
      </c>
      <c r="F20" t="s">
        <v>675</v>
      </c>
      <c r="G20" t="s">
        <v>676</v>
      </c>
      <c r="H20" t="s">
        <v>677</v>
      </c>
      <c r="I20" t="s">
        <v>678</v>
      </c>
      <c r="J20" t="s">
        <v>679</v>
      </c>
      <c r="K20" t="s">
        <v>680</v>
      </c>
      <c r="L20" t="s">
        <v>681</v>
      </c>
      <c r="M20" t="s">
        <v>682</v>
      </c>
      <c r="N20" t="s">
        <v>683</v>
      </c>
      <c r="O20" t="s">
        <v>684</v>
      </c>
      <c r="P20" t="s">
        <v>685</v>
      </c>
    </row>
    <row r="21" spans="2:16" ht="15">
      <c r="B21" s="7"/>
      <c r="C21" t="s">
        <v>686</v>
      </c>
      <c r="D21" t="s">
        <v>764</v>
      </c>
      <c r="E21" t="s">
        <v>688</v>
      </c>
      <c r="F21" t="s">
        <v>765</v>
      </c>
      <c r="G21" t="s">
        <v>688</v>
      </c>
      <c r="H21" t="s">
        <v>766</v>
      </c>
      <c r="I21" t="s">
        <v>688</v>
      </c>
      <c r="J21" t="s">
        <v>767</v>
      </c>
      <c r="K21" t="s">
        <v>688</v>
      </c>
      <c r="L21" t="s">
        <v>688</v>
      </c>
      <c r="M21" t="s">
        <v>768</v>
      </c>
      <c r="N21" t="s">
        <v>688</v>
      </c>
      <c r="P21" t="s">
        <v>769</v>
      </c>
    </row>
    <row r="22" spans="2:16" ht="15">
      <c r="B22" s="1">
        <v>11</v>
      </c>
      <c r="C22" t="str">
        <f ca="1">IFERROR(__xludf.DUMMYFUNCTION(TRANSPOSE(ImportHTML("http://spending.data.al/sq/moneypower/view/id/11", "table", 0))),"*Kategoria*")</f>
        <v>*Kategoria*</v>
      </c>
      <c r="D22" t="s">
        <v>673</v>
      </c>
      <c r="E22" t="s">
        <v>674</v>
      </c>
      <c r="F22" t="s">
        <v>675</v>
      </c>
      <c r="G22" t="s">
        <v>676</v>
      </c>
      <c r="H22" t="s">
        <v>677</v>
      </c>
      <c r="I22" t="s">
        <v>678</v>
      </c>
      <c r="J22" t="s">
        <v>679</v>
      </c>
      <c r="K22" t="s">
        <v>680</v>
      </c>
      <c r="L22" t="s">
        <v>681</v>
      </c>
      <c r="M22" t="s">
        <v>682</v>
      </c>
      <c r="N22" t="s">
        <v>683</v>
      </c>
      <c r="O22" t="s">
        <v>684</v>
      </c>
      <c r="P22" t="s">
        <v>685</v>
      </c>
    </row>
    <row r="23" spans="2:16" ht="15">
      <c r="B23" s="7"/>
      <c r="C23" t="s">
        <v>686</v>
      </c>
      <c r="D23" t="s">
        <v>770</v>
      </c>
      <c r="E23" t="s">
        <v>688</v>
      </c>
      <c r="F23" t="s">
        <v>771</v>
      </c>
      <c r="G23" t="s">
        <v>688</v>
      </c>
      <c r="H23" t="s">
        <v>688</v>
      </c>
      <c r="I23" t="s">
        <v>688</v>
      </c>
      <c r="J23" t="s">
        <v>688</v>
      </c>
      <c r="K23" t="s">
        <v>688</v>
      </c>
      <c r="L23" t="s">
        <v>688</v>
      </c>
      <c r="M23" t="s">
        <v>772</v>
      </c>
      <c r="N23" t="s">
        <v>688</v>
      </c>
      <c r="P23" t="s">
        <v>773</v>
      </c>
    </row>
    <row r="24" spans="2:16" ht="15">
      <c r="B24" s="1">
        <v>12</v>
      </c>
      <c r="C24" t="str">
        <f ca="1">IFERROR(__xludf.DUMMYFUNCTION(TRANSPOSE(ImportHTML("http://spending.data.al/sq/moneypower/view/id/12", "table", 0))),"*Kategoria*")</f>
        <v>*Kategoria*</v>
      </c>
      <c r="D24" t="s">
        <v>673</v>
      </c>
      <c r="E24" t="s">
        <v>674</v>
      </c>
      <c r="F24" t="s">
        <v>675</v>
      </c>
      <c r="G24" t="s">
        <v>676</v>
      </c>
      <c r="H24" t="s">
        <v>677</v>
      </c>
      <c r="I24" t="s">
        <v>678</v>
      </c>
      <c r="J24" t="s">
        <v>679</v>
      </c>
      <c r="K24" t="s">
        <v>680</v>
      </c>
      <c r="L24" t="s">
        <v>681</v>
      </c>
      <c r="M24" t="s">
        <v>682</v>
      </c>
      <c r="N24" t="s">
        <v>683</v>
      </c>
      <c r="O24" t="s">
        <v>684</v>
      </c>
      <c r="P24" t="s">
        <v>685</v>
      </c>
    </row>
    <row r="25" spans="2:16" ht="15">
      <c r="B25" s="7"/>
      <c r="C25" t="s">
        <v>686</v>
      </c>
      <c r="D25" t="s">
        <v>774</v>
      </c>
      <c r="E25" t="s">
        <v>688</v>
      </c>
      <c r="F25" t="s">
        <v>688</v>
      </c>
      <c r="G25" t="s">
        <v>688</v>
      </c>
      <c r="H25" t="s">
        <v>775</v>
      </c>
      <c r="I25" t="s">
        <v>688</v>
      </c>
      <c r="J25" t="s">
        <v>688</v>
      </c>
      <c r="K25" t="s">
        <v>688</v>
      </c>
      <c r="L25" t="s">
        <v>688</v>
      </c>
      <c r="M25" t="s">
        <v>776</v>
      </c>
      <c r="N25" t="s">
        <v>688</v>
      </c>
      <c r="P25" t="s">
        <v>777</v>
      </c>
    </row>
    <row r="26" spans="2:16" ht="15">
      <c r="B26" s="1">
        <v>13</v>
      </c>
      <c r="C26" t="str">
        <f ca="1">IFERROR(__xludf.DUMMYFUNCTION(TRANSPOSE(ImportHTML("http://spending.data.al/sq/moneypower/view/id/13", "table", 0))),"*Kategoria*")</f>
        <v>*Kategoria*</v>
      </c>
      <c r="D26" t="s">
        <v>673</v>
      </c>
      <c r="E26" t="s">
        <v>674</v>
      </c>
      <c r="F26" t="s">
        <v>675</v>
      </c>
      <c r="G26" t="s">
        <v>676</v>
      </c>
      <c r="H26" t="s">
        <v>677</v>
      </c>
      <c r="I26" t="s">
        <v>678</v>
      </c>
      <c r="J26" t="s">
        <v>679</v>
      </c>
      <c r="K26" t="s">
        <v>680</v>
      </c>
      <c r="L26" t="s">
        <v>681</v>
      </c>
      <c r="M26" t="s">
        <v>682</v>
      </c>
      <c r="N26" t="s">
        <v>683</v>
      </c>
      <c r="O26" t="s">
        <v>684</v>
      </c>
      <c r="P26" t="s">
        <v>685</v>
      </c>
    </row>
    <row r="27" spans="2:16" ht="15">
      <c r="B27" s="7"/>
      <c r="C27" t="s">
        <v>686</v>
      </c>
      <c r="D27" t="s">
        <v>778</v>
      </c>
      <c r="E27" t="s">
        <v>688</v>
      </c>
      <c r="F27" t="s">
        <v>779</v>
      </c>
      <c r="G27" t="s">
        <v>688</v>
      </c>
      <c r="H27" t="s">
        <v>688</v>
      </c>
      <c r="I27" t="s">
        <v>688</v>
      </c>
      <c r="J27" t="s">
        <v>688</v>
      </c>
      <c r="K27" t="s">
        <v>688</v>
      </c>
      <c r="L27" t="s">
        <v>688</v>
      </c>
      <c r="M27" t="s">
        <v>780</v>
      </c>
      <c r="N27" t="s">
        <v>688</v>
      </c>
      <c r="P27" t="s">
        <v>781</v>
      </c>
    </row>
    <row r="28" spans="2:16" ht="15">
      <c r="B28" s="1">
        <v>14</v>
      </c>
      <c r="C28" t="str">
        <f ca="1">IFERROR(__xludf.DUMMYFUNCTION(TRANSPOSE(ImportHTML("http://spending.data.al/sq/moneypower/view/id/14", "table", 0))),"*Kategoria*")</f>
        <v>*Kategoria*</v>
      </c>
      <c r="D28" t="s">
        <v>673</v>
      </c>
      <c r="E28" t="s">
        <v>674</v>
      </c>
      <c r="F28" t="s">
        <v>675</v>
      </c>
      <c r="G28" t="s">
        <v>676</v>
      </c>
      <c r="H28" t="s">
        <v>677</v>
      </c>
      <c r="I28" t="s">
        <v>678</v>
      </c>
      <c r="J28" t="s">
        <v>679</v>
      </c>
      <c r="K28" t="s">
        <v>680</v>
      </c>
      <c r="L28" t="s">
        <v>681</v>
      </c>
      <c r="M28" t="s">
        <v>682</v>
      </c>
      <c r="N28" t="s">
        <v>683</v>
      </c>
      <c r="O28" t="s">
        <v>684</v>
      </c>
      <c r="P28" t="s">
        <v>685</v>
      </c>
    </row>
    <row r="29" spans="2:16" ht="15">
      <c r="B29" s="7"/>
      <c r="C29" t="s">
        <v>686</v>
      </c>
      <c r="D29" t="s">
        <v>782</v>
      </c>
      <c r="E29" t="s">
        <v>688</v>
      </c>
      <c r="F29" t="s">
        <v>688</v>
      </c>
      <c r="G29" t="s">
        <v>688</v>
      </c>
      <c r="H29" t="s">
        <v>783</v>
      </c>
      <c r="I29" t="s">
        <v>784</v>
      </c>
      <c r="J29" t="s">
        <v>688</v>
      </c>
      <c r="K29" t="s">
        <v>688</v>
      </c>
      <c r="L29" t="s">
        <v>688</v>
      </c>
      <c r="M29" t="s">
        <v>785</v>
      </c>
      <c r="N29" t="s">
        <v>688</v>
      </c>
      <c r="P29" t="s">
        <v>786</v>
      </c>
    </row>
    <row r="30" spans="2:16" ht="15">
      <c r="B30" s="1">
        <v>15</v>
      </c>
      <c r="C30" t="str">
        <f ca="1">IFERROR(__xludf.DUMMYFUNCTION(TRANSPOSE(ImportHTML("http://spending.data.al/sq/moneypower/view/id/15", "table", 0))),"*Kategoria*")</f>
        <v>*Kategoria*</v>
      </c>
      <c r="D30" t="s">
        <v>673</v>
      </c>
      <c r="E30" t="s">
        <v>674</v>
      </c>
      <c r="F30" t="s">
        <v>675</v>
      </c>
      <c r="G30" t="s">
        <v>676</v>
      </c>
      <c r="H30" t="s">
        <v>677</v>
      </c>
      <c r="I30" t="s">
        <v>678</v>
      </c>
      <c r="J30" t="s">
        <v>679</v>
      </c>
      <c r="K30" t="s">
        <v>680</v>
      </c>
      <c r="L30" t="s">
        <v>681</v>
      </c>
      <c r="M30" t="s">
        <v>682</v>
      </c>
      <c r="N30" t="s">
        <v>683</v>
      </c>
      <c r="O30" t="s">
        <v>684</v>
      </c>
      <c r="P30" t="s">
        <v>685</v>
      </c>
    </row>
    <row r="31" spans="2:16" ht="15">
      <c r="B31" s="7"/>
      <c r="C31" t="s">
        <v>686</v>
      </c>
      <c r="D31" t="s">
        <v>787</v>
      </c>
      <c r="E31" t="s">
        <v>688</v>
      </c>
      <c r="F31" t="s">
        <v>688</v>
      </c>
      <c r="G31" t="s">
        <v>688</v>
      </c>
      <c r="H31" t="s">
        <v>688</v>
      </c>
      <c r="I31" t="s">
        <v>688</v>
      </c>
      <c r="J31" t="s">
        <v>688</v>
      </c>
      <c r="K31" t="s">
        <v>688</v>
      </c>
      <c r="L31" t="s">
        <v>688</v>
      </c>
      <c r="M31" t="s">
        <v>788</v>
      </c>
      <c r="N31" t="s">
        <v>789</v>
      </c>
      <c r="P31" t="s">
        <v>790</v>
      </c>
    </row>
    <row r="32" spans="2:16" ht="15">
      <c r="B32" s="1">
        <v>16</v>
      </c>
      <c r="C32" t="str">
        <f ca="1">IFERROR(__xludf.DUMMYFUNCTION(TRANSPOSE(ImportHTML("http://spending.data.al/sq/moneypower/view/id/16", "table", 0))),"*Kategoria*")</f>
        <v>*Kategoria*</v>
      </c>
      <c r="D32" t="s">
        <v>673</v>
      </c>
      <c r="E32" t="s">
        <v>674</v>
      </c>
      <c r="F32" t="s">
        <v>675</v>
      </c>
      <c r="G32" t="s">
        <v>676</v>
      </c>
      <c r="H32" t="s">
        <v>677</v>
      </c>
      <c r="I32" t="s">
        <v>678</v>
      </c>
      <c r="J32" t="s">
        <v>679</v>
      </c>
      <c r="K32" t="s">
        <v>680</v>
      </c>
      <c r="L32" t="s">
        <v>681</v>
      </c>
      <c r="M32" t="s">
        <v>682</v>
      </c>
      <c r="N32" t="s">
        <v>683</v>
      </c>
      <c r="O32" t="s">
        <v>684</v>
      </c>
      <c r="P32" t="s">
        <v>685</v>
      </c>
    </row>
    <row r="33" spans="2:16" ht="15">
      <c r="B33" s="7"/>
      <c r="C33" t="s">
        <v>686</v>
      </c>
      <c r="D33" t="s">
        <v>791</v>
      </c>
      <c r="E33" t="s">
        <v>792</v>
      </c>
      <c r="F33" t="s">
        <v>688</v>
      </c>
      <c r="G33" t="s">
        <v>793</v>
      </c>
      <c r="H33" t="s">
        <v>794</v>
      </c>
      <c r="I33" t="s">
        <v>688</v>
      </c>
      <c r="J33" t="s">
        <v>688</v>
      </c>
      <c r="K33" t="s">
        <v>688</v>
      </c>
      <c r="L33" t="s">
        <v>688</v>
      </c>
      <c r="M33" t="s">
        <v>795</v>
      </c>
      <c r="N33" t="s">
        <v>688</v>
      </c>
      <c r="P33" t="s">
        <v>796</v>
      </c>
    </row>
    <row r="34" spans="2:16" ht="15">
      <c r="B34" s="1">
        <v>17</v>
      </c>
      <c r="C34" t="str">
        <f ca="1">IFERROR(__xludf.DUMMYFUNCTION(TRANSPOSE(ImportHTML("http://spending.data.al/sq/moneypower/view/id/17", "table", 0))),"*Kategoria*")</f>
        <v>*Kategoria*</v>
      </c>
      <c r="D34" t="s">
        <v>673</v>
      </c>
      <c r="E34" t="s">
        <v>674</v>
      </c>
      <c r="F34" t="s">
        <v>675</v>
      </c>
      <c r="G34" t="s">
        <v>676</v>
      </c>
      <c r="H34" t="s">
        <v>677</v>
      </c>
      <c r="I34" t="s">
        <v>678</v>
      </c>
      <c r="J34" t="s">
        <v>679</v>
      </c>
      <c r="K34" t="s">
        <v>680</v>
      </c>
      <c r="L34" t="s">
        <v>681</v>
      </c>
      <c r="M34" t="s">
        <v>682</v>
      </c>
      <c r="N34" t="s">
        <v>683</v>
      </c>
      <c r="O34" t="s">
        <v>684</v>
      </c>
      <c r="P34" t="s">
        <v>685</v>
      </c>
    </row>
    <row r="35" spans="2:16" ht="15">
      <c r="B35" s="7"/>
      <c r="C35" t="s">
        <v>686</v>
      </c>
      <c r="D35" t="s">
        <v>797</v>
      </c>
      <c r="E35" t="s">
        <v>688</v>
      </c>
      <c r="F35" t="s">
        <v>798</v>
      </c>
      <c r="G35" t="s">
        <v>688</v>
      </c>
      <c r="H35" t="s">
        <v>688</v>
      </c>
      <c r="I35" t="s">
        <v>688</v>
      </c>
      <c r="J35" t="s">
        <v>688</v>
      </c>
      <c r="K35" t="s">
        <v>688</v>
      </c>
      <c r="L35" t="s">
        <v>688</v>
      </c>
      <c r="M35" t="s">
        <v>799</v>
      </c>
      <c r="N35" t="s">
        <v>688</v>
      </c>
      <c r="P35" t="s">
        <v>800</v>
      </c>
    </row>
    <row r="36" spans="2:16" ht="15">
      <c r="B36" s="1">
        <v>18</v>
      </c>
      <c r="C36" t="str">
        <f ca="1">IFERROR(__xludf.DUMMYFUNCTION(TRANSPOSE(ImportHTML("http://spending.data.al/sq/moneypower/view/id/18", "table", 0))),"*Kategoria*")</f>
        <v>*Kategoria*</v>
      </c>
      <c r="D36" t="s">
        <v>673</v>
      </c>
      <c r="E36" t="s">
        <v>674</v>
      </c>
      <c r="F36" t="s">
        <v>675</v>
      </c>
      <c r="G36" t="s">
        <v>676</v>
      </c>
      <c r="H36" t="s">
        <v>677</v>
      </c>
      <c r="I36" t="s">
        <v>678</v>
      </c>
      <c r="J36" t="s">
        <v>679</v>
      </c>
      <c r="K36" t="s">
        <v>680</v>
      </c>
      <c r="L36" t="s">
        <v>681</v>
      </c>
      <c r="M36" t="s">
        <v>682</v>
      </c>
      <c r="N36" t="s">
        <v>683</v>
      </c>
      <c r="O36" t="s">
        <v>684</v>
      </c>
      <c r="P36" t="s">
        <v>685</v>
      </c>
    </row>
    <row r="37" spans="2:16" ht="15">
      <c r="B37" s="7"/>
      <c r="C37" t="s">
        <v>686</v>
      </c>
      <c r="D37" t="s">
        <v>801</v>
      </c>
      <c r="E37" t="s">
        <v>688</v>
      </c>
      <c r="F37" t="s">
        <v>802</v>
      </c>
      <c r="G37" t="s">
        <v>803</v>
      </c>
      <c r="H37" t="s">
        <v>688</v>
      </c>
      <c r="I37" t="s">
        <v>688</v>
      </c>
      <c r="J37" t="s">
        <v>688</v>
      </c>
      <c r="K37" t="s">
        <v>688</v>
      </c>
      <c r="L37" t="s">
        <v>688</v>
      </c>
      <c r="M37" t="s">
        <v>804</v>
      </c>
      <c r="N37" t="s">
        <v>688</v>
      </c>
      <c r="P37" t="s">
        <v>805</v>
      </c>
    </row>
    <row r="38" spans="2:16" ht="15">
      <c r="B38" s="1">
        <v>19</v>
      </c>
      <c r="C38" t="str">
        <f ca="1">IFERROR(__xludf.DUMMYFUNCTION(TRANSPOSE(ImportHTML("http://spending.data.al/sq/moneypower/view/id/19", "table", 0))),"*Kategoria*")</f>
        <v>*Kategoria*</v>
      </c>
      <c r="D38" t="s">
        <v>673</v>
      </c>
      <c r="E38" t="s">
        <v>674</v>
      </c>
      <c r="F38" t="s">
        <v>675</v>
      </c>
      <c r="G38" t="s">
        <v>676</v>
      </c>
      <c r="H38" t="s">
        <v>677</v>
      </c>
      <c r="I38" t="s">
        <v>678</v>
      </c>
      <c r="J38" t="s">
        <v>679</v>
      </c>
      <c r="K38" t="s">
        <v>680</v>
      </c>
      <c r="L38" t="s">
        <v>681</v>
      </c>
      <c r="M38" t="s">
        <v>682</v>
      </c>
      <c r="N38" t="s">
        <v>683</v>
      </c>
      <c r="O38" t="s">
        <v>684</v>
      </c>
      <c r="P38" t="s">
        <v>685</v>
      </c>
    </row>
    <row r="39" spans="2:16" ht="15">
      <c r="B39" s="7"/>
      <c r="C39" t="s">
        <v>686</v>
      </c>
      <c r="D39" t="s">
        <v>806</v>
      </c>
      <c r="E39" t="s">
        <v>688</v>
      </c>
      <c r="F39" t="s">
        <v>807</v>
      </c>
      <c r="G39" t="s">
        <v>688</v>
      </c>
      <c r="H39" t="s">
        <v>688</v>
      </c>
      <c r="I39" t="s">
        <v>688</v>
      </c>
      <c r="J39" t="s">
        <v>688</v>
      </c>
      <c r="K39" t="s">
        <v>688</v>
      </c>
      <c r="L39" t="s">
        <v>688</v>
      </c>
      <c r="M39" t="s">
        <v>808</v>
      </c>
      <c r="N39" t="s">
        <v>688</v>
      </c>
      <c r="P39" t="s">
        <v>809</v>
      </c>
    </row>
    <row r="40" spans="2:16" ht="15">
      <c r="B40" s="1">
        <v>20</v>
      </c>
      <c r="C40" t="str">
        <f ca="1">IFERROR(__xludf.DUMMYFUNCTION(TRANSPOSE(ImportHTML("http://spending.data.al/sq/moneypower/view/id/20", "table", 0))),"*Kategoria*")</f>
        <v>*Kategoria*</v>
      </c>
      <c r="D40" t="s">
        <v>673</v>
      </c>
      <c r="E40" t="s">
        <v>674</v>
      </c>
      <c r="F40" t="s">
        <v>675</v>
      </c>
      <c r="G40" t="s">
        <v>676</v>
      </c>
      <c r="H40" t="s">
        <v>677</v>
      </c>
      <c r="I40" t="s">
        <v>678</v>
      </c>
      <c r="J40" t="s">
        <v>679</v>
      </c>
      <c r="K40" t="s">
        <v>680</v>
      </c>
      <c r="L40" t="s">
        <v>681</v>
      </c>
      <c r="M40" t="s">
        <v>682</v>
      </c>
      <c r="N40" t="s">
        <v>683</v>
      </c>
      <c r="O40" t="s">
        <v>684</v>
      </c>
      <c r="P40" t="s">
        <v>685</v>
      </c>
    </row>
    <row r="41" spans="2:16" ht="15">
      <c r="B41" s="7"/>
      <c r="C41" t="s">
        <v>686</v>
      </c>
      <c r="D41" t="s">
        <v>810</v>
      </c>
      <c r="E41" t="s">
        <v>811</v>
      </c>
      <c r="F41" t="s">
        <v>688</v>
      </c>
      <c r="G41" t="s">
        <v>812</v>
      </c>
      <c r="I41" t="s">
        <v>688</v>
      </c>
      <c r="J41" t="s">
        <v>688</v>
      </c>
      <c r="K41" t="s">
        <v>688</v>
      </c>
      <c r="L41" t="s">
        <v>688</v>
      </c>
      <c r="M41" t="s">
        <v>813</v>
      </c>
      <c r="N41" t="s">
        <v>688</v>
      </c>
      <c r="P41" t="s">
        <v>814</v>
      </c>
    </row>
    <row r="42" spans="2:16" ht="15">
      <c r="B42" s="1">
        <v>21</v>
      </c>
      <c r="C42" t="str">
        <f ca="1">IFERROR(__xludf.DUMMYFUNCTION(TRANSPOSE(ImportHTML("http://spending.data.al/sq/moneypower/view/id/21", "table", 0))),"*Kategoria*")</f>
        <v>*Kategoria*</v>
      </c>
      <c r="D42" t="s">
        <v>673</v>
      </c>
      <c r="E42" t="s">
        <v>674</v>
      </c>
      <c r="F42" t="s">
        <v>675</v>
      </c>
      <c r="G42" t="s">
        <v>676</v>
      </c>
      <c r="H42" t="s">
        <v>677</v>
      </c>
      <c r="I42" t="s">
        <v>678</v>
      </c>
      <c r="J42" t="s">
        <v>679</v>
      </c>
      <c r="K42" t="s">
        <v>680</v>
      </c>
      <c r="L42" t="s">
        <v>681</v>
      </c>
      <c r="M42" t="s">
        <v>682</v>
      </c>
      <c r="N42" t="s">
        <v>683</v>
      </c>
      <c r="O42" t="s">
        <v>684</v>
      </c>
      <c r="P42" t="s">
        <v>685</v>
      </c>
    </row>
    <row r="43" spans="2:16" ht="15">
      <c r="B43" s="7"/>
      <c r="C43" t="s">
        <v>686</v>
      </c>
      <c r="D43" t="s">
        <v>815</v>
      </c>
      <c r="E43" t="s">
        <v>816</v>
      </c>
      <c r="F43" t="s">
        <v>688</v>
      </c>
      <c r="G43" t="s">
        <v>688</v>
      </c>
      <c r="H43" t="s">
        <v>688</v>
      </c>
      <c r="I43" t="s">
        <v>688</v>
      </c>
      <c r="J43" t="s">
        <v>688</v>
      </c>
      <c r="K43" t="s">
        <v>688</v>
      </c>
      <c r="L43" t="s">
        <v>688</v>
      </c>
      <c r="M43" t="s">
        <v>817</v>
      </c>
      <c r="N43" t="s">
        <v>688</v>
      </c>
      <c r="O43" s="4">
        <v>1.25</v>
      </c>
      <c r="P43" t="s">
        <v>818</v>
      </c>
    </row>
    <row r="44" spans="2:16" ht="15">
      <c r="B44" s="1">
        <v>22</v>
      </c>
      <c r="C44" t="str">
        <f ca="1">IFERROR(__xludf.DUMMYFUNCTION(TRANSPOSE(ImportHTML("http://spending.data.al/sq/moneypower/view/id/22", "table", 0))),"*Kategoria*")</f>
        <v>*Kategoria*</v>
      </c>
      <c r="D44" t="s">
        <v>673</v>
      </c>
      <c r="E44" t="s">
        <v>674</v>
      </c>
      <c r="F44" t="s">
        <v>675</v>
      </c>
      <c r="G44" t="s">
        <v>676</v>
      </c>
      <c r="H44" t="s">
        <v>677</v>
      </c>
      <c r="I44" t="s">
        <v>678</v>
      </c>
      <c r="J44" t="s">
        <v>679</v>
      </c>
      <c r="K44" t="s">
        <v>680</v>
      </c>
      <c r="L44" t="s">
        <v>681</v>
      </c>
      <c r="M44" t="s">
        <v>682</v>
      </c>
      <c r="N44" t="s">
        <v>683</v>
      </c>
      <c r="O44" t="s">
        <v>684</v>
      </c>
      <c r="P44" t="s">
        <v>685</v>
      </c>
    </row>
    <row r="45" spans="2:16" ht="15">
      <c r="B45" s="7"/>
      <c r="C45" t="s">
        <v>686</v>
      </c>
      <c r="D45" t="s">
        <v>819</v>
      </c>
      <c r="E45" t="s">
        <v>820</v>
      </c>
      <c r="F45" t="s">
        <v>688</v>
      </c>
      <c r="G45" t="s">
        <v>688</v>
      </c>
      <c r="H45" t="s">
        <v>688</v>
      </c>
      <c r="I45" t="s">
        <v>688</v>
      </c>
      <c r="J45" t="s">
        <v>688</v>
      </c>
      <c r="K45" t="s">
        <v>688</v>
      </c>
      <c r="L45" t="s">
        <v>688</v>
      </c>
      <c r="M45" t="s">
        <v>821</v>
      </c>
      <c r="N45" t="s">
        <v>822</v>
      </c>
      <c r="O45" s="4">
        <v>1.7</v>
      </c>
      <c r="P45" t="s">
        <v>823</v>
      </c>
    </row>
    <row r="46" spans="2:16" ht="15">
      <c r="B46" s="1">
        <v>23</v>
      </c>
      <c r="C46" t="str">
        <f ca="1">IFERROR(__xludf.DUMMYFUNCTION(TRANSPOSE(ImportHTML("http://spending.data.al/sq/moneypower/view/id/23", "table", 0))),"*Kategoria*")</f>
        <v>*Kategoria*</v>
      </c>
      <c r="D46" t="s">
        <v>673</v>
      </c>
      <c r="E46" t="s">
        <v>674</v>
      </c>
      <c r="F46" t="s">
        <v>675</v>
      </c>
      <c r="G46" t="s">
        <v>676</v>
      </c>
      <c r="H46" t="s">
        <v>677</v>
      </c>
      <c r="I46" t="s">
        <v>678</v>
      </c>
      <c r="J46" t="s">
        <v>679</v>
      </c>
      <c r="K46" t="s">
        <v>680</v>
      </c>
      <c r="L46" t="s">
        <v>681</v>
      </c>
      <c r="M46" t="s">
        <v>682</v>
      </c>
      <c r="N46" t="s">
        <v>683</v>
      </c>
      <c r="O46" t="s">
        <v>684</v>
      </c>
      <c r="P46" t="s">
        <v>685</v>
      </c>
    </row>
    <row r="47" spans="2:16" ht="15">
      <c r="B47" s="7"/>
      <c r="C47" t="s">
        <v>686</v>
      </c>
      <c r="D47" t="s">
        <v>824</v>
      </c>
      <c r="E47" t="s">
        <v>825</v>
      </c>
      <c r="F47" t="s">
        <v>826</v>
      </c>
      <c r="G47" t="s">
        <v>688</v>
      </c>
      <c r="H47" t="s">
        <v>688</v>
      </c>
      <c r="I47" t="s">
        <v>688</v>
      </c>
      <c r="J47" t="s">
        <v>688</v>
      </c>
      <c r="K47" t="s">
        <v>688</v>
      </c>
      <c r="L47" t="s">
        <v>688</v>
      </c>
      <c r="M47" t="s">
        <v>827</v>
      </c>
      <c r="N47" t="s">
        <v>688</v>
      </c>
      <c r="O47" s="4">
        <v>1.32</v>
      </c>
      <c r="P47" t="s">
        <v>828</v>
      </c>
    </row>
    <row r="48" spans="2:16" ht="15">
      <c r="B48" s="1">
        <v>24</v>
      </c>
      <c r="C48" t="str">
        <f ca="1">IFERROR(__xludf.DUMMYFUNCTION(TRANSPOSE(ImportHTML("http://spending.data.al/sq/moneypower/view/id/24", "table", 0))),"*Kategoria*")</f>
        <v>*Kategoria*</v>
      </c>
      <c r="D48" t="s">
        <v>673</v>
      </c>
      <c r="E48" t="s">
        <v>674</v>
      </c>
      <c r="F48" t="s">
        <v>675</v>
      </c>
      <c r="G48" t="s">
        <v>676</v>
      </c>
      <c r="H48" t="s">
        <v>677</v>
      </c>
      <c r="I48" t="s">
        <v>678</v>
      </c>
      <c r="J48" t="s">
        <v>679</v>
      </c>
      <c r="K48" t="s">
        <v>680</v>
      </c>
      <c r="L48" t="s">
        <v>681</v>
      </c>
      <c r="M48" t="s">
        <v>682</v>
      </c>
      <c r="N48" t="s">
        <v>683</v>
      </c>
      <c r="O48" t="s">
        <v>684</v>
      </c>
      <c r="P48" t="s">
        <v>685</v>
      </c>
    </row>
    <row r="49" spans="2:16" ht="15">
      <c r="B49" s="7"/>
      <c r="C49" t="s">
        <v>686</v>
      </c>
      <c r="D49" t="s">
        <v>829</v>
      </c>
      <c r="E49" t="s">
        <v>816</v>
      </c>
      <c r="F49" t="s">
        <v>688</v>
      </c>
      <c r="G49" t="s">
        <v>830</v>
      </c>
      <c r="H49" t="s">
        <v>688</v>
      </c>
      <c r="I49" t="s">
        <v>688</v>
      </c>
      <c r="J49" t="s">
        <v>688</v>
      </c>
      <c r="K49" t="s">
        <v>688</v>
      </c>
      <c r="L49" t="s">
        <v>688</v>
      </c>
      <c r="M49" t="s">
        <v>688</v>
      </c>
      <c r="N49" t="s">
        <v>688</v>
      </c>
      <c r="O49" s="4">
        <v>1.23</v>
      </c>
      <c r="P49" t="s">
        <v>707</v>
      </c>
    </row>
    <row r="50" spans="2:16" ht="15">
      <c r="B50" s="1">
        <v>25</v>
      </c>
      <c r="C50" t="str">
        <f ca="1">IFERROR(__xludf.DUMMYFUNCTION(TRANSPOSE(ImportHTML("http://spending.data.al/sq/moneypower/view/id/25", "table", 0))),"*Kategoria*")</f>
        <v>*Kategoria*</v>
      </c>
      <c r="D50" t="s">
        <v>673</v>
      </c>
      <c r="E50" t="s">
        <v>674</v>
      </c>
      <c r="F50" t="s">
        <v>675</v>
      </c>
      <c r="G50" t="s">
        <v>676</v>
      </c>
      <c r="H50" t="s">
        <v>677</v>
      </c>
      <c r="I50" t="s">
        <v>678</v>
      </c>
      <c r="J50" t="s">
        <v>679</v>
      </c>
      <c r="K50" t="s">
        <v>680</v>
      </c>
      <c r="L50" t="s">
        <v>681</v>
      </c>
      <c r="M50" t="s">
        <v>682</v>
      </c>
      <c r="N50" t="s">
        <v>683</v>
      </c>
      <c r="O50" t="s">
        <v>684</v>
      </c>
      <c r="P50" t="s">
        <v>685</v>
      </c>
    </row>
    <row r="51" spans="2:16" ht="15">
      <c r="B51" s="7"/>
      <c r="C51" t="s">
        <v>686</v>
      </c>
      <c r="D51" t="s">
        <v>695</v>
      </c>
      <c r="E51" t="s">
        <v>692</v>
      </c>
      <c r="F51" t="s">
        <v>696</v>
      </c>
      <c r="G51" t="s">
        <v>688</v>
      </c>
      <c r="H51" t="s">
        <v>688</v>
      </c>
      <c r="I51" t="s">
        <v>688</v>
      </c>
      <c r="J51" t="s">
        <v>688</v>
      </c>
      <c r="K51" t="s">
        <v>688</v>
      </c>
      <c r="L51" t="s">
        <v>688</v>
      </c>
      <c r="M51" t="s">
        <v>697</v>
      </c>
      <c r="N51" t="s">
        <v>688</v>
      </c>
      <c r="O51" s="4">
        <v>1.7</v>
      </c>
      <c r="P51" t="s">
        <v>688</v>
      </c>
    </row>
    <row r="52" spans="2:16" ht="15">
      <c r="B52" s="1">
        <v>26</v>
      </c>
      <c r="C52" t="str">
        <f ca="1">IFERROR(__xludf.DUMMYFUNCTION(TRANSPOSE(ImportHTML("http://spending.data.al/sq/moneypower/view/id/26", "table", 0))),"*Kategoria*")</f>
        <v>*Kategoria*</v>
      </c>
      <c r="D52" t="s">
        <v>673</v>
      </c>
      <c r="E52" t="s">
        <v>674</v>
      </c>
      <c r="F52" t="s">
        <v>675</v>
      </c>
      <c r="G52" t="s">
        <v>676</v>
      </c>
      <c r="H52" t="s">
        <v>677</v>
      </c>
      <c r="I52" t="s">
        <v>678</v>
      </c>
      <c r="J52" t="s">
        <v>679</v>
      </c>
      <c r="K52" t="s">
        <v>680</v>
      </c>
      <c r="L52" t="s">
        <v>681</v>
      </c>
      <c r="M52" t="s">
        <v>682</v>
      </c>
      <c r="N52" t="s">
        <v>683</v>
      </c>
      <c r="O52" t="s">
        <v>684</v>
      </c>
      <c r="P52" t="s">
        <v>685</v>
      </c>
    </row>
    <row r="53" spans="2:16" ht="15">
      <c r="B53" s="7"/>
      <c r="C53" t="s">
        <v>686</v>
      </c>
      <c r="D53" t="s">
        <v>831</v>
      </c>
      <c r="E53" t="s">
        <v>688</v>
      </c>
      <c r="F53" t="s">
        <v>696</v>
      </c>
      <c r="G53" t="s">
        <v>688</v>
      </c>
      <c r="H53" t="s">
        <v>688</v>
      </c>
      <c r="I53" t="s">
        <v>688</v>
      </c>
      <c r="J53" t="s">
        <v>688</v>
      </c>
      <c r="K53" t="s">
        <v>688</v>
      </c>
      <c r="L53" t="s">
        <v>688</v>
      </c>
      <c r="M53" t="s">
        <v>832</v>
      </c>
      <c r="N53" t="s">
        <v>688</v>
      </c>
      <c r="O53" s="4">
        <v>1.2</v>
      </c>
      <c r="P53" t="s">
        <v>688</v>
      </c>
    </row>
    <row r="54" spans="2:16" ht="15">
      <c r="B54" s="1">
        <v>27</v>
      </c>
      <c r="C54" t="str">
        <f ca="1">IFERROR(__xludf.DUMMYFUNCTION(TRANSPOSE(ImportHTML("http://spending.data.al/sq/moneypower/view/id/27", "table", 0))),"*Kategoria*")</f>
        <v>*Kategoria*</v>
      </c>
      <c r="D54" t="s">
        <v>673</v>
      </c>
      <c r="E54" t="s">
        <v>674</v>
      </c>
      <c r="F54" t="s">
        <v>675</v>
      </c>
      <c r="G54" t="s">
        <v>676</v>
      </c>
      <c r="H54" t="s">
        <v>677</v>
      </c>
      <c r="I54" t="s">
        <v>678</v>
      </c>
      <c r="J54" t="s">
        <v>679</v>
      </c>
      <c r="K54" t="s">
        <v>680</v>
      </c>
      <c r="L54" t="s">
        <v>681</v>
      </c>
      <c r="M54" t="s">
        <v>682</v>
      </c>
      <c r="N54" t="s">
        <v>683</v>
      </c>
      <c r="O54" t="s">
        <v>684</v>
      </c>
      <c r="P54" t="s">
        <v>685</v>
      </c>
    </row>
    <row r="55" spans="2:16" thickBot="1">
      <c r="B55" s="7"/>
      <c r="C55" t="s">
        <v>686</v>
      </c>
      <c r="D55" t="s">
        <v>833</v>
      </c>
      <c r="E55" t="s">
        <v>688</v>
      </c>
      <c r="F55" t="s">
        <v>834</v>
      </c>
      <c r="G55" t="s">
        <v>688</v>
      </c>
      <c r="H55" t="s">
        <v>688</v>
      </c>
      <c r="I55" t="s">
        <v>688</v>
      </c>
      <c r="J55" t="s">
        <v>688</v>
      </c>
      <c r="K55" t="s">
        <v>688</v>
      </c>
      <c r="L55" t="s">
        <v>688</v>
      </c>
      <c r="M55" t="s">
        <v>835</v>
      </c>
      <c r="N55" t="s">
        <v>688</v>
      </c>
      <c r="O55" s="4">
        <v>1.17</v>
      </c>
      <c r="P55" t="s">
        <v>688</v>
      </c>
    </row>
    <row r="56" spans="2:16" ht="48.75" thickBot="1">
      <c r="B56" s="8">
        <v>28</v>
      </c>
      <c r="C56" s="26" t="s">
        <v>4436</v>
      </c>
      <c r="D56" s="28" t="s">
        <v>4437</v>
      </c>
      <c r="E56" s="30" t="s">
        <v>4438</v>
      </c>
      <c r="F56" s="28" t="s">
        <v>4439</v>
      </c>
      <c r="G56" s="30" t="s">
        <v>4440</v>
      </c>
      <c r="H56" s="28" t="s">
        <v>4441</v>
      </c>
      <c r="O56" s="4"/>
    </row>
    <row r="57" spans="2:16" ht="15" customHeight="1" thickBot="1">
      <c r="B57" s="7"/>
      <c r="C57" s="27" t="s">
        <v>1912</v>
      </c>
      <c r="D57" s="29" t="s">
        <v>1913</v>
      </c>
      <c r="E57" s="31" t="s">
        <v>705</v>
      </c>
      <c r="F57" s="29" t="s">
        <v>1914</v>
      </c>
      <c r="G57" s="31" t="s">
        <v>707</v>
      </c>
      <c r="H57" s="29" t="s">
        <v>707</v>
      </c>
    </row>
    <row r="58" spans="2:16" ht="15">
      <c r="B58" s="1">
        <v>29</v>
      </c>
      <c r="C58" t="str">
        <f ca="1">IFERROR(__xludf.DUMMYFUNCTION(TRANSPOSE(ImportHTML("http://spending.data.al/sq/moneypower/view/id/29", "table", 0))),"*Kategoria*")</f>
        <v>*Kategoria*</v>
      </c>
      <c r="D58" t="s">
        <v>673</v>
      </c>
      <c r="E58" t="s">
        <v>674</v>
      </c>
      <c r="F58" t="s">
        <v>675</v>
      </c>
      <c r="G58" t="s">
        <v>676</v>
      </c>
      <c r="H58" t="s">
        <v>677</v>
      </c>
      <c r="I58" t="s">
        <v>678</v>
      </c>
      <c r="J58" t="s">
        <v>679</v>
      </c>
      <c r="K58" t="s">
        <v>680</v>
      </c>
      <c r="L58" t="s">
        <v>681</v>
      </c>
      <c r="M58" t="s">
        <v>682</v>
      </c>
      <c r="N58" t="s">
        <v>683</v>
      </c>
      <c r="O58" t="s">
        <v>684</v>
      </c>
      <c r="P58" t="s">
        <v>685</v>
      </c>
    </row>
    <row r="59" spans="2:16" ht="15">
      <c r="B59" s="7"/>
      <c r="C59" t="s">
        <v>686</v>
      </c>
      <c r="D59" t="s">
        <v>836</v>
      </c>
      <c r="E59" t="s">
        <v>837</v>
      </c>
      <c r="F59" t="s">
        <v>688</v>
      </c>
      <c r="G59" t="s">
        <v>688</v>
      </c>
      <c r="H59" t="s">
        <v>838</v>
      </c>
      <c r="I59" t="s">
        <v>688</v>
      </c>
      <c r="J59" t="s">
        <v>688</v>
      </c>
      <c r="K59" t="s">
        <v>688</v>
      </c>
      <c r="L59" t="s">
        <v>688</v>
      </c>
      <c r="M59" t="s">
        <v>839</v>
      </c>
      <c r="N59" t="s">
        <v>840</v>
      </c>
      <c r="O59" s="4">
        <v>11.11</v>
      </c>
      <c r="P59" t="s">
        <v>688</v>
      </c>
    </row>
    <row r="60" spans="2:16" ht="15">
      <c r="B60" s="1">
        <v>30</v>
      </c>
      <c r="C60" t="str">
        <f ca="1">IFERROR(__xludf.DUMMYFUNCTION(TRANSPOSE(ImportHTML("http://spending.data.al/sq/moneypower/view/id/30", "table", 0))),"*Kategoria*")</f>
        <v>*Kategoria*</v>
      </c>
      <c r="D60" t="s">
        <v>673</v>
      </c>
      <c r="E60" t="s">
        <v>674</v>
      </c>
      <c r="F60" t="s">
        <v>675</v>
      </c>
      <c r="G60" t="s">
        <v>676</v>
      </c>
      <c r="H60" t="s">
        <v>677</v>
      </c>
      <c r="I60" t="s">
        <v>678</v>
      </c>
      <c r="J60" t="s">
        <v>679</v>
      </c>
      <c r="K60" t="s">
        <v>680</v>
      </c>
      <c r="L60" t="s">
        <v>681</v>
      </c>
      <c r="M60" t="s">
        <v>682</v>
      </c>
      <c r="N60" t="s">
        <v>683</v>
      </c>
      <c r="O60" t="s">
        <v>684</v>
      </c>
      <c r="P60" t="s">
        <v>685</v>
      </c>
    </row>
    <row r="61" spans="2:16" ht="15">
      <c r="B61" s="7"/>
      <c r="C61" t="s">
        <v>686</v>
      </c>
      <c r="D61" t="s">
        <v>841</v>
      </c>
      <c r="E61" t="s">
        <v>688</v>
      </c>
      <c r="F61" t="s">
        <v>842</v>
      </c>
      <c r="G61" t="s">
        <v>688</v>
      </c>
      <c r="H61" t="s">
        <v>688</v>
      </c>
      <c r="I61" t="s">
        <v>688</v>
      </c>
      <c r="J61" t="s">
        <v>688</v>
      </c>
      <c r="K61" t="s">
        <v>688</v>
      </c>
      <c r="L61" t="s">
        <v>688</v>
      </c>
      <c r="M61" t="s">
        <v>688</v>
      </c>
      <c r="N61" t="s">
        <v>688</v>
      </c>
      <c r="O61" s="4">
        <v>1.01</v>
      </c>
      <c r="P61" t="s">
        <v>688</v>
      </c>
    </row>
    <row r="62" spans="2:16" ht="15">
      <c r="B62" s="1">
        <v>31</v>
      </c>
      <c r="C62" t="str">
        <f ca="1">IFERROR(__xludf.DUMMYFUNCTION(TRANSPOSE(ImportHTML("http://spending.data.al/sq/moneypower/view/id/31", "table", 0))),"*Kategoria*")</f>
        <v>*Kategoria*</v>
      </c>
      <c r="D62" t="s">
        <v>673</v>
      </c>
      <c r="E62" t="s">
        <v>674</v>
      </c>
      <c r="F62" t="s">
        <v>675</v>
      </c>
      <c r="G62" t="s">
        <v>676</v>
      </c>
      <c r="H62" t="s">
        <v>677</v>
      </c>
      <c r="I62" t="s">
        <v>678</v>
      </c>
      <c r="J62" t="s">
        <v>679</v>
      </c>
      <c r="K62" t="s">
        <v>680</v>
      </c>
      <c r="L62" t="s">
        <v>681</v>
      </c>
      <c r="M62" t="s">
        <v>682</v>
      </c>
      <c r="N62" t="s">
        <v>683</v>
      </c>
      <c r="O62" t="s">
        <v>684</v>
      </c>
      <c r="P62" t="s">
        <v>685</v>
      </c>
    </row>
    <row r="63" spans="2:16" ht="15">
      <c r="B63" s="7"/>
      <c r="C63" t="s">
        <v>686</v>
      </c>
      <c r="D63" t="s">
        <v>843</v>
      </c>
      <c r="E63" t="s">
        <v>844</v>
      </c>
      <c r="F63" t="s">
        <v>845</v>
      </c>
      <c r="G63" t="s">
        <v>688</v>
      </c>
      <c r="H63" t="s">
        <v>688</v>
      </c>
      <c r="I63" t="s">
        <v>688</v>
      </c>
      <c r="J63" t="s">
        <v>688</v>
      </c>
      <c r="K63" t="s">
        <v>688</v>
      </c>
      <c r="L63" t="s">
        <v>688</v>
      </c>
      <c r="M63" t="s">
        <v>846</v>
      </c>
      <c r="N63" t="s">
        <v>688</v>
      </c>
      <c r="O63" s="4">
        <v>2.62</v>
      </c>
      <c r="P63" t="s">
        <v>688</v>
      </c>
    </row>
    <row r="64" spans="2:16" ht="15">
      <c r="B64" s="1">
        <v>32</v>
      </c>
      <c r="C64" t="str">
        <f ca="1">IFERROR(__xludf.DUMMYFUNCTION(TRANSPOSE(ImportHTML("http://spending.data.al/sq/moneypower/view/id/32", "table", 0))),"*Kategoria*")</f>
        <v>*Kategoria*</v>
      </c>
      <c r="D64" t="s">
        <v>673</v>
      </c>
      <c r="E64" t="s">
        <v>674</v>
      </c>
      <c r="F64" t="s">
        <v>675</v>
      </c>
      <c r="G64" t="s">
        <v>676</v>
      </c>
      <c r="H64" t="s">
        <v>677</v>
      </c>
      <c r="I64" t="s">
        <v>678</v>
      </c>
      <c r="J64" t="s">
        <v>679</v>
      </c>
      <c r="K64" t="s">
        <v>680</v>
      </c>
      <c r="L64" t="s">
        <v>681</v>
      </c>
      <c r="M64" t="s">
        <v>682</v>
      </c>
      <c r="N64" t="s">
        <v>683</v>
      </c>
      <c r="O64" t="s">
        <v>684</v>
      </c>
      <c r="P64" t="s">
        <v>685</v>
      </c>
    </row>
    <row r="65" spans="2:16" ht="15">
      <c r="B65" s="7"/>
      <c r="C65" t="s">
        <v>686</v>
      </c>
      <c r="D65" t="s">
        <v>847</v>
      </c>
      <c r="E65" t="s">
        <v>688</v>
      </c>
      <c r="F65" t="s">
        <v>848</v>
      </c>
      <c r="G65" t="s">
        <v>688</v>
      </c>
      <c r="H65" t="s">
        <v>688</v>
      </c>
      <c r="I65" t="s">
        <v>688</v>
      </c>
      <c r="J65" t="s">
        <v>688</v>
      </c>
      <c r="K65" t="s">
        <v>688</v>
      </c>
      <c r="L65" t="s">
        <v>688</v>
      </c>
      <c r="M65" t="s">
        <v>688</v>
      </c>
      <c r="N65" t="s">
        <v>688</v>
      </c>
      <c r="O65" s="4">
        <v>1.2</v>
      </c>
      <c r="P65" t="s">
        <v>688</v>
      </c>
    </row>
    <row r="66" spans="2:16" ht="15">
      <c r="B66" s="1">
        <v>33</v>
      </c>
      <c r="C66" t="str">
        <f ca="1">IFERROR(__xludf.DUMMYFUNCTION(TRANSPOSE(ImportHTML("http://spending.data.al/sq/moneypower/view/id/33", "table", 0))),"*Emër Subjekti*")</f>
        <v>*Emër Subjekti*</v>
      </c>
      <c r="D66" t="s">
        <v>700</v>
      </c>
      <c r="E66" t="s">
        <v>701</v>
      </c>
      <c r="F66" t="s">
        <v>702</v>
      </c>
    </row>
    <row r="67" spans="2:16" ht="15">
      <c r="B67" s="7"/>
    </row>
    <row r="68" spans="2:16" ht="15">
      <c r="B68" s="7"/>
      <c r="D68" t="s">
        <v>707</v>
      </c>
      <c r="E68" t="s">
        <v>707</v>
      </c>
      <c r="F68" t="s">
        <v>707</v>
      </c>
    </row>
    <row r="69" spans="2:16" ht="15">
      <c r="B69" s="7"/>
    </row>
    <row r="70" spans="2:16" ht="15">
      <c r="B70" s="1">
        <v>34</v>
      </c>
      <c r="C70" t="str">
        <f ca="1">IFERROR(__xludf.DUMMYFUNCTION(TRANSPOSE(ImportHTML("http://spending.data.al/sq/moneypower/view/id/34", "table", 0))),"*Kategoria*")</f>
        <v>*Kategoria*</v>
      </c>
      <c r="D70" t="s">
        <v>673</v>
      </c>
      <c r="E70" t="s">
        <v>674</v>
      </c>
      <c r="F70" t="s">
        <v>675</v>
      </c>
      <c r="G70" t="s">
        <v>676</v>
      </c>
      <c r="H70" t="s">
        <v>677</v>
      </c>
      <c r="I70" t="s">
        <v>678</v>
      </c>
      <c r="J70" t="s">
        <v>679</v>
      </c>
      <c r="K70" t="s">
        <v>680</v>
      </c>
      <c r="L70" t="s">
        <v>681</v>
      </c>
      <c r="M70" t="s">
        <v>682</v>
      </c>
      <c r="N70" t="s">
        <v>683</v>
      </c>
      <c r="O70" t="s">
        <v>684</v>
      </c>
      <c r="P70" t="s">
        <v>685</v>
      </c>
    </row>
    <row r="71" spans="2:16" ht="15">
      <c r="B71" s="7"/>
      <c r="C71" t="s">
        <v>686</v>
      </c>
      <c r="D71" t="s">
        <v>849</v>
      </c>
      <c r="E71" t="s">
        <v>688</v>
      </c>
      <c r="F71" t="s">
        <v>688</v>
      </c>
      <c r="G71" t="s">
        <v>688</v>
      </c>
      <c r="H71" t="s">
        <v>688</v>
      </c>
      <c r="I71" t="s">
        <v>688</v>
      </c>
      <c r="J71" t="s">
        <v>688</v>
      </c>
      <c r="K71" t="s">
        <v>688</v>
      </c>
      <c r="L71" t="s">
        <v>688</v>
      </c>
      <c r="M71" t="s">
        <v>850</v>
      </c>
      <c r="N71" t="s">
        <v>688</v>
      </c>
      <c r="O71" s="4">
        <v>1</v>
      </c>
      <c r="P71" t="s">
        <v>688</v>
      </c>
    </row>
    <row r="72" spans="2:16" ht="15">
      <c r="B72" s="1">
        <v>35</v>
      </c>
      <c r="C72" t="str">
        <f ca="1">IFERROR(__xludf.DUMMYFUNCTION(TRANSPOSE(ImportHTML("http://spending.data.al/sq/moneypower/view/id/35", "table", 0))),"*Kategoria*")</f>
        <v>*Kategoria*</v>
      </c>
      <c r="D72" t="s">
        <v>673</v>
      </c>
      <c r="E72" t="s">
        <v>674</v>
      </c>
      <c r="F72" t="s">
        <v>675</v>
      </c>
      <c r="G72" t="s">
        <v>676</v>
      </c>
      <c r="H72" t="s">
        <v>677</v>
      </c>
      <c r="I72" t="s">
        <v>678</v>
      </c>
      <c r="J72" t="s">
        <v>679</v>
      </c>
      <c r="K72" t="s">
        <v>680</v>
      </c>
      <c r="L72" t="s">
        <v>681</v>
      </c>
      <c r="M72" t="s">
        <v>682</v>
      </c>
      <c r="N72" t="s">
        <v>683</v>
      </c>
      <c r="O72" t="s">
        <v>684</v>
      </c>
      <c r="P72" t="s">
        <v>685</v>
      </c>
    </row>
    <row r="73" spans="2:16" ht="15">
      <c r="B73" s="7"/>
      <c r="C73" t="s">
        <v>686</v>
      </c>
      <c r="D73" t="s">
        <v>851</v>
      </c>
      <c r="E73" t="s">
        <v>688</v>
      </c>
      <c r="F73" t="s">
        <v>852</v>
      </c>
      <c r="G73" t="s">
        <v>853</v>
      </c>
      <c r="H73" t="s">
        <v>688</v>
      </c>
      <c r="I73" t="s">
        <v>854</v>
      </c>
      <c r="J73" t="s">
        <v>688</v>
      </c>
      <c r="K73" t="s">
        <v>688</v>
      </c>
      <c r="L73" t="s">
        <v>688</v>
      </c>
      <c r="M73" t="s">
        <v>855</v>
      </c>
      <c r="N73" t="s">
        <v>688</v>
      </c>
      <c r="O73" s="4">
        <v>2.2200000000000002</v>
      </c>
      <c r="P73" t="s">
        <v>856</v>
      </c>
    </row>
    <row r="74" spans="2:16" ht="15">
      <c r="B74" s="1">
        <v>36</v>
      </c>
      <c r="C74" t="str">
        <f ca="1">IFERROR(__xludf.DUMMYFUNCTION(TRANSPOSE(ImportHTML("http://spending.data.al/sq/moneypower/view/id/36", "table", 0))),"*Kategoria*")</f>
        <v>*Kategoria*</v>
      </c>
      <c r="D74" t="s">
        <v>673</v>
      </c>
      <c r="E74" t="s">
        <v>674</v>
      </c>
      <c r="F74" t="s">
        <v>675</v>
      </c>
      <c r="G74" t="s">
        <v>676</v>
      </c>
      <c r="H74" t="s">
        <v>677</v>
      </c>
      <c r="I74" t="s">
        <v>678</v>
      </c>
      <c r="J74" t="s">
        <v>679</v>
      </c>
      <c r="K74" t="s">
        <v>680</v>
      </c>
      <c r="L74" t="s">
        <v>681</v>
      </c>
      <c r="M74" t="s">
        <v>682</v>
      </c>
      <c r="N74" t="s">
        <v>683</v>
      </c>
      <c r="O74" t="s">
        <v>684</v>
      </c>
      <c r="P74" t="s">
        <v>685</v>
      </c>
    </row>
    <row r="75" spans="2:16" ht="15">
      <c r="B75" s="7"/>
      <c r="C75" t="s">
        <v>686</v>
      </c>
      <c r="D75" t="s">
        <v>857</v>
      </c>
      <c r="E75" t="s">
        <v>688</v>
      </c>
      <c r="F75" t="s">
        <v>858</v>
      </c>
      <c r="G75" t="s">
        <v>688</v>
      </c>
      <c r="H75" t="s">
        <v>688</v>
      </c>
      <c r="I75" t="s">
        <v>688</v>
      </c>
      <c r="J75" t="s">
        <v>688</v>
      </c>
      <c r="K75" t="s">
        <v>688</v>
      </c>
      <c r="L75" t="s">
        <v>688</v>
      </c>
      <c r="M75" t="s">
        <v>859</v>
      </c>
      <c r="N75" t="s">
        <v>688</v>
      </c>
      <c r="O75" s="4">
        <v>1.17</v>
      </c>
      <c r="P75" t="s">
        <v>688</v>
      </c>
    </row>
    <row r="76" spans="2:16" ht="15">
      <c r="B76" s="1">
        <v>37</v>
      </c>
      <c r="C76" t="str">
        <f ca="1">IFERROR(__xludf.DUMMYFUNCTION(TRANSPOSE(ImportHTML("http://spending.data.al/sq/moneypower/view/id/37", "table", 0))),"*Kategoria*")</f>
        <v>*Kategoria*</v>
      </c>
      <c r="D76" t="s">
        <v>673</v>
      </c>
      <c r="E76" t="s">
        <v>674</v>
      </c>
      <c r="F76" t="s">
        <v>675</v>
      </c>
      <c r="G76" t="s">
        <v>676</v>
      </c>
      <c r="H76" t="s">
        <v>677</v>
      </c>
      <c r="I76" t="s">
        <v>678</v>
      </c>
      <c r="J76" t="s">
        <v>679</v>
      </c>
      <c r="K76" t="s">
        <v>680</v>
      </c>
      <c r="L76" t="s">
        <v>681</v>
      </c>
      <c r="M76" t="s">
        <v>682</v>
      </c>
      <c r="N76" t="s">
        <v>683</v>
      </c>
      <c r="O76" t="s">
        <v>684</v>
      </c>
      <c r="P76" t="s">
        <v>685</v>
      </c>
    </row>
    <row r="77" spans="2:16" ht="15">
      <c r="B77" s="7"/>
      <c r="C77" t="s">
        <v>686</v>
      </c>
      <c r="D77" t="s">
        <v>860</v>
      </c>
      <c r="E77" t="s">
        <v>688</v>
      </c>
      <c r="F77" t="s">
        <v>688</v>
      </c>
      <c r="G77" t="s">
        <v>688</v>
      </c>
      <c r="H77" t="s">
        <v>688</v>
      </c>
      <c r="I77" t="s">
        <v>688</v>
      </c>
      <c r="J77" t="s">
        <v>688</v>
      </c>
      <c r="K77" t="s">
        <v>688</v>
      </c>
      <c r="L77" t="s">
        <v>688</v>
      </c>
      <c r="M77" t="s">
        <v>861</v>
      </c>
      <c r="N77" t="s">
        <v>688</v>
      </c>
      <c r="O77" s="4">
        <v>1</v>
      </c>
      <c r="P77" t="s">
        <v>688</v>
      </c>
    </row>
    <row r="78" spans="2:16" ht="15">
      <c r="B78" s="1">
        <v>38</v>
      </c>
      <c r="C78" t="str">
        <f ca="1">IFERROR(__xludf.DUMMYFUNCTION(TRANSPOSE(ImportHTML("http://spending.data.al/sq/moneypower/view/id/38", "table", 0))),"*Kategoria*")</f>
        <v>*Kategoria*</v>
      </c>
      <c r="D78" t="s">
        <v>673</v>
      </c>
      <c r="E78" t="s">
        <v>674</v>
      </c>
      <c r="F78" t="s">
        <v>675</v>
      </c>
      <c r="G78" t="s">
        <v>676</v>
      </c>
      <c r="H78" t="s">
        <v>677</v>
      </c>
      <c r="I78" t="s">
        <v>678</v>
      </c>
      <c r="J78" t="s">
        <v>679</v>
      </c>
      <c r="K78" t="s">
        <v>680</v>
      </c>
      <c r="L78" t="s">
        <v>681</v>
      </c>
      <c r="M78" t="s">
        <v>682</v>
      </c>
      <c r="N78" t="s">
        <v>683</v>
      </c>
      <c r="O78" t="s">
        <v>684</v>
      </c>
      <c r="P78" t="s">
        <v>685</v>
      </c>
    </row>
    <row r="79" spans="2:16" ht="15">
      <c r="B79" s="7"/>
      <c r="C79" t="s">
        <v>686</v>
      </c>
      <c r="D79" t="s">
        <v>862</v>
      </c>
      <c r="E79" t="s">
        <v>688</v>
      </c>
      <c r="F79" t="s">
        <v>863</v>
      </c>
      <c r="G79" t="s">
        <v>688</v>
      </c>
      <c r="H79" t="s">
        <v>688</v>
      </c>
      <c r="I79" t="s">
        <v>688</v>
      </c>
      <c r="J79" t="s">
        <v>688</v>
      </c>
      <c r="K79" t="s">
        <v>688</v>
      </c>
      <c r="L79" t="s">
        <v>688</v>
      </c>
      <c r="M79" t="s">
        <v>864</v>
      </c>
      <c r="N79" t="s">
        <v>688</v>
      </c>
      <c r="O79" s="4">
        <v>1.06</v>
      </c>
      <c r="P79" t="s">
        <v>688</v>
      </c>
    </row>
    <row r="80" spans="2:16" ht="15">
      <c r="B80" s="1">
        <v>39</v>
      </c>
      <c r="C80" t="str">
        <f ca="1">IFERROR(__xludf.DUMMYFUNCTION(TRANSPOSE(ImportHTML("http://spending.data.al/sq/moneypower/view/id/39", "table", 0))),"*Kategoria*")</f>
        <v>*Kategoria*</v>
      </c>
      <c r="D80" t="s">
        <v>673</v>
      </c>
      <c r="E80" t="s">
        <v>674</v>
      </c>
      <c r="F80" t="s">
        <v>675</v>
      </c>
      <c r="G80" t="s">
        <v>676</v>
      </c>
      <c r="H80" t="s">
        <v>677</v>
      </c>
      <c r="I80" t="s">
        <v>678</v>
      </c>
      <c r="J80" t="s">
        <v>679</v>
      </c>
      <c r="K80" t="s">
        <v>680</v>
      </c>
      <c r="L80" t="s">
        <v>681</v>
      </c>
      <c r="M80" t="s">
        <v>682</v>
      </c>
      <c r="N80" t="s">
        <v>683</v>
      </c>
      <c r="O80" t="s">
        <v>684</v>
      </c>
      <c r="P80" t="s">
        <v>685</v>
      </c>
    </row>
    <row r="81" spans="2:16" ht="15">
      <c r="B81" s="7"/>
      <c r="C81" t="s">
        <v>686</v>
      </c>
      <c r="D81" t="s">
        <v>865</v>
      </c>
      <c r="E81" t="s">
        <v>688</v>
      </c>
      <c r="F81" t="s">
        <v>688</v>
      </c>
      <c r="G81" t="s">
        <v>688</v>
      </c>
      <c r="H81" t="s">
        <v>688</v>
      </c>
      <c r="I81" t="s">
        <v>688</v>
      </c>
      <c r="J81" t="s">
        <v>688</v>
      </c>
      <c r="K81" t="s">
        <v>688</v>
      </c>
      <c r="L81" t="s">
        <v>688</v>
      </c>
      <c r="M81" t="s">
        <v>688</v>
      </c>
      <c r="N81" t="s">
        <v>688</v>
      </c>
      <c r="O81" s="4">
        <v>1</v>
      </c>
      <c r="P81" t="s">
        <v>688</v>
      </c>
    </row>
    <row r="82" spans="2:16" ht="15">
      <c r="B82" s="1">
        <v>40</v>
      </c>
      <c r="C82" t="str">
        <f ca="1">IFERROR(__xludf.DUMMYFUNCTION(TRANSPOSE(ImportHTML("http://spending.data.al/sq/moneypower/view/id/40", "table", 0))),"*Kategoria*")</f>
        <v>*Kategoria*</v>
      </c>
      <c r="D82" t="s">
        <v>673</v>
      </c>
      <c r="E82" t="s">
        <v>674</v>
      </c>
      <c r="F82" t="s">
        <v>675</v>
      </c>
      <c r="G82" t="s">
        <v>676</v>
      </c>
      <c r="H82" t="s">
        <v>677</v>
      </c>
      <c r="I82" t="s">
        <v>678</v>
      </c>
      <c r="J82" t="s">
        <v>679</v>
      </c>
      <c r="K82" t="s">
        <v>680</v>
      </c>
      <c r="L82" t="s">
        <v>681</v>
      </c>
      <c r="M82" t="s">
        <v>682</v>
      </c>
      <c r="N82" t="s">
        <v>683</v>
      </c>
      <c r="O82" t="s">
        <v>684</v>
      </c>
      <c r="P82" t="s">
        <v>685</v>
      </c>
    </row>
    <row r="83" spans="2:16" ht="15">
      <c r="B83" s="7"/>
      <c r="C83" t="s">
        <v>686</v>
      </c>
      <c r="D83" t="s">
        <v>866</v>
      </c>
      <c r="E83" t="s">
        <v>867</v>
      </c>
      <c r="F83" t="s">
        <v>868</v>
      </c>
      <c r="G83" t="s">
        <v>688</v>
      </c>
      <c r="H83" t="s">
        <v>688</v>
      </c>
      <c r="I83" t="s">
        <v>688</v>
      </c>
      <c r="J83" t="s">
        <v>688</v>
      </c>
      <c r="K83" t="s">
        <v>688</v>
      </c>
      <c r="L83" t="s">
        <v>688</v>
      </c>
      <c r="M83" t="s">
        <v>869</v>
      </c>
      <c r="N83" t="s">
        <v>688</v>
      </c>
      <c r="O83" s="4">
        <v>1.65</v>
      </c>
      <c r="P83" t="s">
        <v>688</v>
      </c>
    </row>
    <row r="84" spans="2:16" ht="15">
      <c r="B84" s="1">
        <v>41</v>
      </c>
      <c r="C84" t="str">
        <f ca="1">IFERROR(__xludf.DUMMYFUNCTION(TRANSPOSE(ImportHTML("http://spending.data.al/sq/moneypower/view/id/41", "table", 0))),"*Kategoria*")</f>
        <v>*Kategoria*</v>
      </c>
      <c r="D84" t="s">
        <v>673</v>
      </c>
      <c r="E84" t="s">
        <v>674</v>
      </c>
      <c r="F84" t="s">
        <v>675</v>
      </c>
      <c r="G84" t="s">
        <v>676</v>
      </c>
      <c r="H84" t="s">
        <v>677</v>
      </c>
      <c r="I84" t="s">
        <v>678</v>
      </c>
      <c r="J84" t="s">
        <v>679</v>
      </c>
      <c r="K84" t="s">
        <v>680</v>
      </c>
      <c r="L84" t="s">
        <v>681</v>
      </c>
      <c r="M84" t="s">
        <v>682</v>
      </c>
      <c r="N84" t="s">
        <v>683</v>
      </c>
      <c r="O84" t="s">
        <v>684</v>
      </c>
      <c r="P84" t="s">
        <v>685</v>
      </c>
    </row>
    <row r="85" spans="2:16" ht="15">
      <c r="B85" s="7"/>
      <c r="C85" t="s">
        <v>686</v>
      </c>
      <c r="D85" t="s">
        <v>870</v>
      </c>
      <c r="E85" t="s">
        <v>688</v>
      </c>
      <c r="F85" t="s">
        <v>871</v>
      </c>
      <c r="G85" t="s">
        <v>688</v>
      </c>
      <c r="H85" t="s">
        <v>872</v>
      </c>
      <c r="I85" t="s">
        <v>873</v>
      </c>
      <c r="J85" t="s">
        <v>688</v>
      </c>
      <c r="K85" t="s">
        <v>688</v>
      </c>
      <c r="L85" t="s">
        <v>688</v>
      </c>
      <c r="M85" t="s">
        <v>688</v>
      </c>
      <c r="N85" t="s">
        <v>688</v>
      </c>
      <c r="O85" s="4">
        <v>2.48</v>
      </c>
      <c r="P85" t="s">
        <v>874</v>
      </c>
    </row>
    <row r="86" spans="2:16" ht="15">
      <c r="B86" s="1">
        <v>42</v>
      </c>
      <c r="C86" t="str">
        <f ca="1">IFERROR(__xludf.DUMMYFUNCTION(TRANSPOSE(ImportHTML("http://spending.data.al/sq/moneypower/view/id/42", "table", 0))),"*Kategoria*")</f>
        <v>*Kategoria*</v>
      </c>
      <c r="D86" t="s">
        <v>673</v>
      </c>
      <c r="E86" t="s">
        <v>674</v>
      </c>
      <c r="F86" t="s">
        <v>675</v>
      </c>
      <c r="G86" t="s">
        <v>676</v>
      </c>
      <c r="H86" t="s">
        <v>677</v>
      </c>
      <c r="I86" t="s">
        <v>678</v>
      </c>
      <c r="J86" t="s">
        <v>679</v>
      </c>
      <c r="K86" t="s">
        <v>680</v>
      </c>
      <c r="L86" t="s">
        <v>681</v>
      </c>
      <c r="M86" t="s">
        <v>682</v>
      </c>
      <c r="N86" t="s">
        <v>683</v>
      </c>
      <c r="O86" t="s">
        <v>684</v>
      </c>
      <c r="P86" t="s">
        <v>685</v>
      </c>
    </row>
    <row r="87" spans="2:16" ht="15">
      <c r="B87" s="7"/>
      <c r="C87" t="s">
        <v>686</v>
      </c>
      <c r="D87" t="s">
        <v>875</v>
      </c>
      <c r="E87" t="s">
        <v>876</v>
      </c>
      <c r="F87" t="s">
        <v>845</v>
      </c>
      <c r="G87" t="s">
        <v>688</v>
      </c>
      <c r="H87" t="s">
        <v>688</v>
      </c>
      <c r="I87" t="s">
        <v>688</v>
      </c>
      <c r="J87" t="s">
        <v>688</v>
      </c>
      <c r="K87" t="s">
        <v>688</v>
      </c>
      <c r="L87" t="s">
        <v>688</v>
      </c>
      <c r="M87" t="s">
        <v>877</v>
      </c>
      <c r="N87" t="s">
        <v>688</v>
      </c>
      <c r="O87" s="4">
        <v>1.48</v>
      </c>
      <c r="P87" t="s">
        <v>688</v>
      </c>
    </row>
    <row r="88" spans="2:16" ht="15">
      <c r="B88" s="1">
        <v>43</v>
      </c>
      <c r="C88" t="str">
        <f ca="1">IFERROR(__xludf.DUMMYFUNCTION(TRANSPOSE(ImportHTML("http://spending.data.al/sq/moneypower/view/id/43", "table", 0))),"*Kategoria*")</f>
        <v>*Kategoria*</v>
      </c>
      <c r="D88" t="s">
        <v>673</v>
      </c>
      <c r="E88" t="s">
        <v>674</v>
      </c>
      <c r="F88" t="s">
        <v>675</v>
      </c>
      <c r="G88" t="s">
        <v>676</v>
      </c>
      <c r="H88" t="s">
        <v>677</v>
      </c>
      <c r="I88" t="s">
        <v>678</v>
      </c>
      <c r="J88" t="s">
        <v>679</v>
      </c>
      <c r="K88" t="s">
        <v>680</v>
      </c>
      <c r="L88" t="s">
        <v>681</v>
      </c>
      <c r="M88" t="s">
        <v>682</v>
      </c>
      <c r="N88" t="s">
        <v>683</v>
      </c>
      <c r="O88" t="s">
        <v>684</v>
      </c>
      <c r="P88" t="s">
        <v>685</v>
      </c>
    </row>
    <row r="89" spans="2:16" ht="15">
      <c r="B89" s="7"/>
      <c r="C89" t="s">
        <v>686</v>
      </c>
      <c r="D89" t="s">
        <v>878</v>
      </c>
      <c r="E89" t="s">
        <v>688</v>
      </c>
      <c r="F89" t="s">
        <v>879</v>
      </c>
      <c r="G89" t="s">
        <v>688</v>
      </c>
      <c r="H89" t="s">
        <v>880</v>
      </c>
      <c r="I89" t="s">
        <v>688</v>
      </c>
      <c r="J89" t="s">
        <v>688</v>
      </c>
      <c r="K89" t="s">
        <v>688</v>
      </c>
      <c r="L89" t="s">
        <v>688</v>
      </c>
      <c r="M89" t="s">
        <v>881</v>
      </c>
      <c r="N89" t="s">
        <v>688</v>
      </c>
      <c r="O89" s="4">
        <v>1.37</v>
      </c>
      <c r="P89" t="s">
        <v>882</v>
      </c>
    </row>
    <row r="90" spans="2:16" ht="15">
      <c r="B90" s="1">
        <v>44</v>
      </c>
      <c r="C90" t="str">
        <f ca="1">IFERROR(__xludf.DUMMYFUNCTION(TRANSPOSE(ImportHTML("http://spending.data.al/sq/moneypower/view/id/44", "table", 0))),"*Kategoria*")</f>
        <v>*Kategoria*</v>
      </c>
      <c r="D90" t="s">
        <v>673</v>
      </c>
      <c r="E90" t="s">
        <v>674</v>
      </c>
      <c r="F90" t="s">
        <v>675</v>
      </c>
      <c r="G90" t="s">
        <v>676</v>
      </c>
      <c r="H90" t="s">
        <v>677</v>
      </c>
      <c r="I90" t="s">
        <v>678</v>
      </c>
      <c r="J90" t="s">
        <v>679</v>
      </c>
      <c r="K90" t="s">
        <v>680</v>
      </c>
      <c r="L90" t="s">
        <v>681</v>
      </c>
      <c r="M90" t="s">
        <v>682</v>
      </c>
      <c r="N90" t="s">
        <v>683</v>
      </c>
      <c r="O90" t="s">
        <v>684</v>
      </c>
      <c r="P90" t="s">
        <v>685</v>
      </c>
    </row>
    <row r="91" spans="2:16" ht="15">
      <c r="B91" s="7"/>
      <c r="C91" t="s">
        <v>686</v>
      </c>
      <c r="D91" t="s">
        <v>883</v>
      </c>
      <c r="E91" t="s">
        <v>884</v>
      </c>
      <c r="F91" t="s">
        <v>885</v>
      </c>
      <c r="G91" t="s">
        <v>886</v>
      </c>
      <c r="H91" t="s">
        <v>688</v>
      </c>
      <c r="I91" t="s">
        <v>688</v>
      </c>
      <c r="J91" t="s">
        <v>688</v>
      </c>
      <c r="K91" t="s">
        <v>688</v>
      </c>
      <c r="L91" t="s">
        <v>688</v>
      </c>
      <c r="M91" t="s">
        <v>887</v>
      </c>
      <c r="N91" t="s">
        <v>688</v>
      </c>
      <c r="O91" s="4">
        <v>5.55</v>
      </c>
      <c r="P91" t="s">
        <v>888</v>
      </c>
    </row>
    <row r="92" spans="2:16" ht="15">
      <c r="B92" s="1">
        <v>45</v>
      </c>
      <c r="C92" t="str">
        <f ca="1">IFERROR(__xludf.DUMMYFUNCTION(TRANSPOSE(ImportHTML("http://spending.data.al/sq/moneypower/view/id/45", "table", 0))),"*Kategoria*")</f>
        <v>*Kategoria*</v>
      </c>
      <c r="D92" t="s">
        <v>673</v>
      </c>
      <c r="E92" t="s">
        <v>674</v>
      </c>
      <c r="F92" t="s">
        <v>675</v>
      </c>
      <c r="G92" t="s">
        <v>676</v>
      </c>
      <c r="H92" t="s">
        <v>677</v>
      </c>
      <c r="I92" t="s">
        <v>678</v>
      </c>
      <c r="J92" t="s">
        <v>679</v>
      </c>
      <c r="K92" t="s">
        <v>680</v>
      </c>
      <c r="L92" t="s">
        <v>681</v>
      </c>
      <c r="M92" t="s">
        <v>682</v>
      </c>
      <c r="N92" t="s">
        <v>683</v>
      </c>
      <c r="O92" t="s">
        <v>684</v>
      </c>
      <c r="P92" t="s">
        <v>685</v>
      </c>
    </row>
    <row r="93" spans="2:16" ht="15">
      <c r="B93" s="7"/>
      <c r="C93" t="s">
        <v>686</v>
      </c>
      <c r="D93" t="s">
        <v>889</v>
      </c>
      <c r="E93" t="s">
        <v>688</v>
      </c>
      <c r="F93" t="s">
        <v>688</v>
      </c>
      <c r="G93" t="s">
        <v>688</v>
      </c>
      <c r="H93" t="s">
        <v>688</v>
      </c>
      <c r="I93" t="s">
        <v>890</v>
      </c>
      <c r="J93" t="s">
        <v>688</v>
      </c>
      <c r="K93" t="s">
        <v>688</v>
      </c>
      <c r="L93" t="s">
        <v>688</v>
      </c>
      <c r="M93" t="s">
        <v>891</v>
      </c>
      <c r="N93" t="s">
        <v>688</v>
      </c>
      <c r="O93" s="4">
        <v>1.46</v>
      </c>
      <c r="P93" t="s">
        <v>688</v>
      </c>
    </row>
    <row r="94" spans="2:16" ht="15">
      <c r="B94" s="1">
        <v>46</v>
      </c>
      <c r="C94" t="str">
        <f ca="1">IFERROR(__xludf.DUMMYFUNCTION(TRANSPOSE(ImportHTML("http://spending.data.al/sq/moneypower/view/id/46", "table", 0))),"*Kategoria*")</f>
        <v>*Kategoria*</v>
      </c>
      <c r="D94" t="s">
        <v>673</v>
      </c>
      <c r="E94" t="s">
        <v>674</v>
      </c>
      <c r="F94" t="s">
        <v>675</v>
      </c>
      <c r="G94" t="s">
        <v>676</v>
      </c>
      <c r="H94" t="s">
        <v>677</v>
      </c>
      <c r="I94" t="s">
        <v>678</v>
      </c>
      <c r="J94" t="s">
        <v>679</v>
      </c>
      <c r="K94" t="s">
        <v>680</v>
      </c>
      <c r="L94" t="s">
        <v>681</v>
      </c>
      <c r="M94" t="s">
        <v>682</v>
      </c>
      <c r="N94" t="s">
        <v>683</v>
      </c>
      <c r="O94" t="s">
        <v>684</v>
      </c>
      <c r="P94" t="s">
        <v>685</v>
      </c>
    </row>
    <row r="95" spans="2:16" ht="15">
      <c r="B95" s="7"/>
      <c r="C95" t="s">
        <v>686</v>
      </c>
      <c r="D95" t="s">
        <v>892</v>
      </c>
      <c r="E95" t="s">
        <v>688</v>
      </c>
      <c r="F95" t="s">
        <v>688</v>
      </c>
      <c r="G95" t="s">
        <v>893</v>
      </c>
      <c r="H95" t="s">
        <v>688</v>
      </c>
      <c r="I95" t="s">
        <v>688</v>
      </c>
      <c r="J95" t="s">
        <v>688</v>
      </c>
      <c r="K95" t="s">
        <v>688</v>
      </c>
      <c r="L95" t="s">
        <v>688</v>
      </c>
      <c r="M95" t="s">
        <v>894</v>
      </c>
      <c r="N95" t="s">
        <v>688</v>
      </c>
      <c r="O95" s="4">
        <v>1.1100000000000001</v>
      </c>
      <c r="P95" t="s">
        <v>895</v>
      </c>
    </row>
    <row r="96" spans="2:16" ht="15">
      <c r="B96" s="1">
        <v>47</v>
      </c>
      <c r="C96" t="str">
        <f ca="1">IFERROR(__xludf.DUMMYFUNCTION(TRANSPOSE(ImportHTML("http://spending.data.al/sq/moneypower/view/id/47", "table", 0))),"*Kategoria*")</f>
        <v>*Kategoria*</v>
      </c>
      <c r="D96" t="s">
        <v>673</v>
      </c>
      <c r="E96" t="s">
        <v>674</v>
      </c>
      <c r="F96" t="s">
        <v>675</v>
      </c>
      <c r="G96" t="s">
        <v>676</v>
      </c>
      <c r="H96" t="s">
        <v>677</v>
      </c>
      <c r="I96" t="s">
        <v>678</v>
      </c>
      <c r="J96" t="s">
        <v>679</v>
      </c>
      <c r="K96" t="s">
        <v>680</v>
      </c>
      <c r="L96" t="s">
        <v>681</v>
      </c>
      <c r="M96" t="s">
        <v>682</v>
      </c>
      <c r="N96" t="s">
        <v>683</v>
      </c>
      <c r="O96" t="s">
        <v>684</v>
      </c>
      <c r="P96" t="s">
        <v>685</v>
      </c>
    </row>
    <row r="97" spans="2:16" ht="15">
      <c r="B97" s="7"/>
      <c r="C97" t="s">
        <v>686</v>
      </c>
      <c r="D97" t="s">
        <v>896</v>
      </c>
      <c r="E97" t="s">
        <v>688</v>
      </c>
      <c r="F97" t="s">
        <v>897</v>
      </c>
      <c r="G97" t="s">
        <v>688</v>
      </c>
      <c r="H97" t="s">
        <v>688</v>
      </c>
      <c r="I97" t="s">
        <v>688</v>
      </c>
      <c r="J97" t="s">
        <v>688</v>
      </c>
      <c r="K97" t="s">
        <v>688</v>
      </c>
      <c r="L97" t="s">
        <v>688</v>
      </c>
      <c r="M97" t="s">
        <v>898</v>
      </c>
      <c r="N97" t="s">
        <v>688</v>
      </c>
      <c r="P97" t="s">
        <v>899</v>
      </c>
    </row>
    <row r="98" spans="2:16" ht="15">
      <c r="B98" s="1">
        <v>48</v>
      </c>
      <c r="C98" t="str">
        <f ca="1">IFERROR(__xludf.DUMMYFUNCTION(TRANSPOSE(ImportHTML("http://spending.data.al/sq/moneypower/view/id/48", "table", 0))),"*Kategoria*")</f>
        <v>*Kategoria*</v>
      </c>
      <c r="D98" t="s">
        <v>673</v>
      </c>
      <c r="E98" t="s">
        <v>674</v>
      </c>
      <c r="F98" t="s">
        <v>675</v>
      </c>
      <c r="G98" t="s">
        <v>676</v>
      </c>
      <c r="H98" t="s">
        <v>677</v>
      </c>
      <c r="I98" t="s">
        <v>678</v>
      </c>
      <c r="J98" t="s">
        <v>679</v>
      </c>
      <c r="K98" t="s">
        <v>680</v>
      </c>
      <c r="L98" t="s">
        <v>681</v>
      </c>
      <c r="M98" t="s">
        <v>682</v>
      </c>
      <c r="N98" t="s">
        <v>683</v>
      </c>
      <c r="O98" t="s">
        <v>684</v>
      </c>
      <c r="P98" t="s">
        <v>685</v>
      </c>
    </row>
    <row r="99" spans="2:16" ht="15">
      <c r="B99" s="7"/>
      <c r="C99" t="s">
        <v>686</v>
      </c>
      <c r="D99" t="s">
        <v>900</v>
      </c>
      <c r="E99" t="s">
        <v>901</v>
      </c>
      <c r="F99" t="s">
        <v>902</v>
      </c>
      <c r="G99" t="s">
        <v>688</v>
      </c>
      <c r="H99" t="s">
        <v>903</v>
      </c>
      <c r="I99" t="s">
        <v>688</v>
      </c>
      <c r="J99" t="s">
        <v>688</v>
      </c>
      <c r="K99" t="s">
        <v>688</v>
      </c>
      <c r="L99" t="s">
        <v>688</v>
      </c>
      <c r="M99" t="s">
        <v>904</v>
      </c>
      <c r="N99" t="s">
        <v>688</v>
      </c>
      <c r="O99" s="4">
        <v>3.86</v>
      </c>
      <c r="P99" t="s">
        <v>688</v>
      </c>
    </row>
    <row r="100" spans="2:16" ht="15">
      <c r="B100" s="1">
        <v>49</v>
      </c>
      <c r="C100" t="str">
        <f ca="1">IFERROR(__xludf.DUMMYFUNCTION(TRANSPOSE(ImportHTML("http://spending.data.al/sq/moneypower/view/id/49", "table", 0))),"*Kategoria*")</f>
        <v>*Kategoria*</v>
      </c>
      <c r="D100" t="s">
        <v>673</v>
      </c>
      <c r="E100" t="s">
        <v>674</v>
      </c>
      <c r="F100" t="s">
        <v>675</v>
      </c>
      <c r="G100" t="s">
        <v>676</v>
      </c>
      <c r="H100" t="s">
        <v>677</v>
      </c>
      <c r="I100" t="s">
        <v>678</v>
      </c>
      <c r="J100" t="s">
        <v>679</v>
      </c>
      <c r="K100" t="s">
        <v>680</v>
      </c>
      <c r="L100" t="s">
        <v>681</v>
      </c>
      <c r="M100" t="s">
        <v>682</v>
      </c>
      <c r="N100" t="s">
        <v>683</v>
      </c>
      <c r="O100" t="s">
        <v>684</v>
      </c>
      <c r="P100" t="s">
        <v>685</v>
      </c>
    </row>
    <row r="101" spans="2:16" ht="15">
      <c r="B101" s="7"/>
      <c r="C101" t="s">
        <v>686</v>
      </c>
      <c r="D101" t="s">
        <v>905</v>
      </c>
      <c r="E101" t="s">
        <v>688</v>
      </c>
      <c r="F101" t="s">
        <v>906</v>
      </c>
      <c r="G101" t="s">
        <v>688</v>
      </c>
      <c r="H101" t="s">
        <v>688</v>
      </c>
      <c r="I101" t="s">
        <v>688</v>
      </c>
      <c r="J101" t="s">
        <v>688</v>
      </c>
      <c r="K101" t="s">
        <v>688</v>
      </c>
      <c r="L101" t="s">
        <v>688</v>
      </c>
      <c r="M101" t="s">
        <v>907</v>
      </c>
      <c r="N101" t="s">
        <v>688</v>
      </c>
      <c r="P101" t="s">
        <v>908</v>
      </c>
    </row>
    <row r="102" spans="2:16" ht="15">
      <c r="B102" s="1">
        <v>50</v>
      </c>
      <c r="C102" t="str">
        <f ca="1">IFERROR(__xludf.DUMMYFUNCTION(TRANSPOSE(ImportHTML("http://spending.data.al/sq/moneypower/view/id/50", "table", 0))),"*Kategoria*")</f>
        <v>*Kategoria*</v>
      </c>
      <c r="D102" t="s">
        <v>673</v>
      </c>
      <c r="E102" t="s">
        <v>674</v>
      </c>
      <c r="F102" t="s">
        <v>675</v>
      </c>
      <c r="G102" t="s">
        <v>676</v>
      </c>
      <c r="H102" t="s">
        <v>677</v>
      </c>
      <c r="I102" t="s">
        <v>678</v>
      </c>
      <c r="J102" t="s">
        <v>679</v>
      </c>
      <c r="K102" t="s">
        <v>680</v>
      </c>
      <c r="L102" t="s">
        <v>681</v>
      </c>
      <c r="M102" t="s">
        <v>682</v>
      </c>
      <c r="N102" t="s">
        <v>683</v>
      </c>
      <c r="O102" t="s">
        <v>684</v>
      </c>
      <c r="P102" t="s">
        <v>685</v>
      </c>
    </row>
    <row r="103" spans="2:16" ht="15">
      <c r="B103" s="7"/>
      <c r="C103" t="s">
        <v>686</v>
      </c>
      <c r="D103" t="s">
        <v>909</v>
      </c>
      <c r="E103" t="s">
        <v>910</v>
      </c>
      <c r="F103" t="s">
        <v>911</v>
      </c>
      <c r="G103" t="s">
        <v>688</v>
      </c>
      <c r="H103" t="s">
        <v>688</v>
      </c>
      <c r="I103" t="s">
        <v>688</v>
      </c>
      <c r="J103" t="s">
        <v>688</v>
      </c>
      <c r="K103" t="s">
        <v>688</v>
      </c>
      <c r="L103" t="s">
        <v>688</v>
      </c>
      <c r="M103" t="s">
        <v>912</v>
      </c>
      <c r="N103" t="s">
        <v>913</v>
      </c>
      <c r="O103" s="4">
        <v>1.48</v>
      </c>
      <c r="P103" t="s">
        <v>688</v>
      </c>
    </row>
    <row r="104" spans="2:16" ht="15">
      <c r="B104" s="1">
        <v>51</v>
      </c>
      <c r="C104" t="str">
        <f ca="1">IFERROR(__xludf.DUMMYFUNCTION(TRANSPOSE(ImportHTML("http://spending.data.al/sq/moneypower/view/id/51", "table", 0))),"*Kategoria*")</f>
        <v>*Kategoria*</v>
      </c>
      <c r="D104" t="s">
        <v>673</v>
      </c>
      <c r="E104" t="s">
        <v>674</v>
      </c>
      <c r="F104" t="s">
        <v>675</v>
      </c>
      <c r="G104" t="s">
        <v>676</v>
      </c>
      <c r="H104" t="s">
        <v>677</v>
      </c>
      <c r="I104" t="s">
        <v>678</v>
      </c>
      <c r="J104" t="s">
        <v>679</v>
      </c>
      <c r="K104" t="s">
        <v>680</v>
      </c>
      <c r="L104" t="s">
        <v>681</v>
      </c>
      <c r="M104" t="s">
        <v>682</v>
      </c>
      <c r="N104" t="s">
        <v>683</v>
      </c>
      <c r="O104" t="s">
        <v>684</v>
      </c>
      <c r="P104" t="s">
        <v>685</v>
      </c>
    </row>
    <row r="105" spans="2:16" ht="15">
      <c r="B105" s="7"/>
      <c r="C105" t="s">
        <v>686</v>
      </c>
      <c r="D105" t="s">
        <v>914</v>
      </c>
      <c r="E105" t="s">
        <v>915</v>
      </c>
      <c r="F105" t="s">
        <v>868</v>
      </c>
      <c r="G105" t="s">
        <v>688</v>
      </c>
      <c r="H105" t="s">
        <v>688</v>
      </c>
      <c r="I105" t="s">
        <v>688</v>
      </c>
      <c r="J105" t="s">
        <v>688</v>
      </c>
      <c r="K105" t="s">
        <v>688</v>
      </c>
      <c r="L105" t="s">
        <v>688</v>
      </c>
      <c r="M105" t="s">
        <v>916</v>
      </c>
      <c r="N105" t="s">
        <v>917</v>
      </c>
      <c r="O105" s="4">
        <v>2.4500000000000002</v>
      </c>
      <c r="P105" t="s">
        <v>688</v>
      </c>
    </row>
    <row r="106" spans="2:16" ht="15">
      <c r="B106" s="1">
        <v>52</v>
      </c>
      <c r="C106" t="str">
        <f ca="1">IFERROR(__xludf.DUMMYFUNCTION(TRANSPOSE(ImportHTML("http://spending.data.al/sq/moneypower/view/id/52", "table", 0))),"*Kategoria*")</f>
        <v>*Kategoria*</v>
      </c>
      <c r="D106" t="s">
        <v>673</v>
      </c>
      <c r="E106" t="s">
        <v>674</v>
      </c>
      <c r="F106" t="s">
        <v>675</v>
      </c>
      <c r="G106" t="s">
        <v>676</v>
      </c>
      <c r="H106" t="s">
        <v>677</v>
      </c>
      <c r="I106" t="s">
        <v>678</v>
      </c>
      <c r="J106" t="s">
        <v>679</v>
      </c>
      <c r="K106" t="s">
        <v>680</v>
      </c>
      <c r="L106" t="s">
        <v>681</v>
      </c>
      <c r="M106" t="s">
        <v>682</v>
      </c>
      <c r="N106" t="s">
        <v>683</v>
      </c>
      <c r="O106" t="s">
        <v>684</v>
      </c>
      <c r="P106" t="s">
        <v>685</v>
      </c>
    </row>
    <row r="107" spans="2:16" ht="15">
      <c r="B107" s="7"/>
      <c r="C107" t="s">
        <v>686</v>
      </c>
      <c r="D107" t="s">
        <v>918</v>
      </c>
      <c r="E107" t="s">
        <v>688</v>
      </c>
      <c r="F107" t="s">
        <v>919</v>
      </c>
      <c r="G107" t="s">
        <v>688</v>
      </c>
      <c r="H107" t="s">
        <v>688</v>
      </c>
      <c r="I107" t="s">
        <v>688</v>
      </c>
      <c r="J107" t="s">
        <v>688</v>
      </c>
      <c r="K107" t="s">
        <v>688</v>
      </c>
      <c r="L107" t="s">
        <v>688</v>
      </c>
      <c r="M107" t="s">
        <v>920</v>
      </c>
      <c r="N107" t="s">
        <v>688</v>
      </c>
      <c r="O107" s="4">
        <v>1.44</v>
      </c>
      <c r="P107" t="s">
        <v>688</v>
      </c>
    </row>
    <row r="108" spans="2:16" ht="15">
      <c r="B108" s="1">
        <v>53</v>
      </c>
      <c r="C108" t="str">
        <f ca="1">IFERROR(__xludf.DUMMYFUNCTION(TRANSPOSE(ImportHTML("http://spending.data.al/sq/moneypower/view/id/53", "table", 0))),"*Kategoria*")</f>
        <v>*Kategoria*</v>
      </c>
      <c r="D108" t="s">
        <v>673</v>
      </c>
      <c r="E108" t="s">
        <v>674</v>
      </c>
      <c r="F108" t="s">
        <v>675</v>
      </c>
      <c r="G108" t="s">
        <v>676</v>
      </c>
      <c r="H108" t="s">
        <v>677</v>
      </c>
      <c r="I108" t="s">
        <v>678</v>
      </c>
      <c r="J108" t="s">
        <v>679</v>
      </c>
      <c r="K108" t="s">
        <v>680</v>
      </c>
      <c r="L108" t="s">
        <v>681</v>
      </c>
      <c r="M108" t="s">
        <v>682</v>
      </c>
      <c r="N108" t="s">
        <v>683</v>
      </c>
      <c r="O108" t="s">
        <v>684</v>
      </c>
      <c r="P108" t="s">
        <v>685</v>
      </c>
    </row>
    <row r="109" spans="2:16" ht="15">
      <c r="B109" s="7"/>
      <c r="C109" t="s">
        <v>686</v>
      </c>
      <c r="D109" t="s">
        <v>921</v>
      </c>
      <c r="E109" t="s">
        <v>688</v>
      </c>
      <c r="F109" t="s">
        <v>696</v>
      </c>
      <c r="G109" t="s">
        <v>922</v>
      </c>
      <c r="H109" t="s">
        <v>688</v>
      </c>
      <c r="I109" t="s">
        <v>688</v>
      </c>
      <c r="J109" t="s">
        <v>688</v>
      </c>
      <c r="K109" t="s">
        <v>688</v>
      </c>
      <c r="L109" t="s">
        <v>688</v>
      </c>
      <c r="M109" t="s">
        <v>923</v>
      </c>
      <c r="N109" t="s">
        <v>688</v>
      </c>
      <c r="O109" s="4">
        <v>1.22</v>
      </c>
      <c r="P109" t="s">
        <v>688</v>
      </c>
    </row>
    <row r="110" spans="2:16" ht="15">
      <c r="B110" s="1">
        <v>54</v>
      </c>
      <c r="C110" t="str">
        <f ca="1">IFERROR(__xludf.DUMMYFUNCTION(TRANSPOSE(ImportHTML("http://spending.data.al/sq/moneypower/view/id/54", "table", 0))),"*Kategoria*")</f>
        <v>*Kategoria*</v>
      </c>
      <c r="D110" t="s">
        <v>673</v>
      </c>
      <c r="E110" t="s">
        <v>674</v>
      </c>
      <c r="F110" t="s">
        <v>675</v>
      </c>
      <c r="G110" t="s">
        <v>676</v>
      </c>
      <c r="H110" t="s">
        <v>677</v>
      </c>
      <c r="I110" t="s">
        <v>678</v>
      </c>
      <c r="J110" t="s">
        <v>679</v>
      </c>
      <c r="K110" t="s">
        <v>680</v>
      </c>
      <c r="L110" t="s">
        <v>681</v>
      </c>
      <c r="M110" t="s">
        <v>682</v>
      </c>
      <c r="N110" t="s">
        <v>683</v>
      </c>
      <c r="O110" t="s">
        <v>684</v>
      </c>
      <c r="P110" t="s">
        <v>685</v>
      </c>
    </row>
    <row r="111" spans="2:16" ht="15">
      <c r="B111" s="7"/>
      <c r="C111" t="s">
        <v>686</v>
      </c>
      <c r="D111" t="s">
        <v>924</v>
      </c>
      <c r="E111" t="s">
        <v>688</v>
      </c>
      <c r="F111" t="s">
        <v>879</v>
      </c>
      <c r="G111" t="s">
        <v>688</v>
      </c>
      <c r="H111" t="s">
        <v>925</v>
      </c>
      <c r="I111" t="s">
        <v>688</v>
      </c>
      <c r="J111" t="s">
        <v>688</v>
      </c>
      <c r="K111" t="s">
        <v>688</v>
      </c>
      <c r="L111" t="s">
        <v>688</v>
      </c>
      <c r="M111" t="s">
        <v>926</v>
      </c>
      <c r="N111" t="s">
        <v>927</v>
      </c>
      <c r="O111" s="4">
        <v>2.0499999999999998</v>
      </c>
      <c r="P111" t="s">
        <v>688</v>
      </c>
    </row>
    <row r="112" spans="2:16" ht="15">
      <c r="B112" s="1">
        <v>55</v>
      </c>
      <c r="C112" t="str">
        <f ca="1">IFERROR(__xludf.DUMMYFUNCTION(TRANSPOSE(ImportHTML("http://spending.data.al/sq/moneypower/view/id/55", "table", 0))),"*Kategoria*")</f>
        <v>*Kategoria*</v>
      </c>
      <c r="D112" t="s">
        <v>673</v>
      </c>
      <c r="E112" t="s">
        <v>674</v>
      </c>
      <c r="F112" t="s">
        <v>675</v>
      </c>
      <c r="G112" t="s">
        <v>676</v>
      </c>
      <c r="H112" t="s">
        <v>677</v>
      </c>
      <c r="I112" t="s">
        <v>678</v>
      </c>
      <c r="J112" t="s">
        <v>679</v>
      </c>
      <c r="K112" t="s">
        <v>680</v>
      </c>
      <c r="L112" t="s">
        <v>681</v>
      </c>
      <c r="M112" t="s">
        <v>682</v>
      </c>
      <c r="N112" t="s">
        <v>683</v>
      </c>
      <c r="O112" t="s">
        <v>684</v>
      </c>
      <c r="P112" t="s">
        <v>685</v>
      </c>
    </row>
    <row r="113" spans="2:16" ht="15">
      <c r="B113" s="7"/>
      <c r="C113" t="s">
        <v>686</v>
      </c>
      <c r="D113" t="s">
        <v>928</v>
      </c>
      <c r="E113" t="s">
        <v>929</v>
      </c>
      <c r="F113" t="s">
        <v>930</v>
      </c>
      <c r="G113" t="s">
        <v>688</v>
      </c>
      <c r="H113" t="s">
        <v>688</v>
      </c>
      <c r="I113" t="s">
        <v>688</v>
      </c>
      <c r="J113" t="s">
        <v>688</v>
      </c>
      <c r="K113" t="s">
        <v>688</v>
      </c>
      <c r="L113" t="s">
        <v>688</v>
      </c>
      <c r="M113" t="s">
        <v>688</v>
      </c>
      <c r="N113" t="s">
        <v>688</v>
      </c>
      <c r="O113" s="4">
        <v>1.06</v>
      </c>
      <c r="P113" t="s">
        <v>688</v>
      </c>
    </row>
    <row r="114" spans="2:16" ht="15">
      <c r="B114" s="1">
        <v>56</v>
      </c>
      <c r="C114" t="str">
        <f ca="1">IFERROR(__xludf.DUMMYFUNCTION(TRANSPOSE(ImportHTML("http://spending.data.al/sq/moneypower/view/id/56", "table", 0))),"*Kategoria*")</f>
        <v>*Kategoria*</v>
      </c>
      <c r="D114" t="s">
        <v>673</v>
      </c>
      <c r="E114" t="s">
        <v>674</v>
      </c>
      <c r="F114" t="s">
        <v>675</v>
      </c>
      <c r="G114" t="s">
        <v>676</v>
      </c>
      <c r="H114" t="s">
        <v>677</v>
      </c>
      <c r="I114" t="s">
        <v>678</v>
      </c>
      <c r="J114" t="s">
        <v>679</v>
      </c>
      <c r="K114" t="s">
        <v>680</v>
      </c>
      <c r="L114" t="s">
        <v>681</v>
      </c>
      <c r="M114" t="s">
        <v>682</v>
      </c>
      <c r="N114" t="s">
        <v>683</v>
      </c>
      <c r="O114" t="s">
        <v>684</v>
      </c>
      <c r="P114" t="s">
        <v>685</v>
      </c>
    </row>
    <row r="115" spans="2:16" ht="15">
      <c r="B115" s="7"/>
      <c r="C115" t="s">
        <v>686</v>
      </c>
      <c r="D115" t="s">
        <v>931</v>
      </c>
      <c r="E115" t="s">
        <v>932</v>
      </c>
      <c r="F115" t="s">
        <v>933</v>
      </c>
      <c r="G115" t="s">
        <v>934</v>
      </c>
      <c r="H115" t="s">
        <v>688</v>
      </c>
      <c r="I115" t="s">
        <v>688</v>
      </c>
      <c r="J115" t="s">
        <v>688</v>
      </c>
      <c r="K115" t="s">
        <v>688</v>
      </c>
      <c r="L115" t="s">
        <v>688</v>
      </c>
      <c r="M115" t="s">
        <v>935</v>
      </c>
      <c r="N115" t="s">
        <v>688</v>
      </c>
      <c r="O115" s="4">
        <v>1.57</v>
      </c>
      <c r="P115" t="s">
        <v>688</v>
      </c>
    </row>
    <row r="116" spans="2:16" ht="15">
      <c r="B116" s="1">
        <v>57</v>
      </c>
      <c r="C116" t="str">
        <f ca="1">IFERROR(__xludf.DUMMYFUNCTION(TRANSPOSE(ImportHTML("http://spending.data.al/sq/moneypower/view/id/57", "table", 0))),"*Kategoria*")</f>
        <v>*Kategoria*</v>
      </c>
      <c r="D116" t="s">
        <v>673</v>
      </c>
      <c r="E116" t="s">
        <v>674</v>
      </c>
      <c r="F116" t="s">
        <v>675</v>
      </c>
      <c r="G116" t="s">
        <v>676</v>
      </c>
      <c r="H116" t="s">
        <v>677</v>
      </c>
      <c r="I116" t="s">
        <v>678</v>
      </c>
      <c r="J116" t="s">
        <v>679</v>
      </c>
      <c r="K116" t="s">
        <v>680</v>
      </c>
      <c r="L116" t="s">
        <v>681</v>
      </c>
      <c r="M116" t="s">
        <v>682</v>
      </c>
      <c r="N116" t="s">
        <v>683</v>
      </c>
      <c r="O116" t="s">
        <v>684</v>
      </c>
      <c r="P116" t="s">
        <v>685</v>
      </c>
    </row>
    <row r="117" spans="2:16" ht="15">
      <c r="B117" s="7"/>
      <c r="C117" t="s">
        <v>686</v>
      </c>
      <c r="D117" t="s">
        <v>936</v>
      </c>
      <c r="E117" t="s">
        <v>688</v>
      </c>
      <c r="F117" t="s">
        <v>688</v>
      </c>
      <c r="G117" t="s">
        <v>688</v>
      </c>
      <c r="H117" t="s">
        <v>688</v>
      </c>
      <c r="I117" t="s">
        <v>688</v>
      </c>
      <c r="J117" t="s">
        <v>688</v>
      </c>
      <c r="K117" t="s">
        <v>688</v>
      </c>
      <c r="L117" t="s">
        <v>688</v>
      </c>
      <c r="M117" t="s">
        <v>937</v>
      </c>
      <c r="N117" t="s">
        <v>688</v>
      </c>
      <c r="O117" s="4">
        <v>1</v>
      </c>
      <c r="P117" t="s">
        <v>688</v>
      </c>
    </row>
    <row r="118" spans="2:16" ht="15">
      <c r="B118" s="1">
        <v>58</v>
      </c>
      <c r="C118" t="str">
        <f ca="1">IFERROR(__xludf.DUMMYFUNCTION(TRANSPOSE(ImportHTML("http://spending.data.al/sq/moneypower/view/id/58", "table", 0))),"*Kategoria*")</f>
        <v>*Kategoria*</v>
      </c>
      <c r="D118" t="s">
        <v>673</v>
      </c>
      <c r="E118" t="s">
        <v>674</v>
      </c>
      <c r="F118" t="s">
        <v>675</v>
      </c>
      <c r="G118" t="s">
        <v>676</v>
      </c>
      <c r="H118" t="s">
        <v>677</v>
      </c>
      <c r="I118" t="s">
        <v>678</v>
      </c>
      <c r="J118" t="s">
        <v>679</v>
      </c>
      <c r="K118" t="s">
        <v>680</v>
      </c>
      <c r="L118" t="s">
        <v>681</v>
      </c>
      <c r="M118" t="s">
        <v>682</v>
      </c>
      <c r="N118" t="s">
        <v>683</v>
      </c>
      <c r="O118" t="s">
        <v>684</v>
      </c>
      <c r="P118" t="s">
        <v>685</v>
      </c>
    </row>
    <row r="119" spans="2:16" ht="15">
      <c r="B119" s="7"/>
      <c r="C119" t="s">
        <v>686</v>
      </c>
      <c r="D119" t="s">
        <v>938</v>
      </c>
      <c r="E119" t="s">
        <v>688</v>
      </c>
      <c r="F119" t="s">
        <v>688</v>
      </c>
      <c r="G119" t="s">
        <v>688</v>
      </c>
      <c r="H119" t="s">
        <v>688</v>
      </c>
      <c r="I119" t="s">
        <v>688</v>
      </c>
      <c r="J119" t="s">
        <v>688</v>
      </c>
      <c r="K119" t="s">
        <v>688</v>
      </c>
      <c r="L119" t="s">
        <v>688</v>
      </c>
      <c r="M119" t="s">
        <v>939</v>
      </c>
      <c r="N119" t="s">
        <v>688</v>
      </c>
      <c r="O119" s="4">
        <v>1</v>
      </c>
      <c r="P119" t="s">
        <v>688</v>
      </c>
    </row>
    <row r="120" spans="2:16" ht="15">
      <c r="B120" s="1">
        <v>59</v>
      </c>
      <c r="C120" t="str">
        <f ca="1">IFERROR(__xludf.DUMMYFUNCTION(TRANSPOSE(ImportHTML("http://spending.data.al/sq/moneypower/view/id/59", "table", 0))),"*Kategoria*")</f>
        <v>*Kategoria*</v>
      </c>
      <c r="D120" t="s">
        <v>673</v>
      </c>
      <c r="E120" t="s">
        <v>674</v>
      </c>
      <c r="F120" t="s">
        <v>675</v>
      </c>
      <c r="G120" t="s">
        <v>676</v>
      </c>
      <c r="H120" t="s">
        <v>677</v>
      </c>
      <c r="I120" t="s">
        <v>678</v>
      </c>
      <c r="J120" t="s">
        <v>679</v>
      </c>
      <c r="K120" t="s">
        <v>680</v>
      </c>
      <c r="L120" t="s">
        <v>681</v>
      </c>
      <c r="M120" t="s">
        <v>682</v>
      </c>
      <c r="N120" t="s">
        <v>683</v>
      </c>
      <c r="O120" t="s">
        <v>684</v>
      </c>
      <c r="P120" t="s">
        <v>685</v>
      </c>
    </row>
    <row r="121" spans="2:16" ht="15">
      <c r="B121" s="7"/>
      <c r="C121" t="s">
        <v>686</v>
      </c>
      <c r="D121" t="s">
        <v>940</v>
      </c>
      <c r="E121" t="s">
        <v>688</v>
      </c>
      <c r="F121" t="s">
        <v>868</v>
      </c>
      <c r="G121" t="s">
        <v>688</v>
      </c>
      <c r="H121" t="s">
        <v>688</v>
      </c>
      <c r="I121" t="s">
        <v>688</v>
      </c>
      <c r="J121" t="s">
        <v>688</v>
      </c>
      <c r="K121" t="s">
        <v>688</v>
      </c>
      <c r="L121" t="s">
        <v>688</v>
      </c>
      <c r="M121" t="s">
        <v>941</v>
      </c>
      <c r="N121" t="s">
        <v>688</v>
      </c>
      <c r="O121" s="4">
        <v>1.2</v>
      </c>
      <c r="P121" t="s">
        <v>688</v>
      </c>
    </row>
    <row r="122" spans="2:16" ht="15">
      <c r="B122" s="1">
        <v>60</v>
      </c>
      <c r="C122" t="str">
        <f ca="1">IFERROR(__xludf.DUMMYFUNCTION(TRANSPOSE(ImportHTML("http://spending.data.al/sq/moneypower/view/id/60", "table", 0))),"*Kategoria*")</f>
        <v>*Kategoria*</v>
      </c>
      <c r="D122" t="s">
        <v>673</v>
      </c>
      <c r="E122" t="s">
        <v>674</v>
      </c>
      <c r="F122" t="s">
        <v>675</v>
      </c>
      <c r="G122" t="s">
        <v>676</v>
      </c>
      <c r="H122" t="s">
        <v>677</v>
      </c>
      <c r="I122" t="s">
        <v>678</v>
      </c>
      <c r="J122" t="s">
        <v>679</v>
      </c>
      <c r="K122" t="s">
        <v>680</v>
      </c>
      <c r="L122" t="s">
        <v>681</v>
      </c>
      <c r="M122" t="s">
        <v>682</v>
      </c>
      <c r="N122" t="s">
        <v>683</v>
      </c>
      <c r="O122" t="s">
        <v>684</v>
      </c>
      <c r="P122" t="s">
        <v>685</v>
      </c>
    </row>
    <row r="123" spans="2:16" ht="15">
      <c r="B123" s="7"/>
      <c r="C123" t="s">
        <v>686</v>
      </c>
      <c r="D123" t="s">
        <v>942</v>
      </c>
      <c r="E123" t="s">
        <v>688</v>
      </c>
      <c r="F123" t="s">
        <v>943</v>
      </c>
      <c r="H123" t="s">
        <v>944</v>
      </c>
      <c r="I123" t="s">
        <v>688</v>
      </c>
      <c r="J123" t="s">
        <v>945</v>
      </c>
      <c r="K123" t="s">
        <v>688</v>
      </c>
      <c r="L123" t="s">
        <v>688</v>
      </c>
      <c r="M123" t="s">
        <v>946</v>
      </c>
      <c r="N123" t="s">
        <v>688</v>
      </c>
      <c r="P123" t="s">
        <v>947</v>
      </c>
    </row>
    <row r="124" spans="2:16" ht="15">
      <c r="B124" s="1">
        <v>61</v>
      </c>
      <c r="C124" t="str">
        <f ca="1">IFERROR(__xludf.DUMMYFUNCTION(TRANSPOSE(ImportHTML("http://spending.data.al/sq/moneypower/view/id/61", "table", 0))),"*Kategoria*")</f>
        <v>*Kategoria*</v>
      </c>
      <c r="D124" t="s">
        <v>673</v>
      </c>
      <c r="E124" t="s">
        <v>674</v>
      </c>
      <c r="F124" t="s">
        <v>675</v>
      </c>
      <c r="G124" t="s">
        <v>676</v>
      </c>
      <c r="H124" t="s">
        <v>677</v>
      </c>
      <c r="I124" t="s">
        <v>678</v>
      </c>
      <c r="J124" t="s">
        <v>679</v>
      </c>
      <c r="K124" t="s">
        <v>680</v>
      </c>
      <c r="L124" t="s">
        <v>681</v>
      </c>
      <c r="M124" t="s">
        <v>682</v>
      </c>
      <c r="N124" t="s">
        <v>683</v>
      </c>
      <c r="O124" t="s">
        <v>684</v>
      </c>
      <c r="P124" t="s">
        <v>685</v>
      </c>
    </row>
    <row r="125" spans="2:16" ht="15">
      <c r="B125" s="7"/>
      <c r="C125" t="s">
        <v>686</v>
      </c>
      <c r="D125" t="s">
        <v>948</v>
      </c>
      <c r="E125" t="s">
        <v>688</v>
      </c>
      <c r="F125" t="s">
        <v>688</v>
      </c>
      <c r="G125" t="s">
        <v>688</v>
      </c>
      <c r="H125" t="s">
        <v>688</v>
      </c>
      <c r="I125" t="s">
        <v>949</v>
      </c>
      <c r="J125" t="s">
        <v>688</v>
      </c>
      <c r="K125" t="s">
        <v>688</v>
      </c>
      <c r="L125" t="s">
        <v>688</v>
      </c>
      <c r="M125" t="s">
        <v>950</v>
      </c>
      <c r="N125" t="s">
        <v>688</v>
      </c>
      <c r="O125" s="4">
        <v>2.15</v>
      </c>
      <c r="P125" t="s">
        <v>688</v>
      </c>
    </row>
    <row r="126" spans="2:16" ht="15">
      <c r="B126" s="1">
        <v>62</v>
      </c>
      <c r="C126" t="str">
        <f ca="1">IFERROR(__xludf.DUMMYFUNCTION(TRANSPOSE(ImportHTML("http://spending.data.al/sq/moneypower/view/id/62", "table", 0))),"*Kategoria*")</f>
        <v>*Kategoria*</v>
      </c>
      <c r="D126" t="s">
        <v>673</v>
      </c>
      <c r="E126" t="s">
        <v>674</v>
      </c>
      <c r="F126" t="s">
        <v>675</v>
      </c>
      <c r="G126" t="s">
        <v>676</v>
      </c>
      <c r="H126" t="s">
        <v>677</v>
      </c>
      <c r="I126" t="s">
        <v>678</v>
      </c>
      <c r="J126" t="s">
        <v>679</v>
      </c>
      <c r="K126" t="s">
        <v>680</v>
      </c>
      <c r="L126" t="s">
        <v>681</v>
      </c>
      <c r="M126" t="s">
        <v>682</v>
      </c>
      <c r="N126" t="s">
        <v>683</v>
      </c>
      <c r="O126" t="s">
        <v>684</v>
      </c>
      <c r="P126" t="s">
        <v>685</v>
      </c>
    </row>
    <row r="127" spans="2:16" ht="15">
      <c r="B127" s="7"/>
      <c r="C127" t="s">
        <v>686</v>
      </c>
      <c r="D127" t="s">
        <v>951</v>
      </c>
      <c r="E127" t="s">
        <v>688</v>
      </c>
      <c r="F127" t="s">
        <v>952</v>
      </c>
      <c r="G127" t="s">
        <v>688</v>
      </c>
      <c r="H127" t="s">
        <v>688</v>
      </c>
      <c r="I127" t="s">
        <v>688</v>
      </c>
      <c r="J127" t="s">
        <v>688</v>
      </c>
      <c r="K127" t="s">
        <v>688</v>
      </c>
      <c r="L127" t="s">
        <v>688</v>
      </c>
      <c r="M127" t="s">
        <v>953</v>
      </c>
      <c r="N127" t="s">
        <v>688</v>
      </c>
      <c r="O127" s="4">
        <v>1.72</v>
      </c>
      <c r="P127" t="s">
        <v>688</v>
      </c>
    </row>
    <row r="128" spans="2:16" ht="15">
      <c r="B128" s="1">
        <v>63</v>
      </c>
      <c r="C128" t="str">
        <f ca="1">IFERROR(__xludf.DUMMYFUNCTION(TRANSPOSE(ImportHTML("http://spending.data.al/sq/moneypower/view/id/63", "table", 0))),"*Kategoria*")</f>
        <v>*Kategoria*</v>
      </c>
      <c r="D128" t="s">
        <v>673</v>
      </c>
      <c r="E128" t="s">
        <v>674</v>
      </c>
      <c r="F128" t="s">
        <v>675</v>
      </c>
      <c r="G128" t="s">
        <v>676</v>
      </c>
      <c r="H128" t="s">
        <v>677</v>
      </c>
      <c r="I128" t="s">
        <v>678</v>
      </c>
      <c r="J128" t="s">
        <v>679</v>
      </c>
      <c r="K128" t="s">
        <v>680</v>
      </c>
      <c r="L128" t="s">
        <v>681</v>
      </c>
      <c r="M128" t="s">
        <v>682</v>
      </c>
      <c r="N128" t="s">
        <v>683</v>
      </c>
      <c r="O128" t="s">
        <v>684</v>
      </c>
      <c r="P128" t="s">
        <v>685</v>
      </c>
    </row>
    <row r="129" spans="2:16" ht="15">
      <c r="B129" s="7"/>
      <c r="C129" t="s">
        <v>686</v>
      </c>
      <c r="D129" t="s">
        <v>954</v>
      </c>
      <c r="E129" t="s">
        <v>688</v>
      </c>
      <c r="F129" t="s">
        <v>688</v>
      </c>
      <c r="G129" t="s">
        <v>688</v>
      </c>
      <c r="H129" t="s">
        <v>688</v>
      </c>
      <c r="I129" t="s">
        <v>688</v>
      </c>
      <c r="J129" t="s">
        <v>688</v>
      </c>
      <c r="K129" t="s">
        <v>688</v>
      </c>
      <c r="L129" t="s">
        <v>688</v>
      </c>
      <c r="M129" t="s">
        <v>955</v>
      </c>
      <c r="N129" t="s">
        <v>688</v>
      </c>
      <c r="O129" s="4">
        <v>1</v>
      </c>
      <c r="P129" t="s">
        <v>688</v>
      </c>
    </row>
    <row r="130" spans="2:16" ht="15">
      <c r="B130" s="1">
        <v>64</v>
      </c>
      <c r="C130" t="str">
        <f ca="1">IFERROR(__xludf.DUMMYFUNCTION(TRANSPOSE(ImportHTML("http://spending.data.al/sq/moneypower/view/id/64", "table", 0))),"*Kategoria*")</f>
        <v>*Kategoria*</v>
      </c>
      <c r="D130" t="s">
        <v>673</v>
      </c>
      <c r="E130" t="s">
        <v>674</v>
      </c>
      <c r="F130" t="s">
        <v>675</v>
      </c>
      <c r="G130" t="s">
        <v>676</v>
      </c>
      <c r="H130" t="s">
        <v>677</v>
      </c>
      <c r="I130" t="s">
        <v>678</v>
      </c>
      <c r="J130" t="s">
        <v>679</v>
      </c>
      <c r="K130" t="s">
        <v>680</v>
      </c>
      <c r="L130" t="s">
        <v>681</v>
      </c>
      <c r="M130" t="s">
        <v>682</v>
      </c>
      <c r="N130" t="s">
        <v>683</v>
      </c>
      <c r="O130" t="s">
        <v>684</v>
      </c>
      <c r="P130" t="s">
        <v>685</v>
      </c>
    </row>
    <row r="131" spans="2:16" ht="15">
      <c r="B131" s="7"/>
      <c r="C131" t="s">
        <v>686</v>
      </c>
      <c r="D131" t="s">
        <v>956</v>
      </c>
      <c r="E131" t="s">
        <v>688</v>
      </c>
      <c r="F131" t="s">
        <v>957</v>
      </c>
      <c r="G131" t="s">
        <v>688</v>
      </c>
      <c r="H131" t="s">
        <v>688</v>
      </c>
      <c r="I131" t="s">
        <v>688</v>
      </c>
      <c r="J131" t="s">
        <v>688</v>
      </c>
      <c r="K131" t="s">
        <v>688</v>
      </c>
      <c r="L131" t="s">
        <v>688</v>
      </c>
      <c r="M131" t="s">
        <v>688</v>
      </c>
      <c r="N131" t="s">
        <v>688</v>
      </c>
      <c r="O131" s="4">
        <v>1.1399999999999999</v>
      </c>
      <c r="P131" t="s">
        <v>688</v>
      </c>
    </row>
    <row r="132" spans="2:16" ht="15">
      <c r="B132" s="1">
        <v>65</v>
      </c>
      <c r="C132" t="str">
        <f ca="1">IFERROR(__xludf.DUMMYFUNCTION(TRANSPOSE(ImportHTML("http://spending.data.al/sq/moneypower/view/id/65", "table", 0))),"*Kategoria*")</f>
        <v>*Kategoria*</v>
      </c>
      <c r="D132" t="s">
        <v>673</v>
      </c>
      <c r="E132" t="s">
        <v>674</v>
      </c>
      <c r="F132" t="s">
        <v>675</v>
      </c>
      <c r="G132" t="s">
        <v>676</v>
      </c>
      <c r="H132" t="s">
        <v>677</v>
      </c>
      <c r="I132" t="s">
        <v>678</v>
      </c>
      <c r="J132" t="s">
        <v>679</v>
      </c>
      <c r="K132" t="s">
        <v>680</v>
      </c>
      <c r="L132" t="s">
        <v>681</v>
      </c>
      <c r="M132" t="s">
        <v>682</v>
      </c>
      <c r="N132" t="s">
        <v>683</v>
      </c>
      <c r="O132" t="s">
        <v>684</v>
      </c>
      <c r="P132" t="s">
        <v>685</v>
      </c>
    </row>
    <row r="133" spans="2:16" ht="15">
      <c r="B133" s="7"/>
      <c r="C133" t="s">
        <v>686</v>
      </c>
      <c r="D133" t="s">
        <v>958</v>
      </c>
      <c r="E133" t="s">
        <v>688</v>
      </c>
      <c r="F133" t="s">
        <v>959</v>
      </c>
      <c r="G133" t="s">
        <v>688</v>
      </c>
      <c r="H133" t="s">
        <v>960</v>
      </c>
      <c r="I133" t="s">
        <v>961</v>
      </c>
      <c r="J133" t="s">
        <v>688</v>
      </c>
      <c r="K133" t="s">
        <v>688</v>
      </c>
      <c r="L133" t="s">
        <v>688</v>
      </c>
      <c r="M133" t="s">
        <v>688</v>
      </c>
      <c r="N133" t="s">
        <v>688</v>
      </c>
      <c r="P133" t="s">
        <v>688</v>
      </c>
    </row>
    <row r="134" spans="2:16" ht="15">
      <c r="B134" s="1">
        <v>66</v>
      </c>
      <c r="C134" t="str">
        <f ca="1">IFERROR(__xludf.DUMMYFUNCTION(TRANSPOSE(ImportHTML("http://spending.data.al/sq/moneypower/view/id/66", "table", 0))),"*Kategoria*")</f>
        <v>*Kategoria*</v>
      </c>
      <c r="D134" t="s">
        <v>673</v>
      </c>
      <c r="E134" t="s">
        <v>674</v>
      </c>
      <c r="F134" t="s">
        <v>675</v>
      </c>
      <c r="G134" t="s">
        <v>676</v>
      </c>
      <c r="H134" t="s">
        <v>677</v>
      </c>
      <c r="I134" t="s">
        <v>678</v>
      </c>
      <c r="J134" t="s">
        <v>679</v>
      </c>
      <c r="K134" t="s">
        <v>680</v>
      </c>
      <c r="L134" t="s">
        <v>681</v>
      </c>
      <c r="M134" t="s">
        <v>682</v>
      </c>
      <c r="N134" t="s">
        <v>683</v>
      </c>
      <c r="O134" t="s">
        <v>684</v>
      </c>
      <c r="P134" t="s">
        <v>685</v>
      </c>
    </row>
    <row r="135" spans="2:16" ht="15">
      <c r="B135" s="7"/>
      <c r="C135" t="s">
        <v>686</v>
      </c>
      <c r="D135" t="s">
        <v>962</v>
      </c>
      <c r="E135" t="s">
        <v>688</v>
      </c>
      <c r="F135" t="s">
        <v>696</v>
      </c>
      <c r="G135" t="s">
        <v>688</v>
      </c>
      <c r="H135" t="s">
        <v>688</v>
      </c>
      <c r="I135" t="s">
        <v>688</v>
      </c>
      <c r="J135" t="s">
        <v>688</v>
      </c>
      <c r="K135" t="s">
        <v>688</v>
      </c>
      <c r="L135" t="s">
        <v>688</v>
      </c>
      <c r="M135" t="s">
        <v>688</v>
      </c>
      <c r="N135" t="s">
        <v>688</v>
      </c>
      <c r="O135" s="4">
        <v>1.2</v>
      </c>
      <c r="P135" t="s">
        <v>963</v>
      </c>
    </row>
    <row r="136" spans="2:16" ht="15">
      <c r="B136" s="1">
        <v>67</v>
      </c>
      <c r="C136" t="str">
        <f ca="1">IFERROR(__xludf.DUMMYFUNCTION(TRANSPOSE(ImportHTML("http://spending.data.al/sq/moneypower/view/id/67", "table", 0))),"*Kategoria*")</f>
        <v>*Kategoria*</v>
      </c>
      <c r="D136" t="s">
        <v>673</v>
      </c>
      <c r="E136" t="s">
        <v>674</v>
      </c>
      <c r="F136" t="s">
        <v>675</v>
      </c>
      <c r="G136" t="s">
        <v>676</v>
      </c>
      <c r="H136" t="s">
        <v>677</v>
      </c>
      <c r="I136" t="s">
        <v>678</v>
      </c>
      <c r="J136" t="s">
        <v>679</v>
      </c>
      <c r="K136" t="s">
        <v>680</v>
      </c>
      <c r="L136" t="s">
        <v>681</v>
      </c>
      <c r="M136" t="s">
        <v>682</v>
      </c>
      <c r="N136" t="s">
        <v>683</v>
      </c>
      <c r="O136" t="s">
        <v>684</v>
      </c>
      <c r="P136" t="s">
        <v>685</v>
      </c>
    </row>
    <row r="137" spans="2:16" ht="15">
      <c r="B137" s="7"/>
      <c r="C137" t="s">
        <v>686</v>
      </c>
      <c r="D137" t="s">
        <v>964</v>
      </c>
      <c r="E137" t="s">
        <v>965</v>
      </c>
      <c r="F137" t="s">
        <v>688</v>
      </c>
      <c r="G137" t="s">
        <v>966</v>
      </c>
      <c r="H137" t="s">
        <v>688</v>
      </c>
      <c r="I137" t="s">
        <v>688</v>
      </c>
      <c r="J137" t="s">
        <v>688</v>
      </c>
      <c r="K137" t="s">
        <v>688</v>
      </c>
      <c r="L137" t="s">
        <v>688</v>
      </c>
      <c r="M137" t="s">
        <v>967</v>
      </c>
      <c r="N137" t="s">
        <v>688</v>
      </c>
      <c r="O137" s="4">
        <v>1.39</v>
      </c>
      <c r="P137" t="s">
        <v>688</v>
      </c>
    </row>
    <row r="138" spans="2:16" ht="15">
      <c r="B138" s="1">
        <v>68</v>
      </c>
      <c r="C138" t="str">
        <f ca="1">IFERROR(__xludf.DUMMYFUNCTION(TRANSPOSE(ImportHTML("http://spending.data.al/sq/moneypower/view/id/68", "table", 0))),"*Kategoria*")</f>
        <v>*Kategoria*</v>
      </c>
      <c r="D138" t="s">
        <v>673</v>
      </c>
      <c r="E138" t="s">
        <v>674</v>
      </c>
      <c r="F138" t="s">
        <v>675</v>
      </c>
      <c r="G138" t="s">
        <v>676</v>
      </c>
      <c r="H138" t="s">
        <v>677</v>
      </c>
      <c r="I138" t="s">
        <v>678</v>
      </c>
      <c r="J138" t="s">
        <v>679</v>
      </c>
      <c r="K138" t="s">
        <v>680</v>
      </c>
      <c r="L138" t="s">
        <v>681</v>
      </c>
      <c r="M138" t="s">
        <v>682</v>
      </c>
      <c r="N138" t="s">
        <v>683</v>
      </c>
      <c r="O138" t="s">
        <v>684</v>
      </c>
      <c r="P138" t="s">
        <v>685</v>
      </c>
    </row>
    <row r="139" spans="2:16" ht="15">
      <c r="B139" s="7"/>
      <c r="C139" t="s">
        <v>686</v>
      </c>
      <c r="D139" t="s">
        <v>968</v>
      </c>
      <c r="E139" t="s">
        <v>688</v>
      </c>
      <c r="F139" t="s">
        <v>969</v>
      </c>
      <c r="G139" t="s">
        <v>688</v>
      </c>
      <c r="H139" t="s">
        <v>688</v>
      </c>
      <c r="I139" t="s">
        <v>688</v>
      </c>
      <c r="J139" t="s">
        <v>688</v>
      </c>
      <c r="K139" t="s">
        <v>688</v>
      </c>
      <c r="L139" t="s">
        <v>688</v>
      </c>
      <c r="M139" t="s">
        <v>970</v>
      </c>
      <c r="N139" t="s">
        <v>688</v>
      </c>
      <c r="P139" t="s">
        <v>688</v>
      </c>
    </row>
    <row r="140" spans="2:16" ht="15">
      <c r="B140" s="1">
        <v>69</v>
      </c>
      <c r="C140" t="str">
        <f ca="1">IFERROR(__xludf.DUMMYFUNCTION(TRANSPOSE(ImportHTML("http://spending.data.al/sq/moneypower/view/id/69", "table", 0))),"*Kategoria*")</f>
        <v>*Kategoria*</v>
      </c>
      <c r="D140" t="s">
        <v>673</v>
      </c>
      <c r="E140" t="s">
        <v>674</v>
      </c>
      <c r="F140" t="s">
        <v>675</v>
      </c>
      <c r="G140" t="s">
        <v>676</v>
      </c>
      <c r="H140" t="s">
        <v>677</v>
      </c>
      <c r="I140" t="s">
        <v>678</v>
      </c>
      <c r="J140" t="s">
        <v>679</v>
      </c>
      <c r="K140" t="s">
        <v>680</v>
      </c>
      <c r="L140" t="s">
        <v>681</v>
      </c>
      <c r="M140" t="s">
        <v>682</v>
      </c>
      <c r="N140" t="s">
        <v>683</v>
      </c>
      <c r="O140" t="s">
        <v>684</v>
      </c>
      <c r="P140" t="s">
        <v>685</v>
      </c>
    </row>
    <row r="141" spans="2:16" ht="15">
      <c r="B141" s="7"/>
      <c r="C141" t="s">
        <v>686</v>
      </c>
      <c r="D141" t="s">
        <v>971</v>
      </c>
      <c r="E141" t="s">
        <v>688</v>
      </c>
      <c r="F141" t="s">
        <v>972</v>
      </c>
      <c r="G141" t="s">
        <v>688</v>
      </c>
      <c r="H141" t="s">
        <v>688</v>
      </c>
      <c r="I141" t="s">
        <v>688</v>
      </c>
      <c r="J141" t="s">
        <v>688</v>
      </c>
      <c r="K141" t="s">
        <v>688</v>
      </c>
      <c r="L141" t="s">
        <v>688</v>
      </c>
      <c r="M141" t="s">
        <v>973</v>
      </c>
      <c r="N141" t="s">
        <v>688</v>
      </c>
      <c r="P141" t="s">
        <v>974</v>
      </c>
    </row>
    <row r="142" spans="2:16" ht="15">
      <c r="B142" s="1">
        <v>70</v>
      </c>
      <c r="C142" t="str">
        <f ca="1">IFERROR(__xludf.DUMMYFUNCTION(TRANSPOSE(ImportHTML("http://spending.data.al/sq/moneypower/view/id/70", "table", 0))),"*Kategoria*")</f>
        <v>*Kategoria*</v>
      </c>
      <c r="D142" t="s">
        <v>673</v>
      </c>
      <c r="E142" t="s">
        <v>674</v>
      </c>
      <c r="F142" t="s">
        <v>675</v>
      </c>
      <c r="G142" t="s">
        <v>676</v>
      </c>
      <c r="H142" t="s">
        <v>677</v>
      </c>
      <c r="I142" t="s">
        <v>678</v>
      </c>
      <c r="J142" t="s">
        <v>679</v>
      </c>
      <c r="K142" t="s">
        <v>680</v>
      </c>
      <c r="L142" t="s">
        <v>681</v>
      </c>
      <c r="M142" t="s">
        <v>682</v>
      </c>
      <c r="N142" t="s">
        <v>683</v>
      </c>
      <c r="O142" t="s">
        <v>684</v>
      </c>
      <c r="P142" t="s">
        <v>685</v>
      </c>
    </row>
    <row r="143" spans="2:16" ht="15">
      <c r="B143" s="7"/>
      <c r="C143" t="s">
        <v>686</v>
      </c>
      <c r="D143" t="s">
        <v>975</v>
      </c>
      <c r="E143" t="s">
        <v>976</v>
      </c>
      <c r="F143" t="s">
        <v>972</v>
      </c>
      <c r="G143" t="s">
        <v>977</v>
      </c>
      <c r="H143" t="s">
        <v>688</v>
      </c>
      <c r="I143" t="s">
        <v>688</v>
      </c>
      <c r="J143" t="s">
        <v>688</v>
      </c>
      <c r="K143" t="s">
        <v>688</v>
      </c>
      <c r="L143" t="s">
        <v>688</v>
      </c>
      <c r="M143" t="s">
        <v>978</v>
      </c>
      <c r="N143" t="s">
        <v>688</v>
      </c>
      <c r="P143" t="s">
        <v>979</v>
      </c>
    </row>
    <row r="144" spans="2:16" ht="15">
      <c r="B144" s="1">
        <v>71</v>
      </c>
      <c r="C144" t="str">
        <f ca="1">IFERROR(__xludf.DUMMYFUNCTION(TRANSPOSE(ImportHTML("http://spending.data.al/sq/moneypower/view/id/71", "table", 0))),"*Kategoria*")</f>
        <v>*Kategoria*</v>
      </c>
      <c r="D144" t="s">
        <v>673</v>
      </c>
      <c r="E144" t="s">
        <v>674</v>
      </c>
      <c r="F144" t="s">
        <v>675</v>
      </c>
      <c r="G144" t="s">
        <v>676</v>
      </c>
      <c r="H144" t="s">
        <v>677</v>
      </c>
      <c r="I144" t="s">
        <v>678</v>
      </c>
      <c r="J144" t="s">
        <v>679</v>
      </c>
      <c r="K144" t="s">
        <v>680</v>
      </c>
      <c r="L144" t="s">
        <v>681</v>
      </c>
      <c r="M144" t="s">
        <v>682</v>
      </c>
      <c r="N144" t="s">
        <v>683</v>
      </c>
      <c r="O144" t="s">
        <v>684</v>
      </c>
      <c r="P144" t="s">
        <v>685</v>
      </c>
    </row>
    <row r="145" spans="2:16" ht="15">
      <c r="B145" s="7"/>
      <c r="C145" t="s">
        <v>686</v>
      </c>
      <c r="D145" t="s">
        <v>980</v>
      </c>
      <c r="E145" t="s">
        <v>688</v>
      </c>
      <c r="F145" t="s">
        <v>981</v>
      </c>
      <c r="G145" t="s">
        <v>688</v>
      </c>
      <c r="H145" t="s">
        <v>688</v>
      </c>
      <c r="I145" t="s">
        <v>688</v>
      </c>
      <c r="J145" t="s">
        <v>688</v>
      </c>
      <c r="K145" t="s">
        <v>688</v>
      </c>
      <c r="L145" t="s">
        <v>688</v>
      </c>
      <c r="M145" t="s">
        <v>982</v>
      </c>
      <c r="N145" t="s">
        <v>688</v>
      </c>
      <c r="O145" s="4">
        <v>1.1599999999999999</v>
      </c>
      <c r="P145" t="s">
        <v>688</v>
      </c>
    </row>
    <row r="146" spans="2:16" ht="15">
      <c r="B146" s="1">
        <v>72</v>
      </c>
      <c r="C146" t="str">
        <f ca="1">IFERROR(__xludf.DUMMYFUNCTION(TRANSPOSE(ImportHTML("http://spending.data.al/sq/moneypower/view/id/72", "table", 0))),"*Kategoria*")</f>
        <v>*Kategoria*</v>
      </c>
      <c r="D146" t="s">
        <v>673</v>
      </c>
      <c r="E146" t="s">
        <v>674</v>
      </c>
      <c r="F146" t="s">
        <v>675</v>
      </c>
      <c r="G146" t="s">
        <v>676</v>
      </c>
      <c r="H146" t="s">
        <v>677</v>
      </c>
      <c r="I146" t="s">
        <v>678</v>
      </c>
      <c r="J146" t="s">
        <v>679</v>
      </c>
      <c r="K146" t="s">
        <v>680</v>
      </c>
      <c r="L146" t="s">
        <v>681</v>
      </c>
      <c r="M146" t="s">
        <v>682</v>
      </c>
      <c r="N146" t="s">
        <v>683</v>
      </c>
      <c r="O146" t="s">
        <v>684</v>
      </c>
      <c r="P146" t="s">
        <v>685</v>
      </c>
    </row>
    <row r="147" spans="2:16" ht="15">
      <c r="B147" s="7"/>
      <c r="C147" t="s">
        <v>686</v>
      </c>
      <c r="D147" t="s">
        <v>983</v>
      </c>
      <c r="E147" t="s">
        <v>688</v>
      </c>
      <c r="F147" t="s">
        <v>984</v>
      </c>
      <c r="G147" t="s">
        <v>985</v>
      </c>
      <c r="H147" t="s">
        <v>688</v>
      </c>
      <c r="I147" t="s">
        <v>688</v>
      </c>
      <c r="J147" t="s">
        <v>688</v>
      </c>
      <c r="K147" t="s">
        <v>688</v>
      </c>
      <c r="L147" t="s">
        <v>688</v>
      </c>
      <c r="M147" t="s">
        <v>986</v>
      </c>
      <c r="N147" t="s">
        <v>688</v>
      </c>
      <c r="P147" t="s">
        <v>987</v>
      </c>
    </row>
    <row r="148" spans="2:16" ht="15">
      <c r="B148" s="1">
        <v>73</v>
      </c>
      <c r="C148" t="str">
        <f ca="1">IFERROR(__xludf.DUMMYFUNCTION(TRANSPOSE(ImportHTML("http://spending.data.al/sq/moneypower/view/id/73", "table", 0))),"*Kategoria*")</f>
        <v>*Kategoria*</v>
      </c>
      <c r="D148" t="s">
        <v>673</v>
      </c>
      <c r="E148" t="s">
        <v>674</v>
      </c>
      <c r="F148" t="s">
        <v>675</v>
      </c>
      <c r="G148" t="s">
        <v>676</v>
      </c>
      <c r="H148" t="s">
        <v>677</v>
      </c>
      <c r="I148" t="s">
        <v>678</v>
      </c>
      <c r="J148" t="s">
        <v>679</v>
      </c>
      <c r="K148" t="s">
        <v>680</v>
      </c>
      <c r="L148" t="s">
        <v>681</v>
      </c>
      <c r="M148" t="s">
        <v>682</v>
      </c>
      <c r="N148" t="s">
        <v>683</v>
      </c>
      <c r="O148" t="s">
        <v>684</v>
      </c>
      <c r="P148" t="s">
        <v>685</v>
      </c>
    </row>
    <row r="149" spans="2:16" ht="15">
      <c r="B149" s="7"/>
      <c r="C149" t="s">
        <v>686</v>
      </c>
      <c r="D149" t="s">
        <v>988</v>
      </c>
      <c r="E149" t="s">
        <v>688</v>
      </c>
      <c r="F149" t="s">
        <v>688</v>
      </c>
      <c r="G149" t="s">
        <v>989</v>
      </c>
      <c r="H149" t="s">
        <v>688</v>
      </c>
      <c r="I149" t="s">
        <v>688</v>
      </c>
      <c r="J149" t="s">
        <v>688</v>
      </c>
      <c r="K149" t="s">
        <v>688</v>
      </c>
      <c r="L149" t="s">
        <v>688</v>
      </c>
      <c r="M149" t="s">
        <v>990</v>
      </c>
      <c r="N149" t="s">
        <v>688</v>
      </c>
      <c r="P149" t="s">
        <v>991</v>
      </c>
    </row>
    <row r="150" spans="2:16" ht="15">
      <c r="B150" s="1">
        <v>74</v>
      </c>
      <c r="C150" t="str">
        <f ca="1">IFERROR(__xludf.DUMMYFUNCTION(TRANSPOSE(ImportHTML("http://spending.data.al/sq/moneypower/view/id/74", "table", 0))),"*Kategoria*")</f>
        <v>*Kategoria*</v>
      </c>
      <c r="D150" t="s">
        <v>673</v>
      </c>
      <c r="E150" t="s">
        <v>674</v>
      </c>
      <c r="F150" t="s">
        <v>675</v>
      </c>
      <c r="G150" t="s">
        <v>676</v>
      </c>
      <c r="H150" t="s">
        <v>677</v>
      </c>
      <c r="I150" t="s">
        <v>678</v>
      </c>
      <c r="J150" t="s">
        <v>679</v>
      </c>
      <c r="K150" t="s">
        <v>680</v>
      </c>
      <c r="L150" t="s">
        <v>681</v>
      </c>
      <c r="M150" t="s">
        <v>682</v>
      </c>
      <c r="N150" t="s">
        <v>683</v>
      </c>
      <c r="O150" t="s">
        <v>684</v>
      </c>
      <c r="P150" t="s">
        <v>685</v>
      </c>
    </row>
    <row r="151" spans="2:16" ht="15">
      <c r="B151" s="7"/>
      <c r="C151" t="s">
        <v>686</v>
      </c>
      <c r="D151" t="s">
        <v>992</v>
      </c>
      <c r="E151" t="s">
        <v>688</v>
      </c>
      <c r="F151" t="s">
        <v>688</v>
      </c>
      <c r="G151" t="s">
        <v>993</v>
      </c>
      <c r="H151" t="s">
        <v>994</v>
      </c>
      <c r="I151" t="s">
        <v>688</v>
      </c>
      <c r="J151" t="s">
        <v>688</v>
      </c>
      <c r="K151" t="s">
        <v>688</v>
      </c>
      <c r="L151" t="s">
        <v>688</v>
      </c>
      <c r="M151" t="s">
        <v>995</v>
      </c>
      <c r="N151" t="s">
        <v>688</v>
      </c>
      <c r="P151" t="s">
        <v>996</v>
      </c>
    </row>
    <row r="152" spans="2:16" ht="15">
      <c r="B152" s="1">
        <v>75</v>
      </c>
      <c r="C152" t="str">
        <f ca="1">IFERROR(__xludf.DUMMYFUNCTION(TRANSPOSE(ImportHTML("http://spending.data.al/sq/moneypower/view/id/75", "table", 0))),"*Kategoria*")</f>
        <v>*Kategoria*</v>
      </c>
      <c r="D152" t="s">
        <v>673</v>
      </c>
      <c r="E152" t="s">
        <v>674</v>
      </c>
      <c r="F152" t="s">
        <v>675</v>
      </c>
      <c r="G152" t="s">
        <v>676</v>
      </c>
      <c r="H152" t="s">
        <v>677</v>
      </c>
      <c r="I152" t="s">
        <v>678</v>
      </c>
      <c r="J152" t="s">
        <v>679</v>
      </c>
      <c r="K152" t="s">
        <v>680</v>
      </c>
      <c r="L152" t="s">
        <v>681</v>
      </c>
      <c r="M152" t="s">
        <v>682</v>
      </c>
      <c r="N152" t="s">
        <v>683</v>
      </c>
      <c r="O152" t="s">
        <v>684</v>
      </c>
      <c r="P152" t="s">
        <v>685</v>
      </c>
    </row>
    <row r="153" spans="2:16" ht="15">
      <c r="B153" s="7"/>
      <c r="C153" t="s">
        <v>686</v>
      </c>
      <c r="D153" t="s">
        <v>992</v>
      </c>
      <c r="E153" t="s">
        <v>688</v>
      </c>
      <c r="F153" t="s">
        <v>688</v>
      </c>
      <c r="G153" t="s">
        <v>688</v>
      </c>
      <c r="H153" t="s">
        <v>688</v>
      </c>
      <c r="I153" t="s">
        <v>688</v>
      </c>
      <c r="J153" t="s">
        <v>688</v>
      </c>
      <c r="K153" t="s">
        <v>688</v>
      </c>
      <c r="L153" t="s">
        <v>688</v>
      </c>
      <c r="M153" t="s">
        <v>688</v>
      </c>
      <c r="N153" t="s">
        <v>688</v>
      </c>
      <c r="P153" t="s">
        <v>997</v>
      </c>
    </row>
    <row r="154" spans="2:16" ht="15">
      <c r="B154" s="1">
        <v>76</v>
      </c>
      <c r="C154" t="str">
        <f ca="1">IFERROR(__xludf.DUMMYFUNCTION(TRANSPOSE(ImportHTML("http://spending.data.al/sq/moneypower/view/id/76", "table", 0))),"*Kategoria*")</f>
        <v>*Kategoria*</v>
      </c>
      <c r="D154" t="s">
        <v>673</v>
      </c>
      <c r="E154" t="s">
        <v>674</v>
      </c>
      <c r="F154" t="s">
        <v>675</v>
      </c>
      <c r="G154" t="s">
        <v>676</v>
      </c>
      <c r="H154" t="s">
        <v>677</v>
      </c>
      <c r="I154" t="s">
        <v>678</v>
      </c>
      <c r="J154" t="s">
        <v>679</v>
      </c>
      <c r="K154" t="s">
        <v>680</v>
      </c>
      <c r="L154" t="s">
        <v>681</v>
      </c>
      <c r="M154" t="s">
        <v>682</v>
      </c>
      <c r="N154" t="s">
        <v>683</v>
      </c>
      <c r="O154" t="s">
        <v>684</v>
      </c>
      <c r="P154" t="s">
        <v>685</v>
      </c>
    </row>
    <row r="155" spans="2:16" ht="15">
      <c r="B155" s="7"/>
      <c r="C155" t="s">
        <v>686</v>
      </c>
      <c r="D155" t="s">
        <v>998</v>
      </c>
      <c r="E155" t="s">
        <v>688</v>
      </c>
      <c r="F155" t="s">
        <v>688</v>
      </c>
      <c r="G155" t="s">
        <v>688</v>
      </c>
      <c r="H155" t="s">
        <v>688</v>
      </c>
      <c r="I155" t="s">
        <v>688</v>
      </c>
      <c r="J155" t="s">
        <v>688</v>
      </c>
      <c r="K155" t="s">
        <v>688</v>
      </c>
      <c r="L155" t="s">
        <v>688</v>
      </c>
      <c r="M155" t="s">
        <v>999</v>
      </c>
      <c r="N155" t="s">
        <v>688</v>
      </c>
      <c r="P155" t="s">
        <v>1000</v>
      </c>
    </row>
    <row r="156" spans="2:16" ht="15">
      <c r="B156" s="1">
        <v>77</v>
      </c>
      <c r="C156" t="str">
        <f ca="1">IFERROR(__xludf.DUMMYFUNCTION(TRANSPOSE(ImportHTML("http://spending.data.al/sq/moneypower/view/id/77", "table", 0))),"*Kategoria*")</f>
        <v>*Kategoria*</v>
      </c>
      <c r="D156" t="s">
        <v>673</v>
      </c>
      <c r="E156" t="s">
        <v>674</v>
      </c>
      <c r="F156" t="s">
        <v>675</v>
      </c>
      <c r="G156" t="s">
        <v>676</v>
      </c>
      <c r="H156" t="s">
        <v>677</v>
      </c>
      <c r="I156" t="s">
        <v>678</v>
      </c>
      <c r="J156" t="s">
        <v>679</v>
      </c>
      <c r="K156" t="s">
        <v>680</v>
      </c>
      <c r="L156" t="s">
        <v>681</v>
      </c>
      <c r="M156" t="s">
        <v>682</v>
      </c>
      <c r="N156" t="s">
        <v>683</v>
      </c>
      <c r="O156" t="s">
        <v>684</v>
      </c>
      <c r="P156" t="s">
        <v>685</v>
      </c>
    </row>
    <row r="157" spans="2:16" ht="15">
      <c r="B157" s="7"/>
      <c r="C157" t="s">
        <v>686</v>
      </c>
      <c r="D157" t="s">
        <v>1001</v>
      </c>
      <c r="E157" t="s">
        <v>1002</v>
      </c>
      <c r="F157" t="s">
        <v>1003</v>
      </c>
      <c r="G157" t="s">
        <v>688</v>
      </c>
      <c r="H157" t="s">
        <v>1004</v>
      </c>
      <c r="I157" t="s">
        <v>688</v>
      </c>
      <c r="J157" t="s">
        <v>688</v>
      </c>
      <c r="K157" t="s">
        <v>688</v>
      </c>
      <c r="L157" t="s">
        <v>688</v>
      </c>
      <c r="M157" t="s">
        <v>688</v>
      </c>
      <c r="N157" t="s">
        <v>688</v>
      </c>
      <c r="P157" t="s">
        <v>1005</v>
      </c>
    </row>
    <row r="158" spans="2:16" ht="15">
      <c r="B158" s="1">
        <v>78</v>
      </c>
      <c r="C158" t="str">
        <f ca="1">IFERROR(__xludf.DUMMYFUNCTION(TRANSPOSE(ImportHTML("http://spending.data.al/sq/moneypower/view/id/78", "table", 0))),"*Kategoria*")</f>
        <v>*Kategoria*</v>
      </c>
      <c r="D158" t="s">
        <v>673</v>
      </c>
      <c r="E158" t="s">
        <v>674</v>
      </c>
      <c r="F158" t="s">
        <v>675</v>
      </c>
      <c r="G158" t="s">
        <v>676</v>
      </c>
      <c r="H158" t="s">
        <v>677</v>
      </c>
      <c r="I158" t="s">
        <v>678</v>
      </c>
      <c r="J158" t="s">
        <v>679</v>
      </c>
      <c r="K158" t="s">
        <v>680</v>
      </c>
      <c r="L158" t="s">
        <v>681</v>
      </c>
      <c r="M158" t="s">
        <v>682</v>
      </c>
      <c r="N158" t="s">
        <v>683</v>
      </c>
      <c r="O158" t="s">
        <v>684</v>
      </c>
      <c r="P158" t="s">
        <v>685</v>
      </c>
    </row>
    <row r="159" spans="2:16" ht="15">
      <c r="B159" s="7"/>
      <c r="C159" t="s">
        <v>686</v>
      </c>
      <c r="D159" t="s">
        <v>1006</v>
      </c>
      <c r="E159" t="s">
        <v>688</v>
      </c>
      <c r="F159" t="s">
        <v>688</v>
      </c>
      <c r="G159" t="s">
        <v>1007</v>
      </c>
      <c r="H159" t="s">
        <v>1008</v>
      </c>
      <c r="I159" t="s">
        <v>688</v>
      </c>
      <c r="J159" t="s">
        <v>688</v>
      </c>
      <c r="K159" t="s">
        <v>688</v>
      </c>
      <c r="L159" t="s">
        <v>688</v>
      </c>
      <c r="M159" t="s">
        <v>1009</v>
      </c>
      <c r="N159" t="s">
        <v>688</v>
      </c>
      <c r="P159" t="s">
        <v>1010</v>
      </c>
    </row>
    <row r="160" spans="2:16" ht="15">
      <c r="B160" s="1">
        <v>79</v>
      </c>
      <c r="C160" t="str">
        <f ca="1">IFERROR(__xludf.DUMMYFUNCTION(TRANSPOSE(ImportHTML("http://spending.data.al/sq/moneypower/view/id/79", "table", 0))),"*Kategoria*")</f>
        <v>*Kategoria*</v>
      </c>
      <c r="D160" t="s">
        <v>673</v>
      </c>
      <c r="E160" t="s">
        <v>674</v>
      </c>
      <c r="F160" t="s">
        <v>675</v>
      </c>
      <c r="G160" t="s">
        <v>676</v>
      </c>
      <c r="H160" t="s">
        <v>677</v>
      </c>
      <c r="I160" t="s">
        <v>678</v>
      </c>
      <c r="J160" t="s">
        <v>679</v>
      </c>
      <c r="K160" t="s">
        <v>680</v>
      </c>
      <c r="L160" t="s">
        <v>681</v>
      </c>
      <c r="M160" t="s">
        <v>682</v>
      </c>
      <c r="N160" t="s">
        <v>683</v>
      </c>
      <c r="O160" t="s">
        <v>684</v>
      </c>
      <c r="P160" t="s">
        <v>685</v>
      </c>
    </row>
    <row r="161" spans="2:16" ht="15">
      <c r="B161" s="7"/>
      <c r="C161" t="s">
        <v>686</v>
      </c>
      <c r="D161" t="s">
        <v>1011</v>
      </c>
      <c r="E161" t="s">
        <v>688</v>
      </c>
      <c r="F161" t="s">
        <v>688</v>
      </c>
      <c r="G161" t="s">
        <v>1012</v>
      </c>
      <c r="H161" t="s">
        <v>1013</v>
      </c>
      <c r="I161" t="s">
        <v>688</v>
      </c>
      <c r="J161" t="s">
        <v>688</v>
      </c>
      <c r="K161" t="s">
        <v>688</v>
      </c>
      <c r="L161" t="s">
        <v>688</v>
      </c>
      <c r="M161" t="s">
        <v>1014</v>
      </c>
      <c r="N161" t="s">
        <v>688</v>
      </c>
      <c r="P161" t="s">
        <v>1015</v>
      </c>
    </row>
    <row r="162" spans="2:16" ht="15">
      <c r="B162" s="1">
        <v>80</v>
      </c>
      <c r="C162" t="str">
        <f ca="1">IFERROR(__xludf.DUMMYFUNCTION(TRANSPOSE(ImportHTML("http://spending.data.al/sq/moneypower/view/id/80", "table", 0))),"*Kategoria*")</f>
        <v>*Kategoria*</v>
      </c>
      <c r="D162" t="s">
        <v>673</v>
      </c>
      <c r="E162" t="s">
        <v>674</v>
      </c>
      <c r="F162" t="s">
        <v>675</v>
      </c>
      <c r="G162" t="s">
        <v>676</v>
      </c>
      <c r="H162" t="s">
        <v>677</v>
      </c>
      <c r="I162" t="s">
        <v>678</v>
      </c>
      <c r="J162" t="s">
        <v>679</v>
      </c>
      <c r="K162" t="s">
        <v>680</v>
      </c>
      <c r="L162" t="s">
        <v>681</v>
      </c>
      <c r="M162" t="s">
        <v>682</v>
      </c>
      <c r="N162" t="s">
        <v>683</v>
      </c>
      <c r="O162" t="s">
        <v>684</v>
      </c>
      <c r="P162" t="s">
        <v>685</v>
      </c>
    </row>
    <row r="163" spans="2:16" ht="15">
      <c r="B163" s="7"/>
      <c r="C163" t="s">
        <v>686</v>
      </c>
      <c r="D163" t="s">
        <v>1016</v>
      </c>
      <c r="E163" t="s">
        <v>688</v>
      </c>
      <c r="F163" t="s">
        <v>688</v>
      </c>
      <c r="G163" t="s">
        <v>688</v>
      </c>
      <c r="H163" t="s">
        <v>688</v>
      </c>
      <c r="I163" t="s">
        <v>688</v>
      </c>
      <c r="J163" t="s">
        <v>688</v>
      </c>
      <c r="K163" t="s">
        <v>688</v>
      </c>
      <c r="L163" t="s">
        <v>688</v>
      </c>
      <c r="M163" t="s">
        <v>1017</v>
      </c>
      <c r="N163" t="s">
        <v>688</v>
      </c>
      <c r="P163" t="s">
        <v>1018</v>
      </c>
    </row>
    <row r="164" spans="2:16" ht="15">
      <c r="B164" s="1">
        <v>81</v>
      </c>
      <c r="C164" t="str">
        <f ca="1">IFERROR(__xludf.DUMMYFUNCTION(TRANSPOSE(ImportHTML("http://spending.data.al/sq/moneypower/view/id/81", "table", 0))),"*Kategoria*")</f>
        <v>*Kategoria*</v>
      </c>
      <c r="D164" t="s">
        <v>673</v>
      </c>
      <c r="E164" t="s">
        <v>674</v>
      </c>
      <c r="F164" t="s">
        <v>675</v>
      </c>
      <c r="G164" t="s">
        <v>676</v>
      </c>
      <c r="H164" t="s">
        <v>677</v>
      </c>
      <c r="I164" t="s">
        <v>678</v>
      </c>
      <c r="J164" t="s">
        <v>679</v>
      </c>
      <c r="K164" t="s">
        <v>680</v>
      </c>
      <c r="L164" t="s">
        <v>681</v>
      </c>
      <c r="M164" t="s">
        <v>682</v>
      </c>
      <c r="N164" t="s">
        <v>683</v>
      </c>
      <c r="O164" t="s">
        <v>684</v>
      </c>
      <c r="P164" t="s">
        <v>685</v>
      </c>
    </row>
    <row r="165" spans="2:16" ht="15">
      <c r="B165" s="7"/>
      <c r="C165" t="s">
        <v>686</v>
      </c>
      <c r="D165" t="s">
        <v>1019</v>
      </c>
      <c r="E165" t="s">
        <v>688</v>
      </c>
      <c r="F165" t="s">
        <v>688</v>
      </c>
      <c r="G165" t="s">
        <v>688</v>
      </c>
      <c r="H165" t="s">
        <v>688</v>
      </c>
      <c r="I165" t="s">
        <v>688</v>
      </c>
      <c r="J165" t="s">
        <v>688</v>
      </c>
      <c r="K165" t="s">
        <v>688</v>
      </c>
      <c r="L165" t="s">
        <v>688</v>
      </c>
      <c r="M165" t="s">
        <v>1020</v>
      </c>
      <c r="N165" t="s">
        <v>688</v>
      </c>
      <c r="P165" t="s">
        <v>1021</v>
      </c>
    </row>
    <row r="166" spans="2:16" ht="15">
      <c r="B166" s="1">
        <v>82</v>
      </c>
      <c r="C166" t="str">
        <f ca="1">IFERROR(__xludf.DUMMYFUNCTION(TRANSPOSE(ImportHTML("http://spending.data.al/sq/moneypower/view/id/82", "table", 0))),"*Kategoria*")</f>
        <v>*Kategoria*</v>
      </c>
      <c r="D166" t="s">
        <v>673</v>
      </c>
      <c r="E166" t="s">
        <v>674</v>
      </c>
      <c r="F166" t="s">
        <v>675</v>
      </c>
      <c r="G166" t="s">
        <v>676</v>
      </c>
      <c r="H166" t="s">
        <v>677</v>
      </c>
      <c r="I166" t="s">
        <v>678</v>
      </c>
      <c r="J166" t="s">
        <v>679</v>
      </c>
      <c r="K166" t="s">
        <v>680</v>
      </c>
      <c r="L166" t="s">
        <v>681</v>
      </c>
      <c r="M166" t="s">
        <v>682</v>
      </c>
      <c r="N166" t="s">
        <v>683</v>
      </c>
      <c r="O166" t="s">
        <v>684</v>
      </c>
      <c r="P166" t="s">
        <v>685</v>
      </c>
    </row>
    <row r="167" spans="2:16" ht="15">
      <c r="B167" s="7"/>
      <c r="C167" t="s">
        <v>686</v>
      </c>
      <c r="D167" t="s">
        <v>1022</v>
      </c>
      <c r="E167" t="s">
        <v>688</v>
      </c>
      <c r="F167" t="s">
        <v>688</v>
      </c>
      <c r="G167" t="s">
        <v>1023</v>
      </c>
      <c r="H167" t="s">
        <v>1024</v>
      </c>
      <c r="I167" t="s">
        <v>688</v>
      </c>
      <c r="J167" t="s">
        <v>688</v>
      </c>
      <c r="K167" t="s">
        <v>688</v>
      </c>
      <c r="L167" t="s">
        <v>688</v>
      </c>
      <c r="M167" t="s">
        <v>688</v>
      </c>
      <c r="N167" t="s">
        <v>688</v>
      </c>
      <c r="P167" t="s">
        <v>1025</v>
      </c>
    </row>
    <row r="168" spans="2:16" ht="15">
      <c r="B168" s="1">
        <v>83</v>
      </c>
      <c r="C168" t="str">
        <f ca="1">IFERROR(__xludf.DUMMYFUNCTION(TRANSPOSE(ImportHTML("http://spending.data.al/sq/moneypower/view/id/83", "table", 0))),"*Kategoria*")</f>
        <v>*Kategoria*</v>
      </c>
      <c r="D168" t="s">
        <v>673</v>
      </c>
      <c r="E168" t="s">
        <v>674</v>
      </c>
      <c r="F168" t="s">
        <v>675</v>
      </c>
      <c r="G168" t="s">
        <v>676</v>
      </c>
      <c r="H168" t="s">
        <v>677</v>
      </c>
      <c r="I168" t="s">
        <v>678</v>
      </c>
      <c r="J168" t="s">
        <v>679</v>
      </c>
      <c r="K168" t="s">
        <v>680</v>
      </c>
      <c r="L168" t="s">
        <v>681</v>
      </c>
      <c r="M168" t="s">
        <v>682</v>
      </c>
      <c r="N168" t="s">
        <v>683</v>
      </c>
      <c r="O168" t="s">
        <v>684</v>
      </c>
      <c r="P168" t="s">
        <v>685</v>
      </c>
    </row>
    <row r="169" spans="2:16" ht="15">
      <c r="B169" s="7"/>
      <c r="C169" t="s">
        <v>686</v>
      </c>
      <c r="D169" t="s">
        <v>1026</v>
      </c>
      <c r="E169" t="s">
        <v>688</v>
      </c>
      <c r="F169" t="s">
        <v>688</v>
      </c>
      <c r="G169" t="s">
        <v>688</v>
      </c>
      <c r="H169" t="s">
        <v>688</v>
      </c>
      <c r="I169" t="s">
        <v>688</v>
      </c>
      <c r="J169" t="s">
        <v>688</v>
      </c>
      <c r="K169" t="s">
        <v>688</v>
      </c>
      <c r="L169" t="s">
        <v>688</v>
      </c>
      <c r="M169" t="s">
        <v>1027</v>
      </c>
      <c r="N169" t="s">
        <v>688</v>
      </c>
      <c r="P169" t="s">
        <v>1028</v>
      </c>
    </row>
    <row r="170" spans="2:16" ht="15">
      <c r="B170" s="1">
        <v>84</v>
      </c>
      <c r="C170" t="str">
        <f ca="1">IFERROR(__xludf.DUMMYFUNCTION(TRANSPOSE(ImportHTML("http://spending.data.al/sq/moneypower/view/id/84", "table", 0))),"*Kategoria*")</f>
        <v>*Kategoria*</v>
      </c>
      <c r="D170" t="s">
        <v>673</v>
      </c>
      <c r="E170" t="s">
        <v>674</v>
      </c>
      <c r="F170" t="s">
        <v>675</v>
      </c>
      <c r="G170" t="s">
        <v>676</v>
      </c>
      <c r="H170" t="s">
        <v>677</v>
      </c>
      <c r="I170" t="s">
        <v>678</v>
      </c>
      <c r="J170" t="s">
        <v>679</v>
      </c>
      <c r="K170" t="s">
        <v>680</v>
      </c>
      <c r="L170" t="s">
        <v>681</v>
      </c>
      <c r="M170" t="s">
        <v>682</v>
      </c>
      <c r="N170" t="s">
        <v>683</v>
      </c>
      <c r="O170" t="s">
        <v>684</v>
      </c>
      <c r="P170" t="s">
        <v>685</v>
      </c>
    </row>
    <row r="171" spans="2:16" ht="15">
      <c r="B171" s="7"/>
      <c r="C171" t="s">
        <v>686</v>
      </c>
      <c r="D171" t="s">
        <v>1029</v>
      </c>
      <c r="E171" t="s">
        <v>688</v>
      </c>
      <c r="F171" t="s">
        <v>688</v>
      </c>
      <c r="G171" t="s">
        <v>1030</v>
      </c>
      <c r="H171" t="s">
        <v>688</v>
      </c>
      <c r="I171" t="s">
        <v>688</v>
      </c>
      <c r="J171" t="s">
        <v>688</v>
      </c>
      <c r="K171" t="s">
        <v>688</v>
      </c>
      <c r="L171" t="s">
        <v>688</v>
      </c>
      <c r="M171" t="s">
        <v>1031</v>
      </c>
      <c r="N171" t="s">
        <v>688</v>
      </c>
      <c r="P171" t="s">
        <v>1032</v>
      </c>
    </row>
    <row r="172" spans="2:16" ht="15">
      <c r="B172" s="1">
        <v>85</v>
      </c>
      <c r="C172" t="str">
        <f ca="1">IFERROR(__xludf.DUMMYFUNCTION(TRANSPOSE(ImportHTML("http://spending.data.al/sq/moneypower/view/id/85", "table", 0))),"*Kategoria*")</f>
        <v>*Kategoria*</v>
      </c>
      <c r="D172" t="s">
        <v>673</v>
      </c>
      <c r="E172" t="s">
        <v>674</v>
      </c>
      <c r="F172" t="s">
        <v>675</v>
      </c>
      <c r="G172" t="s">
        <v>676</v>
      </c>
      <c r="H172" t="s">
        <v>677</v>
      </c>
      <c r="I172" t="s">
        <v>678</v>
      </c>
      <c r="J172" t="s">
        <v>679</v>
      </c>
      <c r="K172" t="s">
        <v>680</v>
      </c>
      <c r="L172" t="s">
        <v>681</v>
      </c>
      <c r="M172" t="s">
        <v>682</v>
      </c>
      <c r="N172" t="s">
        <v>683</v>
      </c>
      <c r="O172" t="s">
        <v>684</v>
      </c>
      <c r="P172" t="s">
        <v>685</v>
      </c>
    </row>
    <row r="173" spans="2:16" ht="15">
      <c r="B173" s="7"/>
      <c r="C173" t="s">
        <v>686</v>
      </c>
      <c r="D173" t="s">
        <v>1033</v>
      </c>
      <c r="E173" t="s">
        <v>688</v>
      </c>
      <c r="F173" t="s">
        <v>688</v>
      </c>
      <c r="G173" t="s">
        <v>688</v>
      </c>
      <c r="H173" t="s">
        <v>688</v>
      </c>
      <c r="I173" t="s">
        <v>688</v>
      </c>
      <c r="J173" t="s">
        <v>688</v>
      </c>
      <c r="K173" t="s">
        <v>688</v>
      </c>
      <c r="L173" t="s">
        <v>688</v>
      </c>
      <c r="M173" t="s">
        <v>1034</v>
      </c>
      <c r="N173" t="s">
        <v>688</v>
      </c>
    </row>
    <row r="174" spans="2:16" ht="15">
      <c r="B174" s="1">
        <v>86</v>
      </c>
      <c r="C174" t="str">
        <f ca="1">IFERROR(__xludf.DUMMYFUNCTION(TRANSPOSE(ImportHTML("http://spending.data.al/sq/moneypower/view/id/86", "table", 0))),"*Kategoria*")</f>
        <v>*Kategoria*</v>
      </c>
      <c r="D174" t="s">
        <v>673</v>
      </c>
      <c r="E174" t="s">
        <v>674</v>
      </c>
      <c r="F174" t="s">
        <v>675</v>
      </c>
      <c r="G174" t="s">
        <v>676</v>
      </c>
      <c r="H174" t="s">
        <v>677</v>
      </c>
      <c r="I174" t="s">
        <v>678</v>
      </c>
      <c r="J174" t="s">
        <v>679</v>
      </c>
      <c r="K174" t="s">
        <v>680</v>
      </c>
      <c r="L174" t="s">
        <v>681</v>
      </c>
      <c r="M174" t="s">
        <v>682</v>
      </c>
      <c r="N174" t="s">
        <v>683</v>
      </c>
      <c r="O174" t="s">
        <v>684</v>
      </c>
      <c r="P174" t="s">
        <v>685</v>
      </c>
    </row>
    <row r="175" spans="2:16" ht="15">
      <c r="B175" s="7"/>
      <c r="C175" t="s">
        <v>686</v>
      </c>
      <c r="D175" t="s">
        <v>1035</v>
      </c>
      <c r="E175" t="s">
        <v>688</v>
      </c>
      <c r="F175" t="s">
        <v>688</v>
      </c>
      <c r="G175" t="s">
        <v>1036</v>
      </c>
      <c r="H175" t="s">
        <v>688</v>
      </c>
      <c r="I175" t="s">
        <v>688</v>
      </c>
      <c r="J175" t="s">
        <v>688</v>
      </c>
      <c r="K175" t="s">
        <v>688</v>
      </c>
      <c r="L175" t="s">
        <v>688</v>
      </c>
      <c r="M175" t="s">
        <v>1037</v>
      </c>
      <c r="N175" t="s">
        <v>688</v>
      </c>
      <c r="P175" t="s">
        <v>1038</v>
      </c>
    </row>
    <row r="176" spans="2:16" ht="15">
      <c r="B176" s="1">
        <v>87</v>
      </c>
      <c r="C176" t="str">
        <f ca="1">IFERROR(__xludf.DUMMYFUNCTION(TRANSPOSE(ImportHTML("http://spending.data.al/sq/moneypower/view/id/87", "table", 0))),"*Kategoria*")</f>
        <v>*Kategoria*</v>
      </c>
      <c r="D176" t="s">
        <v>673</v>
      </c>
      <c r="E176" t="s">
        <v>674</v>
      </c>
      <c r="F176" t="s">
        <v>675</v>
      </c>
      <c r="G176" t="s">
        <v>676</v>
      </c>
      <c r="H176" t="s">
        <v>677</v>
      </c>
      <c r="I176" t="s">
        <v>678</v>
      </c>
      <c r="J176" t="s">
        <v>679</v>
      </c>
      <c r="K176" t="s">
        <v>680</v>
      </c>
      <c r="L176" t="s">
        <v>681</v>
      </c>
      <c r="M176" t="s">
        <v>682</v>
      </c>
      <c r="N176" t="s">
        <v>683</v>
      </c>
      <c r="O176" t="s">
        <v>684</v>
      </c>
      <c r="P176" t="s">
        <v>685</v>
      </c>
    </row>
    <row r="177" spans="2:16" ht="15">
      <c r="B177" s="7"/>
      <c r="C177" t="s">
        <v>686</v>
      </c>
      <c r="D177" t="s">
        <v>1039</v>
      </c>
      <c r="E177" t="s">
        <v>688</v>
      </c>
      <c r="F177" t="s">
        <v>688</v>
      </c>
      <c r="G177" t="s">
        <v>688</v>
      </c>
      <c r="H177" t="s">
        <v>1040</v>
      </c>
      <c r="I177" t="s">
        <v>688</v>
      </c>
      <c r="J177" t="s">
        <v>688</v>
      </c>
      <c r="K177" t="s">
        <v>688</v>
      </c>
      <c r="L177" t="s">
        <v>688</v>
      </c>
      <c r="M177" t="s">
        <v>1041</v>
      </c>
      <c r="N177" t="s">
        <v>1042</v>
      </c>
      <c r="P177" t="s">
        <v>1043</v>
      </c>
    </row>
    <row r="178" spans="2:16" ht="15">
      <c r="B178" s="1">
        <v>88</v>
      </c>
      <c r="C178" t="str">
        <f ca="1">IFERROR(__xludf.DUMMYFUNCTION(TRANSPOSE(ImportHTML("http://spending.data.al/sq/moneypower/view/id/88", "table", 0))),"*Kategoria*")</f>
        <v>*Kategoria*</v>
      </c>
      <c r="D178" t="s">
        <v>673</v>
      </c>
      <c r="E178" t="s">
        <v>674</v>
      </c>
      <c r="F178" t="s">
        <v>675</v>
      </c>
      <c r="G178" t="s">
        <v>676</v>
      </c>
      <c r="H178" t="s">
        <v>677</v>
      </c>
      <c r="I178" t="s">
        <v>678</v>
      </c>
      <c r="J178" t="s">
        <v>679</v>
      </c>
      <c r="K178" t="s">
        <v>680</v>
      </c>
      <c r="L178" t="s">
        <v>681</v>
      </c>
      <c r="M178" t="s">
        <v>682</v>
      </c>
      <c r="N178" t="s">
        <v>683</v>
      </c>
      <c r="O178" t="s">
        <v>684</v>
      </c>
      <c r="P178" t="s">
        <v>685</v>
      </c>
    </row>
    <row r="179" spans="2:16" ht="15">
      <c r="B179" s="7"/>
      <c r="C179" t="s">
        <v>686</v>
      </c>
      <c r="D179" t="s">
        <v>1044</v>
      </c>
      <c r="E179" t="s">
        <v>688</v>
      </c>
      <c r="F179" t="s">
        <v>688</v>
      </c>
      <c r="G179" t="s">
        <v>688</v>
      </c>
      <c r="H179" t="s">
        <v>688</v>
      </c>
      <c r="I179" t="s">
        <v>688</v>
      </c>
      <c r="J179" t="s">
        <v>688</v>
      </c>
      <c r="K179" t="s">
        <v>688</v>
      </c>
      <c r="L179" t="s">
        <v>688</v>
      </c>
      <c r="M179" t="s">
        <v>1045</v>
      </c>
      <c r="N179" t="s">
        <v>688</v>
      </c>
      <c r="P179" t="s">
        <v>1046</v>
      </c>
    </row>
    <row r="180" spans="2:16" ht="15">
      <c r="B180" s="1">
        <v>89</v>
      </c>
      <c r="C180" t="str">
        <f ca="1">IFERROR(__xludf.DUMMYFUNCTION(TRANSPOSE(ImportHTML("http://spending.data.al/sq/moneypower/view/id/89", "table", 0))),"*Kategoria*")</f>
        <v>*Kategoria*</v>
      </c>
      <c r="D180" t="s">
        <v>673</v>
      </c>
      <c r="E180" t="s">
        <v>674</v>
      </c>
      <c r="F180" t="s">
        <v>675</v>
      </c>
      <c r="G180" t="s">
        <v>676</v>
      </c>
      <c r="H180" t="s">
        <v>677</v>
      </c>
      <c r="I180" t="s">
        <v>678</v>
      </c>
      <c r="J180" t="s">
        <v>679</v>
      </c>
      <c r="K180" t="s">
        <v>680</v>
      </c>
      <c r="L180" t="s">
        <v>681</v>
      </c>
      <c r="M180" t="s">
        <v>682</v>
      </c>
      <c r="N180" t="s">
        <v>683</v>
      </c>
      <c r="O180" t="s">
        <v>684</v>
      </c>
      <c r="P180" t="s">
        <v>685</v>
      </c>
    </row>
    <row r="181" spans="2:16" ht="15">
      <c r="B181" s="7"/>
      <c r="C181" t="s">
        <v>686</v>
      </c>
      <c r="D181" t="s">
        <v>1047</v>
      </c>
      <c r="E181" t="s">
        <v>688</v>
      </c>
      <c r="F181" t="s">
        <v>688</v>
      </c>
      <c r="G181" t="s">
        <v>1048</v>
      </c>
      <c r="H181" t="s">
        <v>1049</v>
      </c>
      <c r="I181" t="s">
        <v>688</v>
      </c>
      <c r="J181" t="s">
        <v>688</v>
      </c>
      <c r="K181" t="s">
        <v>1050</v>
      </c>
      <c r="L181" t="s">
        <v>688</v>
      </c>
      <c r="M181" t="s">
        <v>1051</v>
      </c>
      <c r="P181" t="s">
        <v>1052</v>
      </c>
    </row>
    <row r="182" spans="2:16" ht="15">
      <c r="B182" s="1">
        <v>90</v>
      </c>
      <c r="C182" t="str">
        <f ca="1">IFERROR(__xludf.DUMMYFUNCTION(TRANSPOSE(ImportHTML("http://spending.data.al/sq/moneypower/view/id/90", "table", 0))),"*Kategoria*")</f>
        <v>*Kategoria*</v>
      </c>
      <c r="D182" t="s">
        <v>673</v>
      </c>
      <c r="E182" t="s">
        <v>674</v>
      </c>
      <c r="F182" t="s">
        <v>675</v>
      </c>
      <c r="G182" t="s">
        <v>676</v>
      </c>
      <c r="H182" t="s">
        <v>677</v>
      </c>
      <c r="I182" t="s">
        <v>678</v>
      </c>
      <c r="J182" t="s">
        <v>679</v>
      </c>
      <c r="K182" t="s">
        <v>680</v>
      </c>
      <c r="L182" t="s">
        <v>681</v>
      </c>
      <c r="M182" t="s">
        <v>682</v>
      </c>
      <c r="N182" t="s">
        <v>683</v>
      </c>
      <c r="O182" t="s">
        <v>684</v>
      </c>
      <c r="P182" t="s">
        <v>685</v>
      </c>
    </row>
    <row r="183" spans="2:16" ht="15">
      <c r="B183" s="7"/>
      <c r="C183" t="s">
        <v>686</v>
      </c>
      <c r="D183" t="s">
        <v>1053</v>
      </c>
      <c r="E183" t="s">
        <v>688</v>
      </c>
      <c r="F183" t="s">
        <v>688</v>
      </c>
      <c r="G183" t="s">
        <v>688</v>
      </c>
      <c r="H183" t="s">
        <v>1054</v>
      </c>
      <c r="I183" t="s">
        <v>688</v>
      </c>
      <c r="J183" t="s">
        <v>688</v>
      </c>
      <c r="K183" t="s">
        <v>688</v>
      </c>
      <c r="L183" t="s">
        <v>688</v>
      </c>
      <c r="M183" t="s">
        <v>1055</v>
      </c>
      <c r="N183" t="s">
        <v>688</v>
      </c>
      <c r="P183" t="s">
        <v>1056</v>
      </c>
    </row>
    <row r="184" spans="2:16" ht="15">
      <c r="B184" s="1">
        <v>91</v>
      </c>
      <c r="C184" t="str">
        <f ca="1">IFERROR(__xludf.DUMMYFUNCTION(TRANSPOSE(ImportHTML("http://spending.data.al/sq/moneypower/view/id/91", "table", 0))),"*Kategoria*")</f>
        <v>*Kategoria*</v>
      </c>
      <c r="D184" t="s">
        <v>673</v>
      </c>
      <c r="E184" t="s">
        <v>674</v>
      </c>
      <c r="F184" t="s">
        <v>675</v>
      </c>
      <c r="G184" t="s">
        <v>676</v>
      </c>
      <c r="H184" t="s">
        <v>677</v>
      </c>
      <c r="I184" t="s">
        <v>678</v>
      </c>
      <c r="J184" t="s">
        <v>679</v>
      </c>
      <c r="K184" t="s">
        <v>680</v>
      </c>
      <c r="L184" t="s">
        <v>681</v>
      </c>
      <c r="M184" t="s">
        <v>682</v>
      </c>
      <c r="N184" t="s">
        <v>683</v>
      </c>
      <c r="O184" t="s">
        <v>684</v>
      </c>
      <c r="P184" t="s">
        <v>685</v>
      </c>
    </row>
    <row r="185" spans="2:16" ht="15">
      <c r="B185" s="7"/>
      <c r="C185" t="s">
        <v>686</v>
      </c>
      <c r="D185" t="s">
        <v>1057</v>
      </c>
      <c r="E185" t="s">
        <v>688</v>
      </c>
      <c r="F185" t="s">
        <v>688</v>
      </c>
      <c r="G185" t="s">
        <v>688</v>
      </c>
      <c r="H185" t="s">
        <v>688</v>
      </c>
      <c r="I185" t="s">
        <v>688</v>
      </c>
      <c r="J185" t="s">
        <v>688</v>
      </c>
      <c r="K185" t="s">
        <v>688</v>
      </c>
      <c r="L185" t="s">
        <v>688</v>
      </c>
      <c r="M185" t="s">
        <v>1058</v>
      </c>
      <c r="N185" t="s">
        <v>688</v>
      </c>
      <c r="O185" s="4">
        <v>5.44</v>
      </c>
      <c r="P185" t="s">
        <v>1059</v>
      </c>
    </row>
    <row r="186" spans="2:16" ht="15">
      <c r="B186" s="1">
        <v>92</v>
      </c>
      <c r="C186" t="str">
        <f ca="1">IFERROR(__xludf.DUMMYFUNCTION(TRANSPOSE(ImportHTML("http://spending.data.al/sq/moneypower/view/id/92", "table", 0))),"*Kategoria*")</f>
        <v>*Kategoria*</v>
      </c>
      <c r="D186" t="s">
        <v>673</v>
      </c>
      <c r="E186" t="s">
        <v>674</v>
      </c>
      <c r="F186" t="s">
        <v>675</v>
      </c>
      <c r="G186" t="s">
        <v>676</v>
      </c>
      <c r="H186" t="s">
        <v>677</v>
      </c>
      <c r="I186" t="s">
        <v>678</v>
      </c>
      <c r="J186" t="s">
        <v>679</v>
      </c>
      <c r="K186" t="s">
        <v>680</v>
      </c>
      <c r="L186" t="s">
        <v>681</v>
      </c>
      <c r="M186" t="s">
        <v>682</v>
      </c>
      <c r="N186" t="s">
        <v>683</v>
      </c>
      <c r="O186" t="s">
        <v>684</v>
      </c>
      <c r="P186" t="s">
        <v>685</v>
      </c>
    </row>
    <row r="187" spans="2:16" ht="15">
      <c r="B187" s="7"/>
      <c r="C187" t="s">
        <v>686</v>
      </c>
      <c r="D187" t="s">
        <v>1060</v>
      </c>
      <c r="E187" t="s">
        <v>688</v>
      </c>
      <c r="F187" t="s">
        <v>688</v>
      </c>
      <c r="G187" t="s">
        <v>688</v>
      </c>
      <c r="H187" t="s">
        <v>1061</v>
      </c>
      <c r="I187" t="s">
        <v>688</v>
      </c>
      <c r="J187" t="s">
        <v>688</v>
      </c>
      <c r="K187" t="s">
        <v>688</v>
      </c>
      <c r="L187" t="s">
        <v>688</v>
      </c>
      <c r="M187" t="s">
        <v>688</v>
      </c>
      <c r="N187" t="s">
        <v>688</v>
      </c>
      <c r="O187" t="s">
        <v>1062</v>
      </c>
      <c r="P187" t="s">
        <v>707</v>
      </c>
    </row>
    <row r="188" spans="2:16" ht="15">
      <c r="B188" s="1">
        <v>93</v>
      </c>
      <c r="C188" t="str">
        <f ca="1">IFERROR(__xludf.DUMMYFUNCTION(TRANSPOSE(ImportHTML("http://spending.data.al/sq/moneypower/view/id/93", "table", 0))),"*Kategoria*")</f>
        <v>*Kategoria*</v>
      </c>
      <c r="D188" t="s">
        <v>673</v>
      </c>
      <c r="E188" t="s">
        <v>674</v>
      </c>
      <c r="F188" t="s">
        <v>675</v>
      </c>
      <c r="G188" t="s">
        <v>676</v>
      </c>
      <c r="H188" t="s">
        <v>677</v>
      </c>
      <c r="I188" t="s">
        <v>678</v>
      </c>
      <c r="J188" t="s">
        <v>679</v>
      </c>
      <c r="K188" t="s">
        <v>680</v>
      </c>
      <c r="L188" t="s">
        <v>681</v>
      </c>
      <c r="M188" t="s">
        <v>682</v>
      </c>
      <c r="N188" t="s">
        <v>683</v>
      </c>
      <c r="O188" t="s">
        <v>684</v>
      </c>
      <c r="P188" t="s">
        <v>685</v>
      </c>
    </row>
    <row r="189" spans="2:16" ht="15">
      <c r="B189" s="7"/>
      <c r="C189" t="s">
        <v>686</v>
      </c>
      <c r="D189" t="s">
        <v>1063</v>
      </c>
      <c r="E189" t="s">
        <v>688</v>
      </c>
      <c r="F189" t="s">
        <v>688</v>
      </c>
      <c r="G189" t="s">
        <v>688</v>
      </c>
      <c r="H189" t="s">
        <v>688</v>
      </c>
      <c r="I189" t="s">
        <v>688</v>
      </c>
      <c r="J189" t="s">
        <v>688</v>
      </c>
      <c r="K189" t="s">
        <v>688</v>
      </c>
      <c r="L189" t="s">
        <v>688</v>
      </c>
      <c r="M189" t="s">
        <v>688</v>
      </c>
      <c r="N189" t="s">
        <v>688</v>
      </c>
      <c r="O189" s="4">
        <v>1</v>
      </c>
      <c r="P189" t="s">
        <v>1064</v>
      </c>
    </row>
    <row r="190" spans="2:16" ht="15">
      <c r="B190" s="1">
        <v>94</v>
      </c>
      <c r="C190" t="str">
        <f ca="1">IFERROR(__xludf.DUMMYFUNCTION(TRANSPOSE(ImportHTML("http://spending.data.al/sq/moneypower/view/id/94", "table", 0))),"*Kategoria*")</f>
        <v>*Kategoria*</v>
      </c>
      <c r="D190" t="s">
        <v>673</v>
      </c>
      <c r="E190" t="s">
        <v>674</v>
      </c>
      <c r="F190" t="s">
        <v>675</v>
      </c>
      <c r="G190" t="s">
        <v>676</v>
      </c>
      <c r="H190" t="s">
        <v>677</v>
      </c>
      <c r="I190" t="s">
        <v>678</v>
      </c>
      <c r="J190" t="s">
        <v>679</v>
      </c>
      <c r="K190" t="s">
        <v>680</v>
      </c>
      <c r="L190" t="s">
        <v>681</v>
      </c>
      <c r="M190" t="s">
        <v>682</v>
      </c>
      <c r="N190" t="s">
        <v>683</v>
      </c>
      <c r="O190" t="s">
        <v>684</v>
      </c>
      <c r="P190" t="s">
        <v>685</v>
      </c>
    </row>
    <row r="191" spans="2:16" ht="15">
      <c r="B191" s="7"/>
      <c r="C191" t="s">
        <v>686</v>
      </c>
      <c r="D191" t="s">
        <v>1065</v>
      </c>
      <c r="E191" t="s">
        <v>688</v>
      </c>
      <c r="F191" t="s">
        <v>688</v>
      </c>
      <c r="G191" t="s">
        <v>688</v>
      </c>
      <c r="H191" t="s">
        <v>1066</v>
      </c>
      <c r="I191" t="s">
        <v>688</v>
      </c>
      <c r="J191" t="s">
        <v>688</v>
      </c>
      <c r="K191" t="s">
        <v>688</v>
      </c>
      <c r="L191" t="s">
        <v>688</v>
      </c>
      <c r="M191" t="s">
        <v>1067</v>
      </c>
      <c r="N191" t="s">
        <v>688</v>
      </c>
      <c r="O191" s="4">
        <v>2.02</v>
      </c>
      <c r="P191" t="s">
        <v>707</v>
      </c>
    </row>
    <row r="192" spans="2:16" ht="15">
      <c r="B192" s="1">
        <v>95</v>
      </c>
      <c r="C192" t="str">
        <f ca="1">IFERROR(__xludf.DUMMYFUNCTION(TRANSPOSE(ImportHTML("http://spending.data.al/sq/moneypower/view/id/95", "table", 0))),"*Kategoria*")</f>
        <v>*Kategoria*</v>
      </c>
      <c r="D192" t="s">
        <v>673</v>
      </c>
      <c r="E192" t="s">
        <v>674</v>
      </c>
      <c r="F192" t="s">
        <v>675</v>
      </c>
      <c r="G192" t="s">
        <v>676</v>
      </c>
      <c r="H192" t="s">
        <v>677</v>
      </c>
      <c r="I192" t="s">
        <v>678</v>
      </c>
      <c r="J192" t="s">
        <v>679</v>
      </c>
      <c r="K192" t="s">
        <v>680</v>
      </c>
      <c r="L192" t="s">
        <v>681</v>
      </c>
      <c r="M192" t="s">
        <v>682</v>
      </c>
      <c r="N192" t="s">
        <v>683</v>
      </c>
      <c r="O192" t="s">
        <v>684</v>
      </c>
      <c r="P192" t="s">
        <v>685</v>
      </c>
    </row>
    <row r="193" spans="2:16" ht="15">
      <c r="B193" s="7"/>
      <c r="C193" t="s">
        <v>686</v>
      </c>
      <c r="D193" t="s">
        <v>1068</v>
      </c>
      <c r="E193" t="s">
        <v>1069</v>
      </c>
      <c r="F193" t="s">
        <v>688</v>
      </c>
      <c r="G193" t="s">
        <v>1070</v>
      </c>
      <c r="H193" t="s">
        <v>1071</v>
      </c>
      <c r="I193" t="s">
        <v>688</v>
      </c>
      <c r="J193" t="s">
        <v>688</v>
      </c>
      <c r="K193" t="s">
        <v>688</v>
      </c>
      <c r="L193" t="s">
        <v>688</v>
      </c>
      <c r="M193" t="s">
        <v>1072</v>
      </c>
      <c r="N193" t="s">
        <v>688</v>
      </c>
      <c r="P193" t="s">
        <v>1073</v>
      </c>
    </row>
    <row r="194" spans="2:16" ht="15">
      <c r="B194" s="1">
        <v>96</v>
      </c>
      <c r="C194" t="str">
        <f ca="1">IFERROR(__xludf.DUMMYFUNCTION(TRANSPOSE(ImportHTML("http://spending.data.al/sq/moneypower/view/id/96", "table", 0))),"*Kategoria*")</f>
        <v>*Kategoria*</v>
      </c>
      <c r="D194" t="s">
        <v>673</v>
      </c>
      <c r="E194" t="s">
        <v>674</v>
      </c>
      <c r="F194" t="s">
        <v>675</v>
      </c>
      <c r="G194" t="s">
        <v>676</v>
      </c>
      <c r="H194" t="s">
        <v>677</v>
      </c>
      <c r="I194" t="s">
        <v>678</v>
      </c>
      <c r="J194" t="s">
        <v>679</v>
      </c>
      <c r="K194" t="s">
        <v>680</v>
      </c>
      <c r="L194" t="s">
        <v>681</v>
      </c>
      <c r="M194" t="s">
        <v>682</v>
      </c>
      <c r="N194" t="s">
        <v>683</v>
      </c>
      <c r="O194" t="s">
        <v>684</v>
      </c>
      <c r="P194" t="s">
        <v>685</v>
      </c>
    </row>
    <row r="195" spans="2:16" ht="15">
      <c r="B195" s="7"/>
      <c r="C195" t="s">
        <v>686</v>
      </c>
      <c r="D195" t="s">
        <v>1074</v>
      </c>
      <c r="E195" t="s">
        <v>688</v>
      </c>
      <c r="F195" t="s">
        <v>688</v>
      </c>
      <c r="G195" t="s">
        <v>688</v>
      </c>
      <c r="H195" t="s">
        <v>688</v>
      </c>
      <c r="I195" t="s">
        <v>688</v>
      </c>
      <c r="J195" t="s">
        <v>688</v>
      </c>
      <c r="K195" t="s">
        <v>688</v>
      </c>
      <c r="L195" t="s">
        <v>688</v>
      </c>
      <c r="M195" t="s">
        <v>688</v>
      </c>
      <c r="N195" t="s">
        <v>688</v>
      </c>
      <c r="O195" s="4">
        <v>1</v>
      </c>
      <c r="P195" t="s">
        <v>707</v>
      </c>
    </row>
    <row r="196" spans="2:16" ht="15">
      <c r="B196" s="1">
        <v>97</v>
      </c>
      <c r="C196" t="str">
        <f ca="1">IFERROR(__xludf.DUMMYFUNCTION(TRANSPOSE(ImportHTML("http://spending.data.al/sq/moneypower/view/id/97", "table", 0))),"*Kategoria*")</f>
        <v>*Kategoria*</v>
      </c>
      <c r="D196" t="s">
        <v>673</v>
      </c>
      <c r="E196" t="s">
        <v>674</v>
      </c>
      <c r="F196" t="s">
        <v>675</v>
      </c>
      <c r="G196" t="s">
        <v>676</v>
      </c>
      <c r="H196" t="s">
        <v>677</v>
      </c>
      <c r="I196" t="s">
        <v>678</v>
      </c>
      <c r="J196" t="s">
        <v>679</v>
      </c>
      <c r="K196" t="s">
        <v>680</v>
      </c>
      <c r="L196" t="s">
        <v>681</v>
      </c>
      <c r="M196" t="s">
        <v>682</v>
      </c>
      <c r="N196" t="s">
        <v>683</v>
      </c>
      <c r="O196" t="s">
        <v>684</v>
      </c>
      <c r="P196" t="s">
        <v>685</v>
      </c>
    </row>
    <row r="197" spans="2:16" ht="15">
      <c r="B197" s="7"/>
      <c r="C197" t="s">
        <v>686</v>
      </c>
      <c r="D197" t="s">
        <v>1075</v>
      </c>
      <c r="E197" t="s">
        <v>1076</v>
      </c>
      <c r="F197" t="s">
        <v>688</v>
      </c>
      <c r="G197" t="s">
        <v>688</v>
      </c>
      <c r="H197" t="s">
        <v>688</v>
      </c>
      <c r="I197" t="s">
        <v>688</v>
      </c>
      <c r="J197" t="s">
        <v>688</v>
      </c>
      <c r="K197" t="s">
        <v>688</v>
      </c>
      <c r="L197" t="s">
        <v>688</v>
      </c>
      <c r="M197" t="s">
        <v>1077</v>
      </c>
      <c r="N197" t="s">
        <v>1078</v>
      </c>
      <c r="O197" s="4">
        <v>1.5</v>
      </c>
      <c r="P197" t="s">
        <v>1079</v>
      </c>
    </row>
    <row r="198" spans="2:16" ht="15">
      <c r="B198" s="1">
        <v>98</v>
      </c>
      <c r="C198" t="str">
        <f ca="1">IFERROR(__xludf.DUMMYFUNCTION(TRANSPOSE(ImportHTML("http://spending.data.al/sq/moneypower/view/id/98", "table", 0))),"*Kategoria*")</f>
        <v>*Kategoria*</v>
      </c>
      <c r="D198" t="s">
        <v>673</v>
      </c>
      <c r="E198" t="s">
        <v>674</v>
      </c>
      <c r="F198" t="s">
        <v>675</v>
      </c>
      <c r="G198" t="s">
        <v>676</v>
      </c>
      <c r="H198" t="s">
        <v>677</v>
      </c>
      <c r="I198" t="s">
        <v>678</v>
      </c>
      <c r="J198" t="s">
        <v>679</v>
      </c>
      <c r="K198" t="s">
        <v>680</v>
      </c>
      <c r="L198" t="s">
        <v>681</v>
      </c>
      <c r="M198" t="s">
        <v>682</v>
      </c>
      <c r="N198" t="s">
        <v>683</v>
      </c>
      <c r="O198" t="s">
        <v>684</v>
      </c>
      <c r="P198" t="s">
        <v>685</v>
      </c>
    </row>
    <row r="199" spans="2:16" ht="15">
      <c r="B199" s="7"/>
      <c r="C199" t="s">
        <v>686</v>
      </c>
      <c r="D199" t="s">
        <v>1080</v>
      </c>
      <c r="E199" t="s">
        <v>688</v>
      </c>
      <c r="F199" t="s">
        <v>1081</v>
      </c>
      <c r="G199" t="s">
        <v>688</v>
      </c>
      <c r="H199" t="s">
        <v>688</v>
      </c>
      <c r="I199" t="s">
        <v>688</v>
      </c>
      <c r="J199" t="s">
        <v>688</v>
      </c>
      <c r="K199" t="s">
        <v>688</v>
      </c>
      <c r="L199" t="s">
        <v>688</v>
      </c>
      <c r="M199" t="s">
        <v>1082</v>
      </c>
      <c r="N199" t="s">
        <v>688</v>
      </c>
      <c r="P199" t="s">
        <v>1083</v>
      </c>
    </row>
    <row r="200" spans="2:16" ht="15">
      <c r="B200" s="1">
        <v>99</v>
      </c>
      <c r="C200" t="str">
        <f ca="1">IFERROR(__xludf.DUMMYFUNCTION(TRANSPOSE(ImportHTML("http://spending.data.al/sq/moneypower/view/id/99", "table", 0))),"*Kategoria*")</f>
        <v>*Kategoria*</v>
      </c>
      <c r="D200" t="s">
        <v>673</v>
      </c>
      <c r="E200" t="s">
        <v>674</v>
      </c>
      <c r="F200" t="s">
        <v>675</v>
      </c>
      <c r="G200" t="s">
        <v>676</v>
      </c>
      <c r="H200" t="s">
        <v>677</v>
      </c>
      <c r="I200" t="s">
        <v>678</v>
      </c>
      <c r="J200" t="s">
        <v>679</v>
      </c>
      <c r="K200" t="s">
        <v>680</v>
      </c>
      <c r="L200" t="s">
        <v>681</v>
      </c>
      <c r="M200" t="s">
        <v>682</v>
      </c>
      <c r="N200" t="s">
        <v>683</v>
      </c>
      <c r="O200" t="s">
        <v>684</v>
      </c>
      <c r="P200" t="s">
        <v>685</v>
      </c>
    </row>
    <row r="201" spans="2:16" ht="15">
      <c r="B201" s="7"/>
      <c r="C201" t="s">
        <v>686</v>
      </c>
      <c r="D201" t="s">
        <v>1084</v>
      </c>
      <c r="E201" t="s">
        <v>688</v>
      </c>
      <c r="F201" t="s">
        <v>688</v>
      </c>
      <c r="G201" t="s">
        <v>1085</v>
      </c>
      <c r="H201" t="s">
        <v>1086</v>
      </c>
      <c r="I201" t="s">
        <v>688</v>
      </c>
      <c r="J201" t="s">
        <v>688</v>
      </c>
      <c r="K201" t="s">
        <v>688</v>
      </c>
      <c r="L201" t="s">
        <v>688</v>
      </c>
      <c r="M201" t="s">
        <v>1087</v>
      </c>
      <c r="N201" t="s">
        <v>1088</v>
      </c>
      <c r="P201" t="s">
        <v>1089</v>
      </c>
    </row>
    <row r="202" spans="2:16" ht="15">
      <c r="B202" s="1">
        <v>100</v>
      </c>
      <c r="C202" t="str">
        <f ca="1">IFERROR(__xludf.DUMMYFUNCTION(TRANSPOSE(ImportHTML("http://spending.data.al/sq/moneypower/view/id/100", "table", 0))),"*Kategoria*")</f>
        <v>*Kategoria*</v>
      </c>
      <c r="D202" t="s">
        <v>673</v>
      </c>
      <c r="E202" t="s">
        <v>674</v>
      </c>
      <c r="F202" t="s">
        <v>675</v>
      </c>
      <c r="G202" t="s">
        <v>676</v>
      </c>
      <c r="H202" t="s">
        <v>677</v>
      </c>
      <c r="I202" t="s">
        <v>678</v>
      </c>
      <c r="J202" t="s">
        <v>679</v>
      </c>
      <c r="K202" t="s">
        <v>680</v>
      </c>
      <c r="L202" t="s">
        <v>681</v>
      </c>
      <c r="M202" t="s">
        <v>682</v>
      </c>
      <c r="N202" t="s">
        <v>683</v>
      </c>
      <c r="O202" t="s">
        <v>684</v>
      </c>
      <c r="P202" t="s">
        <v>685</v>
      </c>
    </row>
    <row r="203" spans="2:16" ht="15">
      <c r="B203" s="7"/>
      <c r="C203" t="s">
        <v>686</v>
      </c>
      <c r="D203" t="s">
        <v>1090</v>
      </c>
      <c r="E203" t="s">
        <v>688</v>
      </c>
      <c r="F203" t="s">
        <v>1091</v>
      </c>
      <c r="G203" t="s">
        <v>688</v>
      </c>
      <c r="H203" t="s">
        <v>688</v>
      </c>
      <c r="I203" t="s">
        <v>688</v>
      </c>
      <c r="J203" t="s">
        <v>688</v>
      </c>
      <c r="K203" t="s">
        <v>688</v>
      </c>
      <c r="L203" t="s">
        <v>688</v>
      </c>
      <c r="M203" t="s">
        <v>1092</v>
      </c>
      <c r="N203" t="s">
        <v>688</v>
      </c>
      <c r="P203" t="s">
        <v>1093</v>
      </c>
    </row>
    <row r="204" spans="2:16" ht="15">
      <c r="B204" s="1">
        <v>101</v>
      </c>
      <c r="C204" t="str">
        <f ca="1">IFERROR(__xludf.DUMMYFUNCTION(TRANSPOSE(ImportHTML("http://spending.data.al/sq/moneypower/view/id/101", "table", 0))),"*Kategoria*")</f>
        <v>*Kategoria*</v>
      </c>
      <c r="D204" t="s">
        <v>673</v>
      </c>
      <c r="E204" t="s">
        <v>674</v>
      </c>
      <c r="F204" t="s">
        <v>675</v>
      </c>
      <c r="G204" t="s">
        <v>676</v>
      </c>
      <c r="H204" t="s">
        <v>677</v>
      </c>
      <c r="I204" t="s">
        <v>678</v>
      </c>
      <c r="J204" t="s">
        <v>679</v>
      </c>
      <c r="K204" t="s">
        <v>680</v>
      </c>
      <c r="L204" t="s">
        <v>681</v>
      </c>
      <c r="M204" t="s">
        <v>682</v>
      </c>
      <c r="N204" t="s">
        <v>683</v>
      </c>
      <c r="O204" t="s">
        <v>684</v>
      </c>
      <c r="P204" t="s">
        <v>685</v>
      </c>
    </row>
    <row r="205" spans="2:16" ht="15">
      <c r="B205" s="7"/>
      <c r="C205" t="s">
        <v>686</v>
      </c>
      <c r="D205" t="s">
        <v>1094</v>
      </c>
      <c r="E205" t="s">
        <v>688</v>
      </c>
      <c r="F205" t="s">
        <v>1095</v>
      </c>
      <c r="G205" t="s">
        <v>1096</v>
      </c>
      <c r="H205" t="s">
        <v>688</v>
      </c>
      <c r="I205" t="s">
        <v>688</v>
      </c>
      <c r="J205" t="s">
        <v>688</v>
      </c>
      <c r="K205" t="s">
        <v>688</v>
      </c>
      <c r="L205" t="s">
        <v>688</v>
      </c>
      <c r="M205" t="s">
        <v>688</v>
      </c>
      <c r="N205" t="s">
        <v>688</v>
      </c>
      <c r="O205" s="4">
        <v>1.23</v>
      </c>
    </row>
    <row r="206" spans="2:16" ht="15">
      <c r="B206" s="1">
        <v>102</v>
      </c>
      <c r="C206" t="str">
        <f ca="1">IFERROR(__xludf.DUMMYFUNCTION(TRANSPOSE(ImportHTML("http://spending.data.al/sq/moneypower/view/id/102", "table", 0))),"*Kategoria*")</f>
        <v>*Kategoria*</v>
      </c>
      <c r="D206" t="s">
        <v>673</v>
      </c>
      <c r="E206" t="s">
        <v>674</v>
      </c>
      <c r="F206" t="s">
        <v>675</v>
      </c>
      <c r="G206" t="s">
        <v>676</v>
      </c>
      <c r="H206" t="s">
        <v>677</v>
      </c>
      <c r="I206" t="s">
        <v>678</v>
      </c>
      <c r="J206" t="s">
        <v>679</v>
      </c>
      <c r="K206" t="s">
        <v>680</v>
      </c>
      <c r="L206" t="s">
        <v>681</v>
      </c>
      <c r="M206" t="s">
        <v>682</v>
      </c>
      <c r="N206" t="s">
        <v>683</v>
      </c>
      <c r="O206" t="s">
        <v>684</v>
      </c>
      <c r="P206" t="s">
        <v>685</v>
      </c>
    </row>
    <row r="207" spans="2:16" ht="15">
      <c r="B207" s="7"/>
      <c r="C207" t="s">
        <v>686</v>
      </c>
      <c r="D207" t="s">
        <v>1097</v>
      </c>
      <c r="E207" t="s">
        <v>688</v>
      </c>
      <c r="F207" t="s">
        <v>688</v>
      </c>
      <c r="G207" t="s">
        <v>1098</v>
      </c>
      <c r="H207" t="s">
        <v>688</v>
      </c>
      <c r="I207" t="s">
        <v>688</v>
      </c>
      <c r="J207" t="s">
        <v>688</v>
      </c>
      <c r="K207" t="s">
        <v>688</v>
      </c>
      <c r="L207" t="s">
        <v>688</v>
      </c>
      <c r="M207" t="s">
        <v>1099</v>
      </c>
      <c r="N207" t="s">
        <v>688</v>
      </c>
      <c r="P207" t="s">
        <v>1100</v>
      </c>
    </row>
    <row r="208" spans="2:16" ht="15">
      <c r="B208" s="1">
        <v>103</v>
      </c>
      <c r="C208" t="str">
        <f ca="1">IFERROR(__xludf.DUMMYFUNCTION(TRANSPOSE(ImportHTML("http://spending.data.al/sq/moneypower/view/id/103", "table", 0))),"*Kategoria*")</f>
        <v>*Kategoria*</v>
      </c>
      <c r="D208" t="s">
        <v>673</v>
      </c>
      <c r="E208" t="s">
        <v>674</v>
      </c>
      <c r="F208" t="s">
        <v>675</v>
      </c>
      <c r="G208" t="s">
        <v>676</v>
      </c>
      <c r="H208" t="s">
        <v>677</v>
      </c>
      <c r="I208" t="s">
        <v>678</v>
      </c>
      <c r="J208" t="s">
        <v>679</v>
      </c>
      <c r="K208" t="s">
        <v>680</v>
      </c>
      <c r="L208" t="s">
        <v>681</v>
      </c>
      <c r="M208" t="s">
        <v>682</v>
      </c>
      <c r="N208" t="s">
        <v>683</v>
      </c>
      <c r="O208" t="s">
        <v>684</v>
      </c>
      <c r="P208" t="s">
        <v>685</v>
      </c>
    </row>
    <row r="209" spans="2:16" ht="15">
      <c r="B209" s="7"/>
      <c r="C209" t="s">
        <v>686</v>
      </c>
      <c r="D209" t="s">
        <v>1101</v>
      </c>
      <c r="E209" t="s">
        <v>688</v>
      </c>
      <c r="F209" t="s">
        <v>688</v>
      </c>
      <c r="G209" t="s">
        <v>688</v>
      </c>
      <c r="I209" t="s">
        <v>688</v>
      </c>
      <c r="J209" t="s">
        <v>688</v>
      </c>
      <c r="K209" t="s">
        <v>688</v>
      </c>
      <c r="L209" t="s">
        <v>688</v>
      </c>
      <c r="M209" t="s">
        <v>1102</v>
      </c>
      <c r="P209" t="s">
        <v>1103</v>
      </c>
    </row>
    <row r="210" spans="2:16" ht="15">
      <c r="B210" s="1">
        <v>104</v>
      </c>
      <c r="C210" t="str">
        <f ca="1">IFERROR(__xludf.DUMMYFUNCTION(TRANSPOSE(ImportHTML("http://spending.data.al/sq/moneypower/view/id/104", "table", 0))),"*Kategoria*")</f>
        <v>*Kategoria*</v>
      </c>
      <c r="D210" t="s">
        <v>673</v>
      </c>
      <c r="E210" t="s">
        <v>674</v>
      </c>
      <c r="F210" t="s">
        <v>675</v>
      </c>
      <c r="G210" t="s">
        <v>676</v>
      </c>
      <c r="H210" t="s">
        <v>677</v>
      </c>
      <c r="I210" t="s">
        <v>678</v>
      </c>
      <c r="J210" t="s">
        <v>679</v>
      </c>
      <c r="K210" t="s">
        <v>680</v>
      </c>
      <c r="L210" t="s">
        <v>681</v>
      </c>
      <c r="M210" t="s">
        <v>682</v>
      </c>
      <c r="N210" t="s">
        <v>683</v>
      </c>
      <c r="O210" t="s">
        <v>684</v>
      </c>
      <c r="P210" t="s">
        <v>685</v>
      </c>
    </row>
    <row r="211" spans="2:16" ht="15">
      <c r="B211" s="7"/>
      <c r="C211" t="s">
        <v>686</v>
      </c>
      <c r="D211" t="s">
        <v>1104</v>
      </c>
      <c r="E211" t="s">
        <v>688</v>
      </c>
      <c r="F211" t="s">
        <v>1105</v>
      </c>
      <c r="G211" t="s">
        <v>688</v>
      </c>
      <c r="H211" t="s">
        <v>1106</v>
      </c>
      <c r="I211" t="s">
        <v>688</v>
      </c>
      <c r="J211" t="s">
        <v>688</v>
      </c>
      <c r="K211" t="s">
        <v>688</v>
      </c>
      <c r="L211" t="s">
        <v>688</v>
      </c>
      <c r="M211" t="s">
        <v>1107</v>
      </c>
      <c r="N211" t="s">
        <v>688</v>
      </c>
      <c r="P211" t="s">
        <v>1108</v>
      </c>
    </row>
    <row r="212" spans="2:16" ht="15">
      <c r="B212" s="1">
        <v>105</v>
      </c>
      <c r="C212" t="str">
        <f ca="1">IFERROR(__xludf.DUMMYFUNCTION(TRANSPOSE(ImportHTML("http://spending.data.al/sq/moneypower/view/id/105", "table", 0))),"*Kategoria*")</f>
        <v>*Kategoria*</v>
      </c>
      <c r="D212" t="s">
        <v>673</v>
      </c>
      <c r="E212" t="s">
        <v>674</v>
      </c>
      <c r="F212" t="s">
        <v>675</v>
      </c>
      <c r="G212" t="s">
        <v>676</v>
      </c>
      <c r="H212" t="s">
        <v>677</v>
      </c>
      <c r="I212" t="s">
        <v>678</v>
      </c>
      <c r="J212" t="s">
        <v>679</v>
      </c>
      <c r="K212" t="s">
        <v>680</v>
      </c>
      <c r="L212" t="s">
        <v>681</v>
      </c>
      <c r="M212" t="s">
        <v>682</v>
      </c>
      <c r="N212" t="s">
        <v>683</v>
      </c>
      <c r="O212" t="s">
        <v>684</v>
      </c>
      <c r="P212" t="s">
        <v>685</v>
      </c>
    </row>
    <row r="213" spans="2:16" ht="15">
      <c r="B213" s="7"/>
      <c r="C213" t="s">
        <v>686</v>
      </c>
      <c r="D213" t="s">
        <v>1109</v>
      </c>
      <c r="E213" t="s">
        <v>688</v>
      </c>
      <c r="F213" t="s">
        <v>688</v>
      </c>
      <c r="G213" t="s">
        <v>688</v>
      </c>
      <c r="H213" t="s">
        <v>688</v>
      </c>
      <c r="I213" t="s">
        <v>688</v>
      </c>
      <c r="J213" t="s">
        <v>688</v>
      </c>
      <c r="K213" t="s">
        <v>688</v>
      </c>
      <c r="L213" t="s">
        <v>688</v>
      </c>
      <c r="M213" t="s">
        <v>1110</v>
      </c>
      <c r="N213" t="s">
        <v>688</v>
      </c>
      <c r="P213" t="s">
        <v>1111</v>
      </c>
    </row>
    <row r="214" spans="2:16" ht="15">
      <c r="B214" s="1">
        <v>106</v>
      </c>
      <c r="C214" t="str">
        <f ca="1">IFERROR(__xludf.DUMMYFUNCTION(TRANSPOSE(ImportHTML("http://spending.data.al/sq/moneypower/view/id/106", "table", 0))),"*Kategoria*")</f>
        <v>*Kategoria*</v>
      </c>
      <c r="D214" t="s">
        <v>673</v>
      </c>
      <c r="E214" t="s">
        <v>674</v>
      </c>
      <c r="F214" t="s">
        <v>675</v>
      </c>
      <c r="G214" t="s">
        <v>676</v>
      </c>
      <c r="H214" t="s">
        <v>677</v>
      </c>
      <c r="I214" t="s">
        <v>678</v>
      </c>
      <c r="J214" t="s">
        <v>679</v>
      </c>
      <c r="K214" t="s">
        <v>680</v>
      </c>
      <c r="L214" t="s">
        <v>681</v>
      </c>
      <c r="M214" t="s">
        <v>682</v>
      </c>
      <c r="N214" t="s">
        <v>683</v>
      </c>
      <c r="O214" t="s">
        <v>684</v>
      </c>
      <c r="P214" t="s">
        <v>685</v>
      </c>
    </row>
    <row r="215" spans="2:16" ht="15">
      <c r="B215" s="7"/>
      <c r="C215" t="s">
        <v>686</v>
      </c>
      <c r="D215" t="s">
        <v>688</v>
      </c>
      <c r="E215" t="s">
        <v>688</v>
      </c>
      <c r="F215" t="s">
        <v>1112</v>
      </c>
      <c r="G215" t="s">
        <v>688</v>
      </c>
      <c r="H215" t="s">
        <v>688</v>
      </c>
      <c r="I215" t="s">
        <v>688</v>
      </c>
      <c r="J215" t="s">
        <v>688</v>
      </c>
      <c r="K215" t="s">
        <v>688</v>
      </c>
      <c r="L215" t="s">
        <v>688</v>
      </c>
      <c r="M215" t="s">
        <v>1113</v>
      </c>
      <c r="N215" t="s">
        <v>688</v>
      </c>
      <c r="O215" s="4">
        <v>1.01</v>
      </c>
      <c r="P215" t="s">
        <v>1114</v>
      </c>
    </row>
    <row r="216" spans="2:16" ht="15">
      <c r="B216" s="1">
        <v>107</v>
      </c>
      <c r="C216" t="str">
        <f ca="1">IFERROR(__xludf.DUMMYFUNCTION(TRANSPOSE(ImportHTML("http://spending.data.al/sq/moneypower/view/id/107", "table", 0))),"*Kategoria*")</f>
        <v>*Kategoria*</v>
      </c>
      <c r="D216" t="s">
        <v>673</v>
      </c>
      <c r="E216" t="s">
        <v>674</v>
      </c>
      <c r="F216" t="s">
        <v>675</v>
      </c>
      <c r="G216" t="s">
        <v>676</v>
      </c>
      <c r="H216" t="s">
        <v>677</v>
      </c>
      <c r="I216" t="s">
        <v>678</v>
      </c>
      <c r="J216" t="s">
        <v>679</v>
      </c>
      <c r="K216" t="s">
        <v>680</v>
      </c>
      <c r="L216" t="s">
        <v>681</v>
      </c>
      <c r="M216" t="s">
        <v>682</v>
      </c>
      <c r="N216" t="s">
        <v>683</v>
      </c>
      <c r="O216" t="s">
        <v>684</v>
      </c>
      <c r="P216" t="s">
        <v>685</v>
      </c>
    </row>
    <row r="217" spans="2:16" ht="15">
      <c r="B217" s="7"/>
      <c r="C217" t="s">
        <v>686</v>
      </c>
      <c r="D217" t="s">
        <v>1115</v>
      </c>
      <c r="E217" t="s">
        <v>688</v>
      </c>
      <c r="F217" t="s">
        <v>1116</v>
      </c>
      <c r="G217" t="s">
        <v>688</v>
      </c>
      <c r="H217" t="s">
        <v>688</v>
      </c>
      <c r="I217" t="s">
        <v>688</v>
      </c>
      <c r="J217" t="s">
        <v>688</v>
      </c>
      <c r="K217" t="s">
        <v>688</v>
      </c>
      <c r="L217" t="s">
        <v>688</v>
      </c>
      <c r="M217" t="s">
        <v>1117</v>
      </c>
      <c r="N217" t="s">
        <v>688</v>
      </c>
      <c r="P217" t="s">
        <v>1118</v>
      </c>
    </row>
    <row r="218" spans="2:16" ht="15">
      <c r="B218" s="1">
        <v>108</v>
      </c>
      <c r="C218" t="str">
        <f ca="1">IFERROR(__xludf.DUMMYFUNCTION(TRANSPOSE(ImportHTML("http://spending.data.al/sq/moneypower/view/id/108", "table", 0))),"*Kategoria*")</f>
        <v>*Kategoria*</v>
      </c>
      <c r="D218" t="s">
        <v>673</v>
      </c>
      <c r="E218" t="s">
        <v>674</v>
      </c>
      <c r="F218" t="s">
        <v>675</v>
      </c>
      <c r="G218" t="s">
        <v>676</v>
      </c>
      <c r="H218" t="s">
        <v>677</v>
      </c>
      <c r="I218" t="s">
        <v>678</v>
      </c>
      <c r="J218" t="s">
        <v>679</v>
      </c>
      <c r="K218" t="s">
        <v>680</v>
      </c>
      <c r="L218" t="s">
        <v>681</v>
      </c>
      <c r="M218" t="s">
        <v>682</v>
      </c>
      <c r="N218" t="s">
        <v>683</v>
      </c>
      <c r="O218" t="s">
        <v>684</v>
      </c>
      <c r="P218" t="s">
        <v>685</v>
      </c>
    </row>
    <row r="219" spans="2:16" ht="15">
      <c r="B219" s="7"/>
      <c r="C219" t="s">
        <v>686</v>
      </c>
      <c r="D219" t="s">
        <v>1119</v>
      </c>
      <c r="E219" t="s">
        <v>688</v>
      </c>
      <c r="F219" t="s">
        <v>688</v>
      </c>
      <c r="G219" t="s">
        <v>688</v>
      </c>
      <c r="H219" t="s">
        <v>688</v>
      </c>
      <c r="I219" t="s">
        <v>688</v>
      </c>
      <c r="J219" t="s">
        <v>688</v>
      </c>
      <c r="K219" t="s">
        <v>688</v>
      </c>
      <c r="L219" t="s">
        <v>688</v>
      </c>
      <c r="M219" t="s">
        <v>1120</v>
      </c>
      <c r="N219" t="s">
        <v>688</v>
      </c>
      <c r="P219" t="s">
        <v>1121</v>
      </c>
    </row>
    <row r="220" spans="2:16" ht="15">
      <c r="B220" s="1">
        <v>109</v>
      </c>
      <c r="C220" t="str">
        <f ca="1">IFERROR(__xludf.DUMMYFUNCTION(TRANSPOSE(ImportHTML("http://spending.data.al/sq/moneypower/view/id/109", "table", 0))),"*Kategoria*")</f>
        <v>*Kategoria*</v>
      </c>
      <c r="D220" t="s">
        <v>673</v>
      </c>
      <c r="E220" t="s">
        <v>674</v>
      </c>
      <c r="F220" t="s">
        <v>675</v>
      </c>
      <c r="G220" t="s">
        <v>676</v>
      </c>
      <c r="H220" t="s">
        <v>677</v>
      </c>
      <c r="I220" t="s">
        <v>678</v>
      </c>
      <c r="J220" t="s">
        <v>679</v>
      </c>
      <c r="K220" t="s">
        <v>680</v>
      </c>
      <c r="L220" t="s">
        <v>681</v>
      </c>
      <c r="M220" t="s">
        <v>682</v>
      </c>
      <c r="N220" t="s">
        <v>683</v>
      </c>
      <c r="O220" t="s">
        <v>684</v>
      </c>
      <c r="P220" t="s">
        <v>685</v>
      </c>
    </row>
    <row r="221" spans="2:16" ht="15">
      <c r="B221" s="7"/>
      <c r="C221" t="s">
        <v>686</v>
      </c>
      <c r="D221" t="s">
        <v>1122</v>
      </c>
      <c r="E221" t="s">
        <v>688</v>
      </c>
      <c r="F221" t="s">
        <v>688</v>
      </c>
      <c r="G221" t="s">
        <v>688</v>
      </c>
      <c r="H221" t="s">
        <v>1123</v>
      </c>
      <c r="I221" t="s">
        <v>688</v>
      </c>
      <c r="J221" t="s">
        <v>688</v>
      </c>
      <c r="K221" t="s">
        <v>688</v>
      </c>
      <c r="L221" t="s">
        <v>688</v>
      </c>
      <c r="M221" t="s">
        <v>1124</v>
      </c>
      <c r="N221" t="s">
        <v>688</v>
      </c>
      <c r="P221" t="s">
        <v>1125</v>
      </c>
    </row>
    <row r="222" spans="2:16" ht="15">
      <c r="B222" s="1">
        <v>110</v>
      </c>
      <c r="C222" t="str">
        <f ca="1">IFERROR(__xludf.DUMMYFUNCTION(TRANSPOSE(ImportHTML("http://spending.data.al/sq/moneypower/view/id/110", "table", 0))),"*Kategoria*")</f>
        <v>*Kategoria*</v>
      </c>
      <c r="D222" t="s">
        <v>673</v>
      </c>
      <c r="E222" t="s">
        <v>674</v>
      </c>
      <c r="F222" t="s">
        <v>675</v>
      </c>
      <c r="G222" t="s">
        <v>676</v>
      </c>
      <c r="H222" t="s">
        <v>677</v>
      </c>
      <c r="I222" t="s">
        <v>678</v>
      </c>
      <c r="J222" t="s">
        <v>679</v>
      </c>
      <c r="K222" t="s">
        <v>680</v>
      </c>
      <c r="L222" t="s">
        <v>681</v>
      </c>
      <c r="M222" t="s">
        <v>682</v>
      </c>
      <c r="N222" t="s">
        <v>683</v>
      </c>
      <c r="O222" t="s">
        <v>684</v>
      </c>
      <c r="P222" t="s">
        <v>685</v>
      </c>
    </row>
    <row r="223" spans="2:16" ht="15">
      <c r="B223" s="7"/>
      <c r="C223" t="s">
        <v>686</v>
      </c>
      <c r="D223" t="s">
        <v>1126</v>
      </c>
      <c r="E223" t="s">
        <v>688</v>
      </c>
      <c r="F223" t="s">
        <v>688</v>
      </c>
      <c r="G223" t="s">
        <v>688</v>
      </c>
      <c r="H223" t="s">
        <v>688</v>
      </c>
      <c r="I223" t="s">
        <v>688</v>
      </c>
      <c r="J223" t="s">
        <v>688</v>
      </c>
      <c r="K223" t="s">
        <v>688</v>
      </c>
      <c r="L223" t="s">
        <v>688</v>
      </c>
      <c r="M223" t="s">
        <v>1127</v>
      </c>
      <c r="N223" t="s">
        <v>688</v>
      </c>
      <c r="P223" t="s">
        <v>1128</v>
      </c>
    </row>
    <row r="224" spans="2:16" ht="15">
      <c r="B224" s="1">
        <v>111</v>
      </c>
      <c r="C224" t="str">
        <f ca="1">IFERROR(__xludf.DUMMYFUNCTION(TRANSPOSE(ImportHTML("http://spending.data.al/sq/moneypower/view/id/111", "table", 0))),"*Kategoria*")</f>
        <v>*Kategoria*</v>
      </c>
      <c r="D224" t="s">
        <v>673</v>
      </c>
      <c r="E224" t="s">
        <v>674</v>
      </c>
      <c r="F224" t="s">
        <v>675</v>
      </c>
      <c r="G224" t="s">
        <v>676</v>
      </c>
      <c r="H224" t="s">
        <v>677</v>
      </c>
      <c r="I224" t="s">
        <v>678</v>
      </c>
      <c r="J224" t="s">
        <v>679</v>
      </c>
      <c r="K224" t="s">
        <v>680</v>
      </c>
      <c r="L224" t="s">
        <v>681</v>
      </c>
      <c r="M224" t="s">
        <v>682</v>
      </c>
      <c r="N224" t="s">
        <v>683</v>
      </c>
      <c r="O224" t="s">
        <v>684</v>
      </c>
      <c r="P224" t="s">
        <v>685</v>
      </c>
    </row>
    <row r="225" spans="2:16" ht="15">
      <c r="B225" s="7"/>
      <c r="C225" t="s">
        <v>686</v>
      </c>
      <c r="D225" t="s">
        <v>1129</v>
      </c>
      <c r="E225" t="s">
        <v>688</v>
      </c>
      <c r="F225" t="s">
        <v>688</v>
      </c>
      <c r="G225" t="s">
        <v>688</v>
      </c>
      <c r="H225" t="s">
        <v>688</v>
      </c>
      <c r="I225" t="s">
        <v>688</v>
      </c>
      <c r="J225" t="s">
        <v>688</v>
      </c>
      <c r="K225" t="s">
        <v>688</v>
      </c>
      <c r="L225" t="s">
        <v>688</v>
      </c>
      <c r="M225" t="s">
        <v>1130</v>
      </c>
      <c r="N225" t="s">
        <v>688</v>
      </c>
      <c r="P225" t="s">
        <v>1131</v>
      </c>
    </row>
    <row r="226" spans="2:16" ht="15">
      <c r="B226" s="1">
        <v>112</v>
      </c>
      <c r="C226" t="str">
        <f ca="1">IFERROR(__xludf.DUMMYFUNCTION(TRANSPOSE(ImportHTML("http://spending.data.al/sq/moneypower/view/id/112", "table", 0))),"*Kategoria*")</f>
        <v>*Kategoria*</v>
      </c>
      <c r="D226" t="s">
        <v>673</v>
      </c>
      <c r="E226" t="s">
        <v>674</v>
      </c>
      <c r="F226" t="s">
        <v>675</v>
      </c>
      <c r="G226" t="s">
        <v>676</v>
      </c>
      <c r="H226" t="s">
        <v>677</v>
      </c>
      <c r="I226" t="s">
        <v>678</v>
      </c>
      <c r="J226" t="s">
        <v>679</v>
      </c>
      <c r="K226" t="s">
        <v>680</v>
      </c>
      <c r="L226" t="s">
        <v>681</v>
      </c>
      <c r="M226" t="s">
        <v>682</v>
      </c>
      <c r="N226" t="s">
        <v>683</v>
      </c>
      <c r="O226" t="s">
        <v>684</v>
      </c>
      <c r="P226" t="s">
        <v>685</v>
      </c>
    </row>
    <row r="227" spans="2:16" ht="15">
      <c r="B227" s="7"/>
      <c r="C227" t="s">
        <v>686</v>
      </c>
      <c r="D227" t="s">
        <v>1132</v>
      </c>
      <c r="E227" t="s">
        <v>688</v>
      </c>
      <c r="F227" t="s">
        <v>688</v>
      </c>
      <c r="G227" t="s">
        <v>688</v>
      </c>
      <c r="H227" t="s">
        <v>688</v>
      </c>
      <c r="I227" t="s">
        <v>688</v>
      </c>
      <c r="J227" t="s">
        <v>688</v>
      </c>
      <c r="K227" t="s">
        <v>688</v>
      </c>
      <c r="L227" t="s">
        <v>688</v>
      </c>
      <c r="M227" t="s">
        <v>1133</v>
      </c>
      <c r="N227" t="s">
        <v>688</v>
      </c>
      <c r="P227" t="s">
        <v>1134</v>
      </c>
    </row>
    <row r="228" spans="2:16" ht="15">
      <c r="B228" s="1">
        <v>113</v>
      </c>
      <c r="C228" t="str">
        <f ca="1">IFERROR(__xludf.DUMMYFUNCTION(TRANSPOSE(ImportHTML("http://spending.data.al/sq/moneypower/view/id/113", "table", 0))),"*Kategoria*")</f>
        <v>*Kategoria*</v>
      </c>
      <c r="D228" t="s">
        <v>673</v>
      </c>
      <c r="E228" t="s">
        <v>674</v>
      </c>
      <c r="F228" t="s">
        <v>675</v>
      </c>
      <c r="G228" t="s">
        <v>676</v>
      </c>
      <c r="H228" t="s">
        <v>677</v>
      </c>
      <c r="I228" t="s">
        <v>678</v>
      </c>
      <c r="J228" t="s">
        <v>679</v>
      </c>
      <c r="K228" t="s">
        <v>680</v>
      </c>
      <c r="L228" t="s">
        <v>681</v>
      </c>
      <c r="M228" t="s">
        <v>682</v>
      </c>
      <c r="N228" t="s">
        <v>683</v>
      </c>
      <c r="O228" t="s">
        <v>684</v>
      </c>
      <c r="P228" t="s">
        <v>685</v>
      </c>
    </row>
    <row r="229" spans="2:16" ht="15">
      <c r="B229" s="7"/>
      <c r="C229" t="s">
        <v>686</v>
      </c>
      <c r="D229" t="s">
        <v>1135</v>
      </c>
      <c r="E229" t="s">
        <v>688</v>
      </c>
      <c r="F229" t="s">
        <v>688</v>
      </c>
      <c r="G229" t="s">
        <v>688</v>
      </c>
      <c r="H229" t="s">
        <v>1136</v>
      </c>
      <c r="I229" t="s">
        <v>688</v>
      </c>
      <c r="J229" t="s">
        <v>688</v>
      </c>
      <c r="K229" t="s">
        <v>688</v>
      </c>
      <c r="L229" t="s">
        <v>688</v>
      </c>
      <c r="M229" t="s">
        <v>1137</v>
      </c>
      <c r="N229" t="s">
        <v>688</v>
      </c>
      <c r="P229" t="s">
        <v>1138</v>
      </c>
    </row>
    <row r="230" spans="2:16" ht="15">
      <c r="B230" s="1">
        <v>114</v>
      </c>
      <c r="C230" t="str">
        <f ca="1">IFERROR(__xludf.DUMMYFUNCTION(TRANSPOSE(ImportHTML("http://spending.data.al/sq/moneypower/view/id/114", "table", 0))),"*Kategoria*")</f>
        <v>*Kategoria*</v>
      </c>
      <c r="D230" t="s">
        <v>673</v>
      </c>
      <c r="E230" t="s">
        <v>674</v>
      </c>
      <c r="F230" t="s">
        <v>675</v>
      </c>
      <c r="G230" t="s">
        <v>676</v>
      </c>
      <c r="H230" t="s">
        <v>677</v>
      </c>
      <c r="I230" t="s">
        <v>678</v>
      </c>
      <c r="J230" t="s">
        <v>679</v>
      </c>
      <c r="K230" t="s">
        <v>680</v>
      </c>
      <c r="L230" t="s">
        <v>681</v>
      </c>
      <c r="M230" t="s">
        <v>682</v>
      </c>
      <c r="N230" t="s">
        <v>683</v>
      </c>
      <c r="O230" t="s">
        <v>684</v>
      </c>
      <c r="P230" t="s">
        <v>685</v>
      </c>
    </row>
    <row r="231" spans="2:16" ht="15">
      <c r="B231" s="7"/>
      <c r="C231" t="s">
        <v>686</v>
      </c>
      <c r="D231" t="s">
        <v>1139</v>
      </c>
      <c r="E231" t="s">
        <v>688</v>
      </c>
      <c r="F231" t="s">
        <v>688</v>
      </c>
      <c r="G231" t="s">
        <v>688</v>
      </c>
      <c r="H231" t="s">
        <v>1140</v>
      </c>
      <c r="I231" t="s">
        <v>688</v>
      </c>
      <c r="J231" t="s">
        <v>688</v>
      </c>
      <c r="K231" t="s">
        <v>688</v>
      </c>
      <c r="L231" t="s">
        <v>688</v>
      </c>
      <c r="M231" t="s">
        <v>1141</v>
      </c>
      <c r="N231" t="s">
        <v>688</v>
      </c>
      <c r="P231" t="s">
        <v>1142</v>
      </c>
    </row>
    <row r="232" spans="2:16" ht="15">
      <c r="B232" s="1">
        <v>115</v>
      </c>
      <c r="C232" t="str">
        <f ca="1">IFERROR(__xludf.DUMMYFUNCTION(TRANSPOSE(ImportHTML("http://spending.data.al/sq/moneypower/view/id/115", "table", 0))),"*Kategoria*")</f>
        <v>*Kategoria*</v>
      </c>
      <c r="D232" t="s">
        <v>673</v>
      </c>
      <c r="E232" t="s">
        <v>674</v>
      </c>
      <c r="F232" t="s">
        <v>675</v>
      </c>
      <c r="G232" t="s">
        <v>676</v>
      </c>
      <c r="H232" t="s">
        <v>677</v>
      </c>
      <c r="I232" t="s">
        <v>678</v>
      </c>
      <c r="J232" t="s">
        <v>679</v>
      </c>
      <c r="K232" t="s">
        <v>680</v>
      </c>
      <c r="L232" t="s">
        <v>681</v>
      </c>
      <c r="M232" t="s">
        <v>682</v>
      </c>
      <c r="N232" t="s">
        <v>683</v>
      </c>
      <c r="O232" t="s">
        <v>684</v>
      </c>
      <c r="P232" t="s">
        <v>685</v>
      </c>
    </row>
    <row r="233" spans="2:16" ht="15">
      <c r="B233" s="7"/>
      <c r="C233" t="s">
        <v>686</v>
      </c>
      <c r="D233" t="s">
        <v>1143</v>
      </c>
      <c r="E233" t="s">
        <v>688</v>
      </c>
      <c r="F233" t="s">
        <v>688</v>
      </c>
      <c r="G233" t="s">
        <v>688</v>
      </c>
      <c r="H233" t="s">
        <v>688</v>
      </c>
      <c r="I233" t="s">
        <v>688</v>
      </c>
      <c r="J233" t="s">
        <v>688</v>
      </c>
      <c r="K233" t="s">
        <v>688</v>
      </c>
      <c r="L233" t="s">
        <v>688</v>
      </c>
      <c r="M233" t="s">
        <v>1144</v>
      </c>
      <c r="N233" t="s">
        <v>688</v>
      </c>
      <c r="P233" t="s">
        <v>1145</v>
      </c>
    </row>
    <row r="234" spans="2:16" ht="15">
      <c r="B234" s="1">
        <v>116</v>
      </c>
      <c r="C234" t="str">
        <f ca="1">IFERROR(__xludf.DUMMYFUNCTION(TRANSPOSE(ImportHTML("http://spending.data.al/sq/moneypower/view/id/116", "table", 0))),"*Kategoria*")</f>
        <v>*Kategoria*</v>
      </c>
      <c r="D234" t="s">
        <v>673</v>
      </c>
      <c r="E234" t="s">
        <v>674</v>
      </c>
      <c r="F234" t="s">
        <v>675</v>
      </c>
      <c r="G234" t="s">
        <v>676</v>
      </c>
      <c r="H234" t="s">
        <v>677</v>
      </c>
      <c r="I234" t="s">
        <v>678</v>
      </c>
      <c r="J234" t="s">
        <v>679</v>
      </c>
      <c r="K234" t="s">
        <v>680</v>
      </c>
      <c r="L234" t="s">
        <v>681</v>
      </c>
      <c r="M234" t="s">
        <v>682</v>
      </c>
      <c r="N234" t="s">
        <v>683</v>
      </c>
      <c r="O234" t="s">
        <v>684</v>
      </c>
      <c r="P234" t="s">
        <v>685</v>
      </c>
    </row>
    <row r="235" spans="2:16" ht="15">
      <c r="B235" s="7"/>
      <c r="C235" t="s">
        <v>686</v>
      </c>
      <c r="D235" t="s">
        <v>1146</v>
      </c>
      <c r="E235" t="s">
        <v>688</v>
      </c>
      <c r="F235" t="s">
        <v>688</v>
      </c>
      <c r="G235" t="s">
        <v>688</v>
      </c>
      <c r="H235" t="s">
        <v>688</v>
      </c>
      <c r="I235" t="s">
        <v>688</v>
      </c>
      <c r="J235" t="s">
        <v>688</v>
      </c>
      <c r="K235" t="s">
        <v>688</v>
      </c>
      <c r="L235" t="s">
        <v>688</v>
      </c>
      <c r="M235" t="s">
        <v>1147</v>
      </c>
      <c r="N235" t="s">
        <v>688</v>
      </c>
      <c r="P235" t="s">
        <v>1148</v>
      </c>
    </row>
    <row r="236" spans="2:16" ht="15">
      <c r="B236" s="1">
        <v>117</v>
      </c>
      <c r="C236" t="str">
        <f ca="1">IFERROR(__xludf.DUMMYFUNCTION(TRANSPOSE(ImportHTML("http://spending.data.al/sq/moneypower/view/id/117", "table", 0))),"*Kategoria*")</f>
        <v>*Kategoria*</v>
      </c>
      <c r="D236" t="s">
        <v>673</v>
      </c>
      <c r="E236" t="s">
        <v>674</v>
      </c>
      <c r="F236" t="s">
        <v>675</v>
      </c>
      <c r="G236" t="s">
        <v>676</v>
      </c>
      <c r="H236" t="s">
        <v>677</v>
      </c>
      <c r="I236" t="s">
        <v>678</v>
      </c>
      <c r="J236" t="s">
        <v>679</v>
      </c>
      <c r="K236" t="s">
        <v>680</v>
      </c>
      <c r="L236" t="s">
        <v>681</v>
      </c>
      <c r="M236" t="s">
        <v>682</v>
      </c>
      <c r="N236" t="s">
        <v>683</v>
      </c>
      <c r="O236" t="s">
        <v>684</v>
      </c>
      <c r="P236" t="s">
        <v>685</v>
      </c>
    </row>
    <row r="237" spans="2:16" ht="15">
      <c r="B237" s="7"/>
      <c r="C237" t="s">
        <v>686</v>
      </c>
      <c r="D237" t="s">
        <v>1149</v>
      </c>
      <c r="E237" t="s">
        <v>688</v>
      </c>
      <c r="F237" t="s">
        <v>688</v>
      </c>
      <c r="G237" t="s">
        <v>1150</v>
      </c>
      <c r="H237" t="s">
        <v>1151</v>
      </c>
      <c r="I237" t="s">
        <v>688</v>
      </c>
      <c r="J237" t="s">
        <v>688</v>
      </c>
      <c r="K237" t="s">
        <v>688</v>
      </c>
      <c r="L237" t="s">
        <v>688</v>
      </c>
      <c r="M237" t="s">
        <v>1152</v>
      </c>
      <c r="N237" t="s">
        <v>688</v>
      </c>
      <c r="P237" t="s">
        <v>1153</v>
      </c>
    </row>
    <row r="238" spans="2:16" ht="15">
      <c r="B238" s="1">
        <v>118</v>
      </c>
      <c r="C238" t="str">
        <f ca="1">IFERROR(__xludf.DUMMYFUNCTION(TRANSPOSE(ImportHTML("http://spending.data.al/sq/moneypower/view/id/118", "table", 0))),"*Kategoria*")</f>
        <v>*Kategoria*</v>
      </c>
      <c r="D238" t="s">
        <v>673</v>
      </c>
      <c r="E238" t="s">
        <v>674</v>
      </c>
      <c r="F238" t="s">
        <v>675</v>
      </c>
      <c r="G238" t="s">
        <v>676</v>
      </c>
      <c r="H238" t="s">
        <v>677</v>
      </c>
      <c r="I238" t="s">
        <v>678</v>
      </c>
      <c r="J238" t="s">
        <v>679</v>
      </c>
      <c r="K238" t="s">
        <v>680</v>
      </c>
      <c r="L238" t="s">
        <v>681</v>
      </c>
      <c r="M238" t="s">
        <v>682</v>
      </c>
      <c r="N238" t="s">
        <v>683</v>
      </c>
      <c r="O238" t="s">
        <v>684</v>
      </c>
      <c r="P238" t="s">
        <v>685</v>
      </c>
    </row>
    <row r="239" spans="2:16" ht="15">
      <c r="B239" s="7"/>
      <c r="C239" t="s">
        <v>686</v>
      </c>
      <c r="D239" t="s">
        <v>1154</v>
      </c>
      <c r="E239" t="s">
        <v>688</v>
      </c>
      <c r="F239" t="s">
        <v>688</v>
      </c>
      <c r="G239" t="s">
        <v>688</v>
      </c>
      <c r="H239" t="s">
        <v>688</v>
      </c>
      <c r="I239" t="s">
        <v>688</v>
      </c>
      <c r="J239" t="s">
        <v>688</v>
      </c>
      <c r="K239" t="s">
        <v>688</v>
      </c>
      <c r="L239" t="s">
        <v>688</v>
      </c>
      <c r="M239" t="s">
        <v>688</v>
      </c>
      <c r="N239" t="s">
        <v>688</v>
      </c>
      <c r="P239" t="s">
        <v>1155</v>
      </c>
    </row>
    <row r="240" spans="2:16" ht="15">
      <c r="B240" s="1">
        <v>119</v>
      </c>
      <c r="C240" t="str">
        <f ca="1">IFERROR(__xludf.DUMMYFUNCTION(TRANSPOSE(ImportHTML("http://spending.data.al/sq/moneypower/view/id/119", "table", 0))),"*Kategoria*")</f>
        <v>*Kategoria*</v>
      </c>
      <c r="D240" t="s">
        <v>673</v>
      </c>
      <c r="E240" t="s">
        <v>674</v>
      </c>
      <c r="F240" t="s">
        <v>675</v>
      </c>
      <c r="G240" t="s">
        <v>676</v>
      </c>
      <c r="H240" t="s">
        <v>677</v>
      </c>
      <c r="I240" t="s">
        <v>678</v>
      </c>
      <c r="J240" t="s">
        <v>679</v>
      </c>
      <c r="K240" t="s">
        <v>680</v>
      </c>
      <c r="L240" t="s">
        <v>681</v>
      </c>
      <c r="M240" t="s">
        <v>682</v>
      </c>
      <c r="N240" t="s">
        <v>683</v>
      </c>
      <c r="O240" t="s">
        <v>684</v>
      </c>
      <c r="P240" t="s">
        <v>685</v>
      </c>
    </row>
    <row r="241" spans="2:16" ht="15">
      <c r="B241" s="7"/>
      <c r="C241" t="s">
        <v>686</v>
      </c>
      <c r="D241" t="s">
        <v>1156</v>
      </c>
      <c r="E241" t="s">
        <v>688</v>
      </c>
      <c r="F241" t="s">
        <v>688</v>
      </c>
      <c r="G241" t="s">
        <v>1157</v>
      </c>
      <c r="H241" t="s">
        <v>1158</v>
      </c>
      <c r="I241" t="s">
        <v>688</v>
      </c>
      <c r="J241" t="s">
        <v>688</v>
      </c>
      <c r="K241" t="s">
        <v>688</v>
      </c>
      <c r="L241" t="s">
        <v>688</v>
      </c>
      <c r="M241" t="s">
        <v>1159</v>
      </c>
      <c r="N241" t="s">
        <v>688</v>
      </c>
      <c r="P241" t="s">
        <v>1160</v>
      </c>
    </row>
    <row r="242" spans="2:16" ht="15">
      <c r="B242" s="1">
        <v>120</v>
      </c>
      <c r="C242" t="str">
        <f ca="1">IFERROR(__xludf.DUMMYFUNCTION(TRANSPOSE(ImportHTML("http://spending.data.al/sq/moneypower/view/id/120", "table", 0))),"*Kategoria*")</f>
        <v>*Kategoria*</v>
      </c>
      <c r="D242" t="s">
        <v>673</v>
      </c>
      <c r="E242" t="s">
        <v>674</v>
      </c>
      <c r="F242" t="s">
        <v>675</v>
      </c>
      <c r="G242" t="s">
        <v>676</v>
      </c>
      <c r="H242" t="s">
        <v>677</v>
      </c>
      <c r="I242" t="s">
        <v>678</v>
      </c>
      <c r="J242" t="s">
        <v>679</v>
      </c>
      <c r="K242" t="s">
        <v>680</v>
      </c>
      <c r="L242" t="s">
        <v>681</v>
      </c>
      <c r="M242" t="s">
        <v>682</v>
      </c>
      <c r="N242" t="s">
        <v>683</v>
      </c>
      <c r="O242" t="s">
        <v>684</v>
      </c>
      <c r="P242" t="s">
        <v>685</v>
      </c>
    </row>
    <row r="243" spans="2:16" ht="15">
      <c r="B243" s="7"/>
      <c r="C243" t="s">
        <v>686</v>
      </c>
      <c r="D243" t="s">
        <v>1161</v>
      </c>
      <c r="E243" t="s">
        <v>688</v>
      </c>
      <c r="F243" t="s">
        <v>688</v>
      </c>
      <c r="G243" t="s">
        <v>1162</v>
      </c>
      <c r="H243" t="s">
        <v>1163</v>
      </c>
      <c r="I243" t="s">
        <v>688</v>
      </c>
      <c r="J243" t="s">
        <v>688</v>
      </c>
      <c r="K243" t="s">
        <v>688</v>
      </c>
      <c r="L243" t="s">
        <v>688</v>
      </c>
      <c r="M243" t="s">
        <v>1164</v>
      </c>
      <c r="N243" t="s">
        <v>688</v>
      </c>
      <c r="P243" t="s">
        <v>1165</v>
      </c>
    </row>
    <row r="244" spans="2:16" ht="15">
      <c r="B244" s="1">
        <v>121</v>
      </c>
      <c r="C244" t="str">
        <f ca="1">IFERROR(__xludf.DUMMYFUNCTION(TRANSPOSE(ImportHTML("http://spending.data.al/sq/moneypower/view/id/121", "table", 0))),"*Kategoria*")</f>
        <v>*Kategoria*</v>
      </c>
      <c r="D244" t="s">
        <v>673</v>
      </c>
      <c r="E244" t="s">
        <v>674</v>
      </c>
      <c r="F244" t="s">
        <v>675</v>
      </c>
      <c r="G244" t="s">
        <v>676</v>
      </c>
      <c r="H244" t="s">
        <v>677</v>
      </c>
      <c r="I244" t="s">
        <v>678</v>
      </c>
      <c r="J244" t="s">
        <v>679</v>
      </c>
      <c r="K244" t="s">
        <v>680</v>
      </c>
      <c r="L244" t="s">
        <v>681</v>
      </c>
      <c r="M244" t="s">
        <v>682</v>
      </c>
      <c r="N244" t="s">
        <v>683</v>
      </c>
      <c r="O244" t="s">
        <v>684</v>
      </c>
      <c r="P244" t="s">
        <v>685</v>
      </c>
    </row>
    <row r="245" spans="2:16" ht="15">
      <c r="B245" s="7"/>
      <c r="C245" t="s">
        <v>686</v>
      </c>
      <c r="D245" t="s">
        <v>1166</v>
      </c>
      <c r="E245" t="s">
        <v>1167</v>
      </c>
      <c r="F245" t="s">
        <v>688</v>
      </c>
      <c r="G245" t="s">
        <v>1168</v>
      </c>
      <c r="H245" t="s">
        <v>688</v>
      </c>
      <c r="I245" t="s">
        <v>688</v>
      </c>
      <c r="J245" t="s">
        <v>688</v>
      </c>
      <c r="K245" t="s">
        <v>688</v>
      </c>
      <c r="L245" t="s">
        <v>688</v>
      </c>
      <c r="M245" t="s">
        <v>1169</v>
      </c>
      <c r="N245" t="s">
        <v>688</v>
      </c>
      <c r="P245" t="s">
        <v>1170</v>
      </c>
    </row>
    <row r="246" spans="2:16" ht="15">
      <c r="B246" s="1">
        <v>122</v>
      </c>
      <c r="C246" t="str">
        <f ca="1">IFERROR(__xludf.DUMMYFUNCTION(TRANSPOSE(ImportHTML("http://spending.data.al/sq/moneypower/view/id/122", "table", 0))),"*Kategoria*")</f>
        <v>*Kategoria*</v>
      </c>
      <c r="D246" t="s">
        <v>673</v>
      </c>
      <c r="E246" t="s">
        <v>674</v>
      </c>
      <c r="F246" t="s">
        <v>675</v>
      </c>
      <c r="G246" t="s">
        <v>676</v>
      </c>
      <c r="H246" t="s">
        <v>677</v>
      </c>
      <c r="I246" t="s">
        <v>678</v>
      </c>
      <c r="J246" t="s">
        <v>679</v>
      </c>
      <c r="K246" t="s">
        <v>680</v>
      </c>
      <c r="L246" t="s">
        <v>681</v>
      </c>
      <c r="M246" t="s">
        <v>682</v>
      </c>
      <c r="N246" t="s">
        <v>683</v>
      </c>
      <c r="O246" t="s">
        <v>684</v>
      </c>
      <c r="P246" t="s">
        <v>685</v>
      </c>
    </row>
    <row r="247" spans="2:16" ht="15">
      <c r="B247" s="7"/>
      <c r="C247" t="s">
        <v>686</v>
      </c>
      <c r="D247" t="s">
        <v>1171</v>
      </c>
      <c r="E247" t="s">
        <v>688</v>
      </c>
      <c r="F247" t="s">
        <v>688</v>
      </c>
      <c r="G247" t="s">
        <v>1172</v>
      </c>
      <c r="H247" t="s">
        <v>688</v>
      </c>
      <c r="I247" t="s">
        <v>688</v>
      </c>
      <c r="J247" t="s">
        <v>688</v>
      </c>
      <c r="K247" t="s">
        <v>688</v>
      </c>
      <c r="L247" t="s">
        <v>688</v>
      </c>
      <c r="M247" t="s">
        <v>1173</v>
      </c>
      <c r="N247" t="s">
        <v>688</v>
      </c>
      <c r="P247" t="s">
        <v>1174</v>
      </c>
    </row>
    <row r="248" spans="2:16" ht="15">
      <c r="B248" s="1">
        <v>123</v>
      </c>
      <c r="C248" t="str">
        <f ca="1">IFERROR(__xludf.DUMMYFUNCTION(TRANSPOSE(ImportHTML("http://spending.data.al/sq/moneypower/view/id/123", "table", 0))),"*Kategoria*")</f>
        <v>*Kategoria*</v>
      </c>
      <c r="D248" t="s">
        <v>673</v>
      </c>
      <c r="E248" t="s">
        <v>674</v>
      </c>
      <c r="F248" t="s">
        <v>675</v>
      </c>
      <c r="G248" t="s">
        <v>676</v>
      </c>
      <c r="H248" t="s">
        <v>677</v>
      </c>
      <c r="I248" t="s">
        <v>678</v>
      </c>
      <c r="J248" t="s">
        <v>679</v>
      </c>
      <c r="K248" t="s">
        <v>680</v>
      </c>
      <c r="L248" t="s">
        <v>681</v>
      </c>
      <c r="M248" t="s">
        <v>682</v>
      </c>
      <c r="N248" t="s">
        <v>683</v>
      </c>
      <c r="O248" t="s">
        <v>684</v>
      </c>
      <c r="P248" t="s">
        <v>685</v>
      </c>
    </row>
    <row r="249" spans="2:16" ht="15">
      <c r="B249" s="7"/>
      <c r="C249" t="s">
        <v>686</v>
      </c>
      <c r="D249" t="s">
        <v>1175</v>
      </c>
      <c r="E249" t="s">
        <v>1176</v>
      </c>
      <c r="F249" t="s">
        <v>688</v>
      </c>
      <c r="G249" t="s">
        <v>1177</v>
      </c>
      <c r="H249" t="s">
        <v>688</v>
      </c>
      <c r="I249" t="s">
        <v>688</v>
      </c>
      <c r="J249" t="s">
        <v>688</v>
      </c>
      <c r="K249" t="s">
        <v>688</v>
      </c>
      <c r="L249" t="s">
        <v>688</v>
      </c>
      <c r="M249" t="s">
        <v>1178</v>
      </c>
      <c r="N249" t="s">
        <v>688</v>
      </c>
      <c r="P249" t="s">
        <v>1179</v>
      </c>
    </row>
    <row r="250" spans="2:16" ht="15">
      <c r="B250" s="1">
        <v>124</v>
      </c>
      <c r="C250" s="3" t="str">
        <f ca="1">IFERROR(__xludf.DUMMYFUNCTION(TRANSPOSE(ImportHTML("http://spending.data.al/sq/moneypower/view/id/124", "table", 0))),"*Kategoria*")</f>
        <v>*Kategoria*</v>
      </c>
      <c r="D250" t="s">
        <v>673</v>
      </c>
      <c r="E250" t="s">
        <v>674</v>
      </c>
      <c r="F250" t="s">
        <v>675</v>
      </c>
      <c r="G250" t="s">
        <v>676</v>
      </c>
      <c r="H250" t="s">
        <v>677</v>
      </c>
      <c r="I250" t="s">
        <v>678</v>
      </c>
      <c r="J250" t="s">
        <v>679</v>
      </c>
      <c r="K250" t="s">
        <v>680</v>
      </c>
      <c r="L250" t="s">
        <v>681</v>
      </c>
      <c r="M250" t="s">
        <v>682</v>
      </c>
      <c r="N250" t="s">
        <v>683</v>
      </c>
      <c r="O250" t="s">
        <v>684</v>
      </c>
      <c r="P250" t="s">
        <v>685</v>
      </c>
    </row>
    <row r="251" spans="2:16" ht="15">
      <c r="B251" s="7"/>
      <c r="C251" t="s">
        <v>686</v>
      </c>
      <c r="D251" t="s">
        <v>1180</v>
      </c>
      <c r="E251" t="s">
        <v>688</v>
      </c>
      <c r="F251" t="s">
        <v>688</v>
      </c>
      <c r="G251" t="s">
        <v>688</v>
      </c>
      <c r="H251" t="s">
        <v>688</v>
      </c>
      <c r="I251" t="s">
        <v>688</v>
      </c>
      <c r="J251" t="s">
        <v>688</v>
      </c>
      <c r="K251" t="s">
        <v>688</v>
      </c>
      <c r="L251" t="s">
        <v>688</v>
      </c>
      <c r="M251" t="s">
        <v>688</v>
      </c>
      <c r="N251" t="s">
        <v>688</v>
      </c>
      <c r="P251" t="s">
        <v>1181</v>
      </c>
    </row>
    <row r="252" spans="2:16" ht="15">
      <c r="B252" s="1">
        <v>125</v>
      </c>
      <c r="C252" t="str">
        <f ca="1">IFERROR(__xludf.DUMMYFUNCTION(TRANSPOSE(ImportHTML("http://spending.data.al/sq/moneypower/view/id/125", "table", 0))),"*Kategoria*")</f>
        <v>*Kategoria*</v>
      </c>
      <c r="D252" t="s">
        <v>673</v>
      </c>
      <c r="E252" t="s">
        <v>674</v>
      </c>
      <c r="F252" t="s">
        <v>675</v>
      </c>
      <c r="G252" t="s">
        <v>676</v>
      </c>
      <c r="H252" t="s">
        <v>677</v>
      </c>
      <c r="I252" t="s">
        <v>678</v>
      </c>
      <c r="J252" t="s">
        <v>679</v>
      </c>
      <c r="K252" t="s">
        <v>680</v>
      </c>
      <c r="L252" t="s">
        <v>681</v>
      </c>
      <c r="M252" t="s">
        <v>682</v>
      </c>
      <c r="N252" t="s">
        <v>683</v>
      </c>
      <c r="O252" t="s">
        <v>684</v>
      </c>
      <c r="P252" t="s">
        <v>685</v>
      </c>
    </row>
    <row r="253" spans="2:16" ht="15">
      <c r="B253" s="7"/>
      <c r="C253" t="s">
        <v>686</v>
      </c>
      <c r="D253" t="s">
        <v>1182</v>
      </c>
      <c r="E253" t="s">
        <v>688</v>
      </c>
      <c r="F253" t="s">
        <v>688</v>
      </c>
      <c r="G253" t="s">
        <v>688</v>
      </c>
      <c r="H253" t="s">
        <v>688</v>
      </c>
      <c r="I253" t="s">
        <v>688</v>
      </c>
      <c r="J253" t="s">
        <v>688</v>
      </c>
      <c r="K253" t="s">
        <v>688</v>
      </c>
      <c r="L253" t="s">
        <v>688</v>
      </c>
      <c r="M253" t="s">
        <v>688</v>
      </c>
      <c r="N253" t="s">
        <v>1183</v>
      </c>
      <c r="P253" t="s">
        <v>1184</v>
      </c>
    </row>
    <row r="254" spans="2:16" ht="15">
      <c r="B254" s="1">
        <v>126</v>
      </c>
      <c r="C254" t="str">
        <f ca="1">IFERROR(__xludf.DUMMYFUNCTION(TRANSPOSE(ImportHTML("http://spending.data.al/sq/moneypower/view/id/126", "table", 0))),"*Kategoria*")</f>
        <v>*Kategoria*</v>
      </c>
      <c r="D254" t="s">
        <v>673</v>
      </c>
      <c r="E254" t="s">
        <v>674</v>
      </c>
      <c r="F254" t="s">
        <v>675</v>
      </c>
      <c r="G254" t="s">
        <v>676</v>
      </c>
      <c r="H254" t="s">
        <v>677</v>
      </c>
      <c r="I254" t="s">
        <v>678</v>
      </c>
      <c r="J254" t="s">
        <v>679</v>
      </c>
      <c r="K254" t="s">
        <v>680</v>
      </c>
      <c r="L254" t="s">
        <v>681</v>
      </c>
      <c r="M254" t="s">
        <v>682</v>
      </c>
      <c r="N254" t="s">
        <v>683</v>
      </c>
      <c r="O254" t="s">
        <v>684</v>
      </c>
      <c r="P254" t="s">
        <v>685</v>
      </c>
    </row>
    <row r="255" spans="2:16" ht="15">
      <c r="B255" s="7"/>
      <c r="C255" t="s">
        <v>686</v>
      </c>
      <c r="D255" t="s">
        <v>1185</v>
      </c>
      <c r="E255" t="s">
        <v>688</v>
      </c>
      <c r="F255" t="s">
        <v>688</v>
      </c>
      <c r="G255" t="s">
        <v>688</v>
      </c>
      <c r="H255" t="s">
        <v>688</v>
      </c>
      <c r="I255" t="s">
        <v>688</v>
      </c>
      <c r="J255" t="s">
        <v>688</v>
      </c>
      <c r="K255" t="s">
        <v>688</v>
      </c>
      <c r="L255" t="s">
        <v>688</v>
      </c>
      <c r="M255" t="s">
        <v>1186</v>
      </c>
      <c r="N255" t="s">
        <v>688</v>
      </c>
      <c r="P255" t="s">
        <v>1187</v>
      </c>
    </row>
    <row r="256" spans="2:16" ht="15">
      <c r="B256" s="1">
        <v>127</v>
      </c>
      <c r="C256" t="str">
        <f ca="1">IFERROR(__xludf.DUMMYFUNCTION(TRANSPOSE(ImportHTML("http://spending.data.al/sq/moneypower/view/id/127", "table", 0))),"*Kategoria*")</f>
        <v>*Kategoria*</v>
      </c>
      <c r="D256" t="s">
        <v>673</v>
      </c>
      <c r="E256" t="s">
        <v>674</v>
      </c>
      <c r="F256" t="s">
        <v>675</v>
      </c>
      <c r="G256" t="s">
        <v>676</v>
      </c>
      <c r="H256" t="s">
        <v>677</v>
      </c>
      <c r="I256" t="s">
        <v>678</v>
      </c>
      <c r="J256" t="s">
        <v>679</v>
      </c>
      <c r="K256" t="s">
        <v>680</v>
      </c>
      <c r="L256" t="s">
        <v>681</v>
      </c>
      <c r="M256" t="s">
        <v>682</v>
      </c>
      <c r="N256" t="s">
        <v>683</v>
      </c>
      <c r="O256" t="s">
        <v>684</v>
      </c>
      <c r="P256" t="s">
        <v>685</v>
      </c>
    </row>
    <row r="257" spans="2:16" ht="15">
      <c r="B257" s="7"/>
      <c r="C257" t="s">
        <v>686</v>
      </c>
      <c r="D257" t="s">
        <v>1188</v>
      </c>
      <c r="E257" t="s">
        <v>688</v>
      </c>
      <c r="F257" t="s">
        <v>688</v>
      </c>
      <c r="G257" t="s">
        <v>688</v>
      </c>
      <c r="H257" t="s">
        <v>688</v>
      </c>
      <c r="I257" t="s">
        <v>688</v>
      </c>
      <c r="J257" t="s">
        <v>688</v>
      </c>
      <c r="K257" t="s">
        <v>688</v>
      </c>
      <c r="L257" t="s">
        <v>688</v>
      </c>
      <c r="M257" t="s">
        <v>1189</v>
      </c>
      <c r="N257" t="s">
        <v>688</v>
      </c>
      <c r="P257" t="s">
        <v>1190</v>
      </c>
    </row>
    <row r="258" spans="2:16" ht="15">
      <c r="B258" s="1">
        <v>128</v>
      </c>
      <c r="C258" t="str">
        <f ca="1">IFERROR(__xludf.DUMMYFUNCTION(TRANSPOSE(ImportHTML("http://spending.data.al/sq/moneypower/view/id/128", "table", 0))),"*Kategoria*")</f>
        <v>*Kategoria*</v>
      </c>
      <c r="D258" t="s">
        <v>673</v>
      </c>
      <c r="E258" t="s">
        <v>674</v>
      </c>
      <c r="F258" t="s">
        <v>675</v>
      </c>
      <c r="G258" t="s">
        <v>676</v>
      </c>
      <c r="H258" t="s">
        <v>677</v>
      </c>
      <c r="I258" t="s">
        <v>678</v>
      </c>
      <c r="J258" t="s">
        <v>679</v>
      </c>
      <c r="K258" t="s">
        <v>680</v>
      </c>
      <c r="L258" t="s">
        <v>681</v>
      </c>
      <c r="M258" t="s">
        <v>682</v>
      </c>
      <c r="N258" t="s">
        <v>683</v>
      </c>
      <c r="O258" t="s">
        <v>684</v>
      </c>
      <c r="P258" t="s">
        <v>685</v>
      </c>
    </row>
    <row r="259" spans="2:16" ht="15">
      <c r="B259" s="7"/>
      <c r="C259" t="s">
        <v>686</v>
      </c>
      <c r="D259" t="s">
        <v>1191</v>
      </c>
      <c r="E259" t="s">
        <v>688</v>
      </c>
      <c r="F259" t="s">
        <v>1192</v>
      </c>
      <c r="G259" t="s">
        <v>688</v>
      </c>
      <c r="H259" t="s">
        <v>1193</v>
      </c>
      <c r="I259" t="s">
        <v>688</v>
      </c>
      <c r="J259" t="s">
        <v>688</v>
      </c>
      <c r="K259" t="s">
        <v>688</v>
      </c>
      <c r="L259" t="s">
        <v>688</v>
      </c>
      <c r="M259" t="s">
        <v>1194</v>
      </c>
      <c r="N259" t="s">
        <v>688</v>
      </c>
      <c r="P259" t="s">
        <v>1195</v>
      </c>
    </row>
    <row r="260" spans="2:16" ht="15">
      <c r="B260" s="1">
        <v>129</v>
      </c>
      <c r="C260" t="str">
        <f ca="1">IFERROR(__xludf.DUMMYFUNCTION(TRANSPOSE(ImportHTML("http://spending.data.al/sq/moneypower/view/id/129", "table", 0))),"*Kategoria*")</f>
        <v>*Kategoria*</v>
      </c>
      <c r="D260" t="s">
        <v>673</v>
      </c>
      <c r="E260" t="s">
        <v>674</v>
      </c>
      <c r="F260" t="s">
        <v>675</v>
      </c>
      <c r="G260" t="s">
        <v>676</v>
      </c>
      <c r="H260" t="s">
        <v>677</v>
      </c>
      <c r="I260" t="s">
        <v>678</v>
      </c>
      <c r="J260" t="s">
        <v>679</v>
      </c>
      <c r="K260" t="s">
        <v>680</v>
      </c>
      <c r="L260" t="s">
        <v>681</v>
      </c>
      <c r="M260" t="s">
        <v>682</v>
      </c>
      <c r="N260" t="s">
        <v>683</v>
      </c>
      <c r="O260" t="s">
        <v>684</v>
      </c>
      <c r="P260" t="s">
        <v>685</v>
      </c>
    </row>
    <row r="261" spans="2:16" ht="15">
      <c r="B261" s="7"/>
      <c r="C261" t="s">
        <v>686</v>
      </c>
      <c r="D261" t="s">
        <v>1196</v>
      </c>
      <c r="E261" t="s">
        <v>688</v>
      </c>
      <c r="F261" t="s">
        <v>688</v>
      </c>
      <c r="G261" t="s">
        <v>688</v>
      </c>
      <c r="H261" t="s">
        <v>688</v>
      </c>
      <c r="I261" t="s">
        <v>688</v>
      </c>
      <c r="J261" t="s">
        <v>688</v>
      </c>
      <c r="K261" t="s">
        <v>688</v>
      </c>
      <c r="L261" t="s">
        <v>688</v>
      </c>
      <c r="M261" t="s">
        <v>1197</v>
      </c>
      <c r="N261" t="s">
        <v>688</v>
      </c>
      <c r="P261" t="s">
        <v>1198</v>
      </c>
    </row>
    <row r="262" spans="2:16" ht="15">
      <c r="B262" s="1">
        <v>130</v>
      </c>
      <c r="C262" t="str">
        <f ca="1">IFERROR(__xludf.DUMMYFUNCTION(TRANSPOSE(ImportHTML("http://spending.data.al/sq/moneypower/view/id/130", "table", 0))),"*Kategoria*")</f>
        <v>*Kategoria*</v>
      </c>
      <c r="D262" t="s">
        <v>673</v>
      </c>
      <c r="E262" t="s">
        <v>674</v>
      </c>
      <c r="F262" t="s">
        <v>675</v>
      </c>
      <c r="G262" t="s">
        <v>676</v>
      </c>
      <c r="H262" t="s">
        <v>677</v>
      </c>
      <c r="I262" t="s">
        <v>678</v>
      </c>
      <c r="J262" t="s">
        <v>679</v>
      </c>
      <c r="K262" t="s">
        <v>680</v>
      </c>
      <c r="L262" t="s">
        <v>681</v>
      </c>
      <c r="M262" t="s">
        <v>682</v>
      </c>
      <c r="N262" t="s">
        <v>683</v>
      </c>
      <c r="O262" t="s">
        <v>684</v>
      </c>
      <c r="P262" t="s">
        <v>685</v>
      </c>
    </row>
    <row r="263" spans="2:16" ht="15">
      <c r="B263" s="7"/>
      <c r="C263" t="s">
        <v>686</v>
      </c>
      <c r="D263" t="s">
        <v>1199</v>
      </c>
      <c r="E263" t="s">
        <v>688</v>
      </c>
      <c r="F263" t="s">
        <v>688</v>
      </c>
      <c r="G263" t="s">
        <v>688</v>
      </c>
      <c r="H263" t="s">
        <v>688</v>
      </c>
      <c r="I263" t="s">
        <v>688</v>
      </c>
      <c r="J263" t="s">
        <v>688</v>
      </c>
      <c r="K263" t="s">
        <v>688</v>
      </c>
      <c r="L263" t="s">
        <v>688</v>
      </c>
      <c r="M263" t="s">
        <v>688</v>
      </c>
      <c r="N263" t="s">
        <v>688</v>
      </c>
      <c r="P263" t="s">
        <v>688</v>
      </c>
    </row>
    <row r="264" spans="2:16" ht="15">
      <c r="B264" s="1">
        <v>131</v>
      </c>
      <c r="C264" t="str">
        <f ca="1">IFERROR(__xludf.DUMMYFUNCTION(TRANSPOSE(ImportHTML("http://spending.data.al/sq/moneypower/view/id/131", "table", 0))),"*Kategoria*")</f>
        <v>*Kategoria*</v>
      </c>
      <c r="D264" t="s">
        <v>673</v>
      </c>
      <c r="E264" t="s">
        <v>674</v>
      </c>
      <c r="F264" t="s">
        <v>675</v>
      </c>
      <c r="G264" t="s">
        <v>676</v>
      </c>
      <c r="H264" t="s">
        <v>677</v>
      </c>
      <c r="I264" t="s">
        <v>678</v>
      </c>
      <c r="J264" t="s">
        <v>679</v>
      </c>
      <c r="K264" t="s">
        <v>680</v>
      </c>
      <c r="L264" t="s">
        <v>681</v>
      </c>
      <c r="M264" t="s">
        <v>682</v>
      </c>
      <c r="N264" t="s">
        <v>683</v>
      </c>
      <c r="O264" t="s">
        <v>684</v>
      </c>
      <c r="P264" t="s">
        <v>685</v>
      </c>
    </row>
    <row r="265" spans="2:16" ht="15">
      <c r="B265" s="7"/>
      <c r="C265" t="s">
        <v>686</v>
      </c>
      <c r="D265" t="s">
        <v>1200</v>
      </c>
      <c r="E265" t="s">
        <v>688</v>
      </c>
      <c r="F265" t="s">
        <v>688</v>
      </c>
      <c r="G265" t="s">
        <v>688</v>
      </c>
      <c r="H265" t="s">
        <v>688</v>
      </c>
      <c r="I265" t="s">
        <v>688</v>
      </c>
      <c r="J265" t="s">
        <v>688</v>
      </c>
      <c r="K265" t="s">
        <v>688</v>
      </c>
      <c r="L265" t="s">
        <v>688</v>
      </c>
      <c r="M265" t="s">
        <v>1201</v>
      </c>
      <c r="N265" t="s">
        <v>688</v>
      </c>
      <c r="P265" t="s">
        <v>1202</v>
      </c>
    </row>
    <row r="266" spans="2:16" ht="15">
      <c r="B266" s="1">
        <v>132</v>
      </c>
      <c r="C266" t="str">
        <f ca="1">IFERROR(__xludf.DUMMYFUNCTION(TRANSPOSE(ImportHTML("http://spending.data.al/sq/moneypower/view/id/132", "table", 0))),"*Kategoria*")</f>
        <v>*Kategoria*</v>
      </c>
      <c r="D266" t="s">
        <v>673</v>
      </c>
      <c r="E266" t="s">
        <v>674</v>
      </c>
      <c r="F266" t="s">
        <v>675</v>
      </c>
      <c r="G266" t="s">
        <v>676</v>
      </c>
      <c r="H266" t="s">
        <v>677</v>
      </c>
      <c r="I266" t="s">
        <v>678</v>
      </c>
      <c r="J266" t="s">
        <v>679</v>
      </c>
      <c r="K266" t="s">
        <v>680</v>
      </c>
      <c r="L266" t="s">
        <v>681</v>
      </c>
      <c r="M266" t="s">
        <v>682</v>
      </c>
      <c r="N266" t="s">
        <v>683</v>
      </c>
      <c r="O266" t="s">
        <v>684</v>
      </c>
      <c r="P266" t="s">
        <v>685</v>
      </c>
    </row>
    <row r="267" spans="2:16" ht="15">
      <c r="B267" s="7"/>
      <c r="C267" t="s">
        <v>686</v>
      </c>
      <c r="D267" t="s">
        <v>1203</v>
      </c>
      <c r="E267" t="s">
        <v>688</v>
      </c>
      <c r="F267" t="s">
        <v>688</v>
      </c>
      <c r="G267" t="s">
        <v>688</v>
      </c>
      <c r="H267" t="s">
        <v>688</v>
      </c>
      <c r="I267" t="s">
        <v>688</v>
      </c>
      <c r="J267" t="s">
        <v>688</v>
      </c>
      <c r="K267" t="s">
        <v>688</v>
      </c>
      <c r="L267" t="s">
        <v>688</v>
      </c>
      <c r="M267" t="s">
        <v>1204</v>
      </c>
      <c r="N267" t="s">
        <v>688</v>
      </c>
      <c r="P267" t="s">
        <v>1205</v>
      </c>
    </row>
    <row r="268" spans="2:16" ht="15">
      <c r="B268" s="1">
        <v>133</v>
      </c>
      <c r="C268" t="str">
        <f ca="1">IFERROR(__xludf.DUMMYFUNCTION(TRANSPOSE(ImportHTML("http://spending.data.al/sq/moneypower/view/id/133", "table", 0))),"*Kategoria*")</f>
        <v>*Kategoria*</v>
      </c>
      <c r="D268" t="s">
        <v>673</v>
      </c>
      <c r="E268" t="s">
        <v>674</v>
      </c>
      <c r="F268" t="s">
        <v>675</v>
      </c>
      <c r="G268" t="s">
        <v>676</v>
      </c>
      <c r="H268" t="s">
        <v>677</v>
      </c>
      <c r="I268" t="s">
        <v>678</v>
      </c>
      <c r="J268" t="s">
        <v>679</v>
      </c>
      <c r="K268" t="s">
        <v>680</v>
      </c>
      <c r="L268" t="s">
        <v>681</v>
      </c>
      <c r="M268" t="s">
        <v>682</v>
      </c>
      <c r="N268" t="s">
        <v>683</v>
      </c>
      <c r="O268" t="s">
        <v>684</v>
      </c>
      <c r="P268" t="s">
        <v>685</v>
      </c>
    </row>
    <row r="269" spans="2:16" ht="15">
      <c r="B269" s="7"/>
      <c r="C269" t="s">
        <v>686</v>
      </c>
      <c r="D269" t="s">
        <v>1206</v>
      </c>
      <c r="E269" t="s">
        <v>688</v>
      </c>
      <c r="F269" t="s">
        <v>688</v>
      </c>
      <c r="G269" t="s">
        <v>1070</v>
      </c>
      <c r="H269" t="s">
        <v>688</v>
      </c>
      <c r="I269" t="s">
        <v>688</v>
      </c>
      <c r="J269" t="s">
        <v>688</v>
      </c>
      <c r="K269" t="s">
        <v>688</v>
      </c>
      <c r="L269" t="s">
        <v>688</v>
      </c>
      <c r="M269" t="s">
        <v>1207</v>
      </c>
      <c r="N269" t="s">
        <v>688</v>
      </c>
      <c r="P269" t="s">
        <v>1208</v>
      </c>
    </row>
    <row r="270" spans="2:16" ht="15">
      <c r="B270" s="1">
        <v>134</v>
      </c>
      <c r="C270" t="str">
        <f ca="1">IFERROR(__xludf.DUMMYFUNCTION(TRANSPOSE(ImportHTML("http://spending.data.al/sq/moneypower/view/id/134", "table", 0))),"*Kategoria*")</f>
        <v>*Kategoria*</v>
      </c>
      <c r="D270" t="s">
        <v>673</v>
      </c>
      <c r="E270" t="s">
        <v>674</v>
      </c>
      <c r="F270" t="s">
        <v>675</v>
      </c>
      <c r="G270" t="s">
        <v>676</v>
      </c>
      <c r="H270" t="s">
        <v>677</v>
      </c>
      <c r="I270" t="s">
        <v>678</v>
      </c>
      <c r="J270" t="s">
        <v>679</v>
      </c>
      <c r="K270" t="s">
        <v>680</v>
      </c>
      <c r="L270" t="s">
        <v>681</v>
      </c>
      <c r="M270" t="s">
        <v>682</v>
      </c>
      <c r="N270" t="s">
        <v>683</v>
      </c>
      <c r="O270" t="s">
        <v>684</v>
      </c>
      <c r="P270" t="s">
        <v>685</v>
      </c>
    </row>
    <row r="271" spans="2:16" ht="15">
      <c r="B271" s="7"/>
      <c r="C271" t="s">
        <v>686</v>
      </c>
      <c r="D271" t="s">
        <v>1209</v>
      </c>
      <c r="E271" t="s">
        <v>688</v>
      </c>
      <c r="F271" t="s">
        <v>688</v>
      </c>
      <c r="G271" t="s">
        <v>688</v>
      </c>
      <c r="H271" t="s">
        <v>688</v>
      </c>
      <c r="I271" t="s">
        <v>688</v>
      </c>
      <c r="J271" t="s">
        <v>688</v>
      </c>
      <c r="K271" t="s">
        <v>688</v>
      </c>
      <c r="L271" t="s">
        <v>688</v>
      </c>
      <c r="M271" t="s">
        <v>1210</v>
      </c>
      <c r="N271" t="s">
        <v>688</v>
      </c>
      <c r="P271" t="s">
        <v>1211</v>
      </c>
    </row>
    <row r="272" spans="2:16" ht="15">
      <c r="B272" s="1">
        <v>135</v>
      </c>
      <c r="C272" t="str">
        <f ca="1">IFERROR(__xludf.DUMMYFUNCTION(TRANSPOSE(ImportHTML("http://spending.data.al/sq/moneypower/view/id/135", "table", 0))),"*Kategoria*")</f>
        <v>*Kategoria*</v>
      </c>
      <c r="D272" t="s">
        <v>673</v>
      </c>
      <c r="E272" t="s">
        <v>674</v>
      </c>
      <c r="F272" t="s">
        <v>675</v>
      </c>
      <c r="G272" t="s">
        <v>676</v>
      </c>
      <c r="H272" t="s">
        <v>677</v>
      </c>
      <c r="I272" t="s">
        <v>678</v>
      </c>
      <c r="J272" t="s">
        <v>679</v>
      </c>
      <c r="K272" t="s">
        <v>680</v>
      </c>
      <c r="L272" t="s">
        <v>681</v>
      </c>
      <c r="M272" t="s">
        <v>682</v>
      </c>
      <c r="N272" t="s">
        <v>683</v>
      </c>
      <c r="O272" t="s">
        <v>684</v>
      </c>
      <c r="P272" t="s">
        <v>685</v>
      </c>
    </row>
    <row r="273" spans="2:16" ht="15">
      <c r="B273" s="7"/>
      <c r="C273" t="s">
        <v>686</v>
      </c>
      <c r="D273" t="s">
        <v>1212</v>
      </c>
      <c r="E273" t="s">
        <v>688</v>
      </c>
      <c r="F273" t="s">
        <v>688</v>
      </c>
      <c r="G273" t="s">
        <v>1213</v>
      </c>
      <c r="H273" t="s">
        <v>1214</v>
      </c>
      <c r="I273" t="s">
        <v>688</v>
      </c>
      <c r="J273" t="s">
        <v>688</v>
      </c>
      <c r="K273" t="s">
        <v>688</v>
      </c>
      <c r="L273" t="s">
        <v>688</v>
      </c>
      <c r="M273" t="s">
        <v>1215</v>
      </c>
      <c r="N273" t="s">
        <v>688</v>
      </c>
      <c r="P273" t="s">
        <v>1216</v>
      </c>
    </row>
    <row r="274" spans="2:16" ht="15">
      <c r="B274" s="1">
        <v>136</v>
      </c>
      <c r="C274" t="str">
        <f ca="1">IFERROR(__xludf.DUMMYFUNCTION(TRANSPOSE(ImportHTML("http://spending.data.al/sq/moneypower/view/id/136", "table", 0))),"*Kategoria*")</f>
        <v>*Kategoria*</v>
      </c>
      <c r="D274" t="s">
        <v>673</v>
      </c>
      <c r="E274" t="s">
        <v>674</v>
      </c>
      <c r="F274" t="s">
        <v>675</v>
      </c>
      <c r="G274" t="s">
        <v>676</v>
      </c>
      <c r="H274" t="s">
        <v>677</v>
      </c>
      <c r="I274" t="s">
        <v>678</v>
      </c>
      <c r="J274" t="s">
        <v>679</v>
      </c>
      <c r="K274" t="s">
        <v>680</v>
      </c>
      <c r="L274" t="s">
        <v>681</v>
      </c>
      <c r="M274" t="s">
        <v>682</v>
      </c>
      <c r="N274" t="s">
        <v>683</v>
      </c>
      <c r="O274" t="s">
        <v>684</v>
      </c>
      <c r="P274" t="s">
        <v>685</v>
      </c>
    </row>
    <row r="275" spans="2:16" ht="15">
      <c r="B275" s="7"/>
      <c r="C275" t="s">
        <v>686</v>
      </c>
      <c r="D275" t="s">
        <v>1217</v>
      </c>
      <c r="E275" t="s">
        <v>688</v>
      </c>
      <c r="F275" t="s">
        <v>688</v>
      </c>
      <c r="G275" t="s">
        <v>688</v>
      </c>
      <c r="H275" t="s">
        <v>1218</v>
      </c>
      <c r="I275" t="s">
        <v>688</v>
      </c>
      <c r="J275" t="s">
        <v>688</v>
      </c>
      <c r="K275" t="s">
        <v>688</v>
      </c>
      <c r="L275" t="s">
        <v>688</v>
      </c>
      <c r="M275" t="s">
        <v>1219</v>
      </c>
      <c r="N275" t="s">
        <v>688</v>
      </c>
      <c r="P275" t="s">
        <v>1220</v>
      </c>
    </row>
    <row r="276" spans="2:16" ht="15">
      <c r="B276" s="1">
        <v>137</v>
      </c>
      <c r="C276" t="str">
        <f ca="1">IFERROR(__xludf.DUMMYFUNCTION(TRANSPOSE(ImportHTML("http://spending.data.al/sq/moneypower/view/id/137", "table", 0))),"*Kategoria*")</f>
        <v>*Kategoria*</v>
      </c>
      <c r="D276" t="s">
        <v>673</v>
      </c>
      <c r="E276" t="s">
        <v>674</v>
      </c>
      <c r="F276" t="s">
        <v>675</v>
      </c>
      <c r="G276" t="s">
        <v>676</v>
      </c>
      <c r="H276" t="s">
        <v>677</v>
      </c>
      <c r="I276" t="s">
        <v>678</v>
      </c>
      <c r="J276" t="s">
        <v>679</v>
      </c>
      <c r="K276" t="s">
        <v>680</v>
      </c>
      <c r="L276" t="s">
        <v>681</v>
      </c>
      <c r="M276" t="s">
        <v>682</v>
      </c>
      <c r="N276" t="s">
        <v>683</v>
      </c>
      <c r="O276" t="s">
        <v>684</v>
      </c>
      <c r="P276" t="s">
        <v>685</v>
      </c>
    </row>
    <row r="277" spans="2:16" ht="15">
      <c r="B277" s="7"/>
      <c r="C277" t="s">
        <v>686</v>
      </c>
      <c r="D277" t="s">
        <v>1221</v>
      </c>
      <c r="E277" t="s">
        <v>688</v>
      </c>
      <c r="F277" t="s">
        <v>688</v>
      </c>
      <c r="G277" t="s">
        <v>688</v>
      </c>
      <c r="H277" t="s">
        <v>688</v>
      </c>
      <c r="I277" t="s">
        <v>688</v>
      </c>
      <c r="J277" t="s">
        <v>688</v>
      </c>
      <c r="K277" t="s">
        <v>688</v>
      </c>
      <c r="L277" t="s">
        <v>688</v>
      </c>
      <c r="M277" t="s">
        <v>1222</v>
      </c>
      <c r="N277" t="s">
        <v>688</v>
      </c>
      <c r="P277" t="s">
        <v>1223</v>
      </c>
    </row>
    <row r="278" spans="2:16" ht="15">
      <c r="B278" s="1">
        <v>138</v>
      </c>
      <c r="C278" t="str">
        <f ca="1">IFERROR(__xludf.DUMMYFUNCTION(TRANSPOSE(ImportHTML("http://spending.data.al/sq/moneypower/view/id/138", "table", 0))),"*Kategoria*")</f>
        <v>*Kategoria*</v>
      </c>
      <c r="D278" t="s">
        <v>673</v>
      </c>
      <c r="E278" t="s">
        <v>674</v>
      </c>
      <c r="F278" t="s">
        <v>675</v>
      </c>
      <c r="G278" t="s">
        <v>676</v>
      </c>
      <c r="H278" t="s">
        <v>677</v>
      </c>
      <c r="I278" t="s">
        <v>678</v>
      </c>
      <c r="J278" t="s">
        <v>679</v>
      </c>
      <c r="K278" t="s">
        <v>680</v>
      </c>
      <c r="L278" t="s">
        <v>681</v>
      </c>
      <c r="M278" t="s">
        <v>682</v>
      </c>
      <c r="N278" t="s">
        <v>683</v>
      </c>
      <c r="O278" t="s">
        <v>684</v>
      </c>
      <c r="P278" t="s">
        <v>685</v>
      </c>
    </row>
    <row r="279" spans="2:16" ht="15">
      <c r="B279" s="7"/>
      <c r="C279" t="s">
        <v>686</v>
      </c>
      <c r="D279" t="s">
        <v>1224</v>
      </c>
      <c r="E279" t="s">
        <v>688</v>
      </c>
      <c r="F279" t="s">
        <v>688</v>
      </c>
      <c r="G279" t="s">
        <v>688</v>
      </c>
      <c r="H279" t="s">
        <v>688</v>
      </c>
      <c r="I279" t="s">
        <v>688</v>
      </c>
      <c r="J279" t="s">
        <v>688</v>
      </c>
      <c r="K279" t="s">
        <v>688</v>
      </c>
      <c r="L279" t="s">
        <v>688</v>
      </c>
      <c r="M279" t="s">
        <v>1225</v>
      </c>
      <c r="N279" t="s">
        <v>688</v>
      </c>
      <c r="P279" t="s">
        <v>1226</v>
      </c>
    </row>
    <row r="280" spans="2:16" ht="15">
      <c r="B280" s="1">
        <v>139</v>
      </c>
      <c r="C280" t="str">
        <f ca="1">IFERROR(__xludf.DUMMYFUNCTION(TRANSPOSE(ImportHTML("http://spending.data.al/sq/moneypower/view/id/139", "table", 0))),"*Kategoria*")</f>
        <v>*Kategoria*</v>
      </c>
      <c r="D280" t="s">
        <v>673</v>
      </c>
      <c r="E280" t="s">
        <v>674</v>
      </c>
      <c r="F280" t="s">
        <v>675</v>
      </c>
      <c r="G280" t="s">
        <v>676</v>
      </c>
      <c r="H280" t="s">
        <v>677</v>
      </c>
      <c r="I280" t="s">
        <v>678</v>
      </c>
      <c r="J280" t="s">
        <v>679</v>
      </c>
      <c r="K280" t="s">
        <v>680</v>
      </c>
      <c r="L280" t="s">
        <v>681</v>
      </c>
      <c r="M280" t="s">
        <v>682</v>
      </c>
      <c r="N280" t="s">
        <v>683</v>
      </c>
      <c r="O280" t="s">
        <v>684</v>
      </c>
      <c r="P280" t="s">
        <v>685</v>
      </c>
    </row>
    <row r="281" spans="2:16" ht="15">
      <c r="B281" s="7"/>
      <c r="C281" t="s">
        <v>686</v>
      </c>
      <c r="D281" t="s">
        <v>1227</v>
      </c>
      <c r="E281" t="s">
        <v>688</v>
      </c>
      <c r="F281" t="s">
        <v>688</v>
      </c>
      <c r="G281" t="s">
        <v>688</v>
      </c>
      <c r="H281" t="s">
        <v>688</v>
      </c>
      <c r="I281" t="s">
        <v>688</v>
      </c>
      <c r="J281" t="s">
        <v>688</v>
      </c>
      <c r="K281" t="s">
        <v>688</v>
      </c>
      <c r="L281" t="s">
        <v>688</v>
      </c>
      <c r="M281" t="s">
        <v>688</v>
      </c>
      <c r="N281" t="s">
        <v>688</v>
      </c>
      <c r="P281" t="s">
        <v>1228</v>
      </c>
    </row>
    <row r="282" spans="2:16" ht="15">
      <c r="B282" s="1">
        <v>140</v>
      </c>
      <c r="C282" t="str">
        <f ca="1">IFERROR(__xludf.DUMMYFUNCTION(TRANSPOSE(ImportHTML("http://spending.data.al/sq/moneypower/view/id/140", "table", 0))),"*Kategoria*")</f>
        <v>*Kategoria*</v>
      </c>
      <c r="D282" t="s">
        <v>673</v>
      </c>
      <c r="E282" t="s">
        <v>674</v>
      </c>
      <c r="F282" t="s">
        <v>675</v>
      </c>
      <c r="G282" t="s">
        <v>676</v>
      </c>
      <c r="H282" t="s">
        <v>677</v>
      </c>
      <c r="I282" t="s">
        <v>678</v>
      </c>
      <c r="J282" t="s">
        <v>679</v>
      </c>
      <c r="K282" t="s">
        <v>680</v>
      </c>
      <c r="L282" t="s">
        <v>681</v>
      </c>
      <c r="M282" t="s">
        <v>682</v>
      </c>
      <c r="N282" t="s">
        <v>683</v>
      </c>
      <c r="O282" t="s">
        <v>684</v>
      </c>
      <c r="P282" t="s">
        <v>685</v>
      </c>
    </row>
    <row r="283" spans="2:16" ht="15">
      <c r="B283" s="7"/>
      <c r="C283" t="s">
        <v>686</v>
      </c>
      <c r="D283" t="s">
        <v>1229</v>
      </c>
      <c r="E283" t="s">
        <v>688</v>
      </c>
      <c r="F283" t="s">
        <v>688</v>
      </c>
      <c r="G283" t="s">
        <v>688</v>
      </c>
      <c r="H283" t="s">
        <v>1230</v>
      </c>
      <c r="I283" t="s">
        <v>688</v>
      </c>
      <c r="J283" t="s">
        <v>688</v>
      </c>
      <c r="K283" t="s">
        <v>688</v>
      </c>
      <c r="L283" t="s">
        <v>688</v>
      </c>
      <c r="M283" t="s">
        <v>688</v>
      </c>
      <c r="N283" t="s">
        <v>688</v>
      </c>
      <c r="P283" t="s">
        <v>1231</v>
      </c>
    </row>
    <row r="284" spans="2:16" ht="15">
      <c r="B284" s="1">
        <v>141</v>
      </c>
      <c r="C284" t="str">
        <f ca="1">IFERROR(__xludf.DUMMYFUNCTION(TRANSPOSE(ImportHTML("http://spending.data.al/sq/moneypower/view/id/141", "table", 0))),"*Kategoria*")</f>
        <v>*Kategoria*</v>
      </c>
      <c r="D284" t="s">
        <v>673</v>
      </c>
      <c r="E284" t="s">
        <v>674</v>
      </c>
      <c r="F284" t="s">
        <v>675</v>
      </c>
      <c r="G284" t="s">
        <v>676</v>
      </c>
      <c r="H284" t="s">
        <v>677</v>
      </c>
      <c r="I284" t="s">
        <v>678</v>
      </c>
      <c r="J284" t="s">
        <v>679</v>
      </c>
      <c r="K284" t="s">
        <v>680</v>
      </c>
      <c r="L284" t="s">
        <v>681</v>
      </c>
      <c r="M284" t="s">
        <v>682</v>
      </c>
      <c r="N284" t="s">
        <v>683</v>
      </c>
      <c r="O284" t="s">
        <v>684</v>
      </c>
      <c r="P284" t="s">
        <v>685</v>
      </c>
    </row>
    <row r="285" spans="2:16" ht="15">
      <c r="B285" s="7"/>
      <c r="C285" t="s">
        <v>686</v>
      </c>
      <c r="D285" t="s">
        <v>1232</v>
      </c>
      <c r="E285" t="s">
        <v>688</v>
      </c>
      <c r="F285" t="s">
        <v>688</v>
      </c>
      <c r="G285" t="s">
        <v>688</v>
      </c>
      <c r="H285" t="s">
        <v>688</v>
      </c>
      <c r="I285" t="s">
        <v>688</v>
      </c>
      <c r="J285" t="s">
        <v>688</v>
      </c>
      <c r="K285" t="s">
        <v>688</v>
      </c>
      <c r="L285" t="s">
        <v>688</v>
      </c>
      <c r="M285" t="s">
        <v>688</v>
      </c>
      <c r="N285" t="s">
        <v>688</v>
      </c>
      <c r="P285" t="s">
        <v>1233</v>
      </c>
    </row>
    <row r="286" spans="2:16" ht="15">
      <c r="B286" s="1">
        <v>142</v>
      </c>
      <c r="C286" t="str">
        <f ca="1">IFERROR(__xludf.DUMMYFUNCTION(TRANSPOSE(ImportHTML("http://spending.data.al/sq/moneypower/view/id/142", "table", 0))),"*Kategoria*")</f>
        <v>*Kategoria*</v>
      </c>
      <c r="D286" t="s">
        <v>673</v>
      </c>
      <c r="E286" t="s">
        <v>674</v>
      </c>
      <c r="F286" t="s">
        <v>675</v>
      </c>
      <c r="G286" t="s">
        <v>676</v>
      </c>
      <c r="H286" t="s">
        <v>677</v>
      </c>
      <c r="I286" t="s">
        <v>678</v>
      </c>
      <c r="J286" t="s">
        <v>679</v>
      </c>
      <c r="K286" t="s">
        <v>680</v>
      </c>
      <c r="L286" t="s">
        <v>681</v>
      </c>
      <c r="M286" t="s">
        <v>682</v>
      </c>
      <c r="N286" t="s">
        <v>683</v>
      </c>
      <c r="O286" t="s">
        <v>684</v>
      </c>
      <c r="P286" t="s">
        <v>685</v>
      </c>
    </row>
    <row r="287" spans="2:16" ht="15">
      <c r="B287" s="7"/>
      <c r="C287" t="s">
        <v>686</v>
      </c>
      <c r="D287" t="s">
        <v>1234</v>
      </c>
      <c r="E287" t="s">
        <v>688</v>
      </c>
      <c r="F287" t="s">
        <v>688</v>
      </c>
      <c r="G287" t="s">
        <v>688</v>
      </c>
      <c r="H287" t="s">
        <v>688</v>
      </c>
      <c r="I287" t="s">
        <v>688</v>
      </c>
      <c r="J287" t="s">
        <v>688</v>
      </c>
      <c r="K287" t="s">
        <v>688</v>
      </c>
      <c r="L287" t="s">
        <v>688</v>
      </c>
      <c r="M287" t="s">
        <v>1235</v>
      </c>
      <c r="N287" t="s">
        <v>688</v>
      </c>
      <c r="P287" t="s">
        <v>1236</v>
      </c>
    </row>
    <row r="288" spans="2:16" ht="15">
      <c r="B288" s="1">
        <v>143</v>
      </c>
      <c r="C288" t="str">
        <f ca="1">IFERROR(__xludf.DUMMYFUNCTION(TRANSPOSE(ImportHTML("http://spending.data.al/sq/moneypower/view/id/143", "table", 0))),"*Kategoria*")</f>
        <v>*Kategoria*</v>
      </c>
      <c r="D288" t="s">
        <v>673</v>
      </c>
      <c r="E288" t="s">
        <v>674</v>
      </c>
      <c r="F288" t="s">
        <v>675</v>
      </c>
      <c r="G288" t="s">
        <v>676</v>
      </c>
      <c r="H288" t="s">
        <v>677</v>
      </c>
      <c r="I288" t="s">
        <v>678</v>
      </c>
      <c r="J288" t="s">
        <v>679</v>
      </c>
      <c r="K288" t="s">
        <v>680</v>
      </c>
      <c r="L288" t="s">
        <v>681</v>
      </c>
      <c r="M288" t="s">
        <v>682</v>
      </c>
      <c r="N288" t="s">
        <v>683</v>
      </c>
      <c r="O288" t="s">
        <v>684</v>
      </c>
      <c r="P288" t="s">
        <v>685</v>
      </c>
    </row>
    <row r="289" spans="2:16" ht="15">
      <c r="B289" s="7"/>
      <c r="C289" t="s">
        <v>686</v>
      </c>
      <c r="D289" t="s">
        <v>1237</v>
      </c>
      <c r="E289" t="s">
        <v>688</v>
      </c>
      <c r="F289" t="s">
        <v>688</v>
      </c>
      <c r="G289" t="s">
        <v>1238</v>
      </c>
      <c r="H289" t="s">
        <v>1239</v>
      </c>
      <c r="I289" t="s">
        <v>688</v>
      </c>
      <c r="J289" t="s">
        <v>688</v>
      </c>
      <c r="K289" t="s">
        <v>688</v>
      </c>
      <c r="L289" t="s">
        <v>688</v>
      </c>
      <c r="M289" t="s">
        <v>1240</v>
      </c>
      <c r="N289" t="s">
        <v>688</v>
      </c>
      <c r="P289" t="s">
        <v>1241</v>
      </c>
    </row>
    <row r="290" spans="2:16" ht="15">
      <c r="B290" s="1">
        <v>144</v>
      </c>
      <c r="C290" t="str">
        <f ca="1">IFERROR(__xludf.DUMMYFUNCTION(TRANSPOSE(ImportHTML("http://spending.data.al/sq/moneypower/view/id/144", "table", 0))),"*Kategoria*")</f>
        <v>*Kategoria*</v>
      </c>
      <c r="D290" t="s">
        <v>673</v>
      </c>
      <c r="E290" t="s">
        <v>674</v>
      </c>
      <c r="F290" t="s">
        <v>675</v>
      </c>
      <c r="G290" t="s">
        <v>676</v>
      </c>
      <c r="H290" t="s">
        <v>677</v>
      </c>
      <c r="I290" t="s">
        <v>678</v>
      </c>
      <c r="J290" t="s">
        <v>679</v>
      </c>
      <c r="K290" t="s">
        <v>680</v>
      </c>
      <c r="L290" t="s">
        <v>681</v>
      </c>
      <c r="M290" t="s">
        <v>682</v>
      </c>
      <c r="N290" t="s">
        <v>683</v>
      </c>
      <c r="O290" t="s">
        <v>684</v>
      </c>
      <c r="P290" t="s">
        <v>685</v>
      </c>
    </row>
    <row r="291" spans="2:16" ht="15">
      <c r="B291" s="7"/>
      <c r="C291" t="s">
        <v>686</v>
      </c>
      <c r="D291" t="s">
        <v>1242</v>
      </c>
      <c r="E291" t="s">
        <v>688</v>
      </c>
      <c r="F291" t="s">
        <v>688</v>
      </c>
      <c r="G291" t="s">
        <v>1243</v>
      </c>
      <c r="H291" t="s">
        <v>1244</v>
      </c>
      <c r="I291" t="s">
        <v>688</v>
      </c>
      <c r="J291" t="s">
        <v>688</v>
      </c>
      <c r="K291" t="s">
        <v>688</v>
      </c>
      <c r="L291" t="s">
        <v>688</v>
      </c>
      <c r="M291" t="s">
        <v>1245</v>
      </c>
      <c r="N291" t="s">
        <v>688</v>
      </c>
      <c r="P291" t="s">
        <v>688</v>
      </c>
    </row>
    <row r="292" spans="2:16" ht="15">
      <c r="B292" s="1">
        <v>145</v>
      </c>
      <c r="C292" t="str">
        <f ca="1">IFERROR(__xludf.DUMMYFUNCTION(TRANSPOSE(ImportHTML("http://spending.data.al/sq/moneypower/view/id/145", "table", 0))),"*Kategoria*")</f>
        <v>*Kategoria*</v>
      </c>
      <c r="D292" t="s">
        <v>673</v>
      </c>
      <c r="E292" t="s">
        <v>674</v>
      </c>
      <c r="F292" t="s">
        <v>675</v>
      </c>
      <c r="G292" t="s">
        <v>676</v>
      </c>
      <c r="H292" t="s">
        <v>677</v>
      </c>
      <c r="I292" t="s">
        <v>678</v>
      </c>
      <c r="J292" t="s">
        <v>679</v>
      </c>
      <c r="K292" t="s">
        <v>680</v>
      </c>
      <c r="L292" t="s">
        <v>681</v>
      </c>
      <c r="M292" t="s">
        <v>682</v>
      </c>
      <c r="N292" t="s">
        <v>683</v>
      </c>
      <c r="O292" t="s">
        <v>684</v>
      </c>
      <c r="P292" t="s">
        <v>685</v>
      </c>
    </row>
    <row r="293" spans="2:16" ht="15">
      <c r="B293" s="7"/>
      <c r="C293" t="s">
        <v>686</v>
      </c>
      <c r="D293" t="s">
        <v>1246</v>
      </c>
      <c r="E293" t="s">
        <v>688</v>
      </c>
      <c r="F293" t="s">
        <v>688</v>
      </c>
      <c r="G293" t="s">
        <v>1247</v>
      </c>
      <c r="H293" t="s">
        <v>1248</v>
      </c>
      <c r="I293" t="s">
        <v>688</v>
      </c>
      <c r="J293" t="s">
        <v>688</v>
      </c>
      <c r="K293" t="s">
        <v>688</v>
      </c>
      <c r="L293" t="s">
        <v>688</v>
      </c>
      <c r="M293" t="s">
        <v>1249</v>
      </c>
      <c r="N293" t="s">
        <v>688</v>
      </c>
      <c r="P293" t="s">
        <v>1250</v>
      </c>
    </row>
    <row r="294" spans="2:16" ht="15">
      <c r="B294" s="1">
        <v>146</v>
      </c>
      <c r="C294" t="str">
        <f ca="1">IFERROR(__xludf.DUMMYFUNCTION(TRANSPOSE(ImportHTML("http://spending.data.al/sq/moneypower/view/id/146", "table", 0))),"*Kategoria*")</f>
        <v>*Kategoria*</v>
      </c>
      <c r="D294" t="s">
        <v>673</v>
      </c>
      <c r="E294" t="s">
        <v>674</v>
      </c>
      <c r="F294" t="s">
        <v>675</v>
      </c>
      <c r="G294" t="s">
        <v>676</v>
      </c>
      <c r="H294" t="s">
        <v>677</v>
      </c>
      <c r="I294" t="s">
        <v>678</v>
      </c>
      <c r="J294" t="s">
        <v>679</v>
      </c>
      <c r="K294" t="s">
        <v>680</v>
      </c>
      <c r="L294" t="s">
        <v>681</v>
      </c>
      <c r="M294" t="s">
        <v>682</v>
      </c>
      <c r="N294" t="s">
        <v>683</v>
      </c>
      <c r="O294" t="s">
        <v>684</v>
      </c>
      <c r="P294" t="s">
        <v>685</v>
      </c>
    </row>
    <row r="295" spans="2:16" ht="15">
      <c r="B295" s="7"/>
      <c r="C295" t="s">
        <v>686</v>
      </c>
      <c r="D295" t="s">
        <v>1251</v>
      </c>
      <c r="E295" t="s">
        <v>688</v>
      </c>
      <c r="F295" t="s">
        <v>688</v>
      </c>
      <c r="G295" t="s">
        <v>1252</v>
      </c>
      <c r="H295" t="s">
        <v>688</v>
      </c>
      <c r="I295" t="s">
        <v>688</v>
      </c>
      <c r="J295" t="s">
        <v>688</v>
      </c>
      <c r="K295" t="s">
        <v>688</v>
      </c>
      <c r="L295" t="s">
        <v>688</v>
      </c>
      <c r="M295" t="s">
        <v>1253</v>
      </c>
      <c r="N295" t="s">
        <v>688</v>
      </c>
      <c r="P295" t="s">
        <v>1254</v>
      </c>
    </row>
    <row r="296" spans="2:16" ht="15">
      <c r="B296" s="1">
        <v>147</v>
      </c>
      <c r="C296" t="str">
        <f ca="1">IFERROR(__xludf.DUMMYFUNCTION(TRANSPOSE(ImportHTML("http://spending.data.al/sq/moneypower/view/id/147", "table", 0))),"*Kategoria*")</f>
        <v>*Kategoria*</v>
      </c>
      <c r="D296" t="s">
        <v>673</v>
      </c>
      <c r="E296" t="s">
        <v>674</v>
      </c>
      <c r="F296" t="s">
        <v>675</v>
      </c>
      <c r="G296" t="s">
        <v>676</v>
      </c>
      <c r="H296" t="s">
        <v>677</v>
      </c>
      <c r="I296" t="s">
        <v>678</v>
      </c>
      <c r="J296" t="s">
        <v>679</v>
      </c>
      <c r="K296" t="s">
        <v>680</v>
      </c>
      <c r="L296" t="s">
        <v>681</v>
      </c>
      <c r="M296" t="s">
        <v>682</v>
      </c>
      <c r="N296" t="s">
        <v>683</v>
      </c>
      <c r="O296" t="s">
        <v>684</v>
      </c>
      <c r="P296" t="s">
        <v>685</v>
      </c>
    </row>
    <row r="297" spans="2:16" ht="15">
      <c r="B297" s="7"/>
      <c r="C297" t="s">
        <v>686</v>
      </c>
      <c r="D297" t="s">
        <v>1255</v>
      </c>
      <c r="E297" t="s">
        <v>688</v>
      </c>
      <c r="F297" t="s">
        <v>688</v>
      </c>
      <c r="G297" t="s">
        <v>1256</v>
      </c>
      <c r="H297" t="s">
        <v>688</v>
      </c>
      <c r="I297" t="s">
        <v>688</v>
      </c>
      <c r="J297" t="s">
        <v>688</v>
      </c>
      <c r="K297" t="s">
        <v>1257</v>
      </c>
      <c r="L297" t="s">
        <v>688</v>
      </c>
      <c r="M297" t="s">
        <v>1258</v>
      </c>
      <c r="N297" t="s">
        <v>688</v>
      </c>
      <c r="P297" t="s">
        <v>1259</v>
      </c>
    </row>
    <row r="298" spans="2:16" ht="15">
      <c r="B298" s="1">
        <v>148</v>
      </c>
      <c r="C298" t="str">
        <f ca="1">IFERROR(__xludf.DUMMYFUNCTION(TRANSPOSE(ImportHTML("http://spending.data.al/sq/moneypower/view/id/148", "table", 0))),"*Kategoria*")</f>
        <v>*Kategoria*</v>
      </c>
      <c r="D298" t="s">
        <v>673</v>
      </c>
      <c r="E298" t="s">
        <v>674</v>
      </c>
      <c r="F298" t="s">
        <v>675</v>
      </c>
      <c r="G298" t="s">
        <v>676</v>
      </c>
      <c r="H298" t="s">
        <v>677</v>
      </c>
      <c r="I298" t="s">
        <v>678</v>
      </c>
      <c r="J298" t="s">
        <v>679</v>
      </c>
      <c r="K298" t="s">
        <v>680</v>
      </c>
      <c r="L298" t="s">
        <v>681</v>
      </c>
      <c r="M298" t="s">
        <v>682</v>
      </c>
      <c r="N298" t="s">
        <v>683</v>
      </c>
      <c r="O298" t="s">
        <v>684</v>
      </c>
      <c r="P298" t="s">
        <v>685</v>
      </c>
    </row>
    <row r="299" spans="2:16" ht="15">
      <c r="B299" s="7"/>
      <c r="C299" t="s">
        <v>686</v>
      </c>
      <c r="D299" t="s">
        <v>1260</v>
      </c>
      <c r="E299" t="s">
        <v>688</v>
      </c>
      <c r="F299" t="s">
        <v>688</v>
      </c>
      <c r="G299" t="s">
        <v>688</v>
      </c>
      <c r="H299" t="s">
        <v>688</v>
      </c>
      <c r="I299" t="s">
        <v>688</v>
      </c>
      <c r="J299" t="s">
        <v>688</v>
      </c>
      <c r="K299" t="s">
        <v>688</v>
      </c>
      <c r="L299" t="s">
        <v>688</v>
      </c>
      <c r="M299" t="s">
        <v>1261</v>
      </c>
      <c r="N299" t="s">
        <v>688</v>
      </c>
      <c r="P299" t="s">
        <v>1262</v>
      </c>
    </row>
    <row r="300" spans="2:16" ht="15">
      <c r="B300" s="1">
        <v>149</v>
      </c>
      <c r="C300" t="str">
        <f ca="1">IFERROR(__xludf.DUMMYFUNCTION(TRANSPOSE(ImportHTML("http://spending.data.al/sq/moneypower/view/id/149", "table", 0))),"*Kategoria*")</f>
        <v>*Kategoria*</v>
      </c>
      <c r="D300" t="s">
        <v>673</v>
      </c>
      <c r="E300" t="s">
        <v>674</v>
      </c>
      <c r="F300" t="s">
        <v>675</v>
      </c>
      <c r="G300" t="s">
        <v>676</v>
      </c>
      <c r="H300" t="s">
        <v>677</v>
      </c>
      <c r="I300" t="s">
        <v>678</v>
      </c>
      <c r="J300" t="s">
        <v>679</v>
      </c>
      <c r="K300" t="s">
        <v>680</v>
      </c>
      <c r="L300" t="s">
        <v>681</v>
      </c>
      <c r="M300" t="s">
        <v>682</v>
      </c>
      <c r="N300" t="s">
        <v>683</v>
      </c>
      <c r="O300" t="s">
        <v>684</v>
      </c>
      <c r="P300" t="s">
        <v>685</v>
      </c>
    </row>
    <row r="301" spans="2:16" ht="15">
      <c r="B301" s="7"/>
      <c r="C301" t="s">
        <v>686</v>
      </c>
      <c r="D301" t="s">
        <v>1263</v>
      </c>
      <c r="E301" t="s">
        <v>688</v>
      </c>
      <c r="F301" t="s">
        <v>688</v>
      </c>
      <c r="G301" t="s">
        <v>1264</v>
      </c>
      <c r="H301" t="s">
        <v>688</v>
      </c>
      <c r="I301" t="s">
        <v>688</v>
      </c>
      <c r="J301" t="s">
        <v>688</v>
      </c>
      <c r="K301" t="s">
        <v>688</v>
      </c>
      <c r="L301" t="s">
        <v>688</v>
      </c>
      <c r="M301" t="s">
        <v>688</v>
      </c>
      <c r="N301" t="s">
        <v>688</v>
      </c>
      <c r="O301" s="4">
        <v>1</v>
      </c>
      <c r="P301" t="s">
        <v>1265</v>
      </c>
    </row>
    <row r="302" spans="2:16" ht="15">
      <c r="B302" s="1">
        <v>150</v>
      </c>
      <c r="C302" t="str">
        <f ca="1">IFERROR(__xludf.DUMMYFUNCTION(TRANSPOSE(ImportHTML("http://spending.data.al/sq/moneypower/view/id/150", "table", 0))),"*Kategoria*")</f>
        <v>*Kategoria*</v>
      </c>
      <c r="D302" t="s">
        <v>673</v>
      </c>
      <c r="E302" t="s">
        <v>674</v>
      </c>
      <c r="F302" t="s">
        <v>675</v>
      </c>
      <c r="G302" t="s">
        <v>676</v>
      </c>
      <c r="H302" t="s">
        <v>677</v>
      </c>
      <c r="I302" t="s">
        <v>678</v>
      </c>
      <c r="J302" t="s">
        <v>679</v>
      </c>
      <c r="K302" t="s">
        <v>680</v>
      </c>
      <c r="L302" t="s">
        <v>681</v>
      </c>
      <c r="M302" t="s">
        <v>682</v>
      </c>
      <c r="N302" t="s">
        <v>683</v>
      </c>
      <c r="O302" t="s">
        <v>684</v>
      </c>
      <c r="P302" t="s">
        <v>685</v>
      </c>
    </row>
    <row r="303" spans="2:16" thickBot="1">
      <c r="B303" s="7"/>
      <c r="C303" t="s">
        <v>686</v>
      </c>
      <c r="D303" t="s">
        <v>1266</v>
      </c>
      <c r="E303" t="s">
        <v>688</v>
      </c>
      <c r="F303" t="s">
        <v>688</v>
      </c>
      <c r="G303" t="s">
        <v>688</v>
      </c>
      <c r="H303" t="s">
        <v>688</v>
      </c>
      <c r="I303" t="s">
        <v>688</v>
      </c>
      <c r="J303" t="s">
        <v>688</v>
      </c>
      <c r="K303" t="s">
        <v>688</v>
      </c>
      <c r="L303" t="s">
        <v>688</v>
      </c>
      <c r="M303" t="s">
        <v>688</v>
      </c>
      <c r="N303" t="s">
        <v>688</v>
      </c>
      <c r="O303" s="4">
        <v>1</v>
      </c>
      <c r="P303" t="s">
        <v>1267</v>
      </c>
    </row>
    <row r="304" spans="2:16" ht="108.75" thickBot="1">
      <c r="B304" s="1">
        <v>151</v>
      </c>
      <c r="C304" t="str">
        <f ca="1">IFERROR(__xludf.DUMMYFUNCTION(TRANSPOSE(ImportHTML("http://spending.data.al/sq/moneypower/view/id/150", "table", 0))),"*Kategoria*")</f>
        <v>*Kategoria*</v>
      </c>
      <c r="D304" s="19" t="s">
        <v>4429</v>
      </c>
      <c r="E304" s="15" t="s">
        <v>4430</v>
      </c>
      <c r="F304" s="17"/>
      <c r="G304" s="17"/>
      <c r="H304" s="24"/>
      <c r="I304" s="19" t="s">
        <v>4431</v>
      </c>
      <c r="J304" s="19" t="s">
        <v>4432</v>
      </c>
      <c r="K304" s="19" t="s">
        <v>4433</v>
      </c>
      <c r="L304" s="19" t="s">
        <v>4434</v>
      </c>
      <c r="P304" s="19" t="s">
        <v>4435</v>
      </c>
    </row>
    <row r="305" spans="2:16" ht="64.5" customHeight="1" thickBot="1">
      <c r="B305" s="1"/>
      <c r="C305" t="s">
        <v>686</v>
      </c>
      <c r="D305" s="20" t="s">
        <v>4442</v>
      </c>
      <c r="E305" s="16"/>
      <c r="F305" s="17" t="s">
        <v>4443</v>
      </c>
      <c r="G305" s="17" t="s">
        <v>4444</v>
      </c>
      <c r="H305" s="18" t="s">
        <v>4445</v>
      </c>
      <c r="I305" s="20" t="s">
        <v>4446</v>
      </c>
      <c r="J305" s="20" t="s">
        <v>2601</v>
      </c>
      <c r="K305" s="20" t="s">
        <v>2601</v>
      </c>
      <c r="L305" s="20" t="s">
        <v>2601</v>
      </c>
      <c r="P305" s="20" t="s">
        <v>707</v>
      </c>
    </row>
    <row r="306" spans="2:16" ht="15">
      <c r="B306" s="1">
        <v>152</v>
      </c>
      <c r="C306" t="str">
        <f ca="1">IFERROR(__xludf.DUMMYFUNCTION(TRANSPOSE(ImportHTML("http://spending.data.al/sq/moneypower/view/id/152", "table", 0))),"*Kategoria*")</f>
        <v>*Kategoria*</v>
      </c>
      <c r="I306" t="s">
        <v>678</v>
      </c>
      <c r="J306" t="s">
        <v>679</v>
      </c>
      <c r="K306" t="s">
        <v>680</v>
      </c>
      <c r="L306" t="s">
        <v>681</v>
      </c>
      <c r="M306" t="s">
        <v>682</v>
      </c>
      <c r="N306" t="s">
        <v>683</v>
      </c>
      <c r="O306" t="s">
        <v>684</v>
      </c>
      <c r="P306" t="s">
        <v>685</v>
      </c>
    </row>
    <row r="307" spans="2:16" ht="15">
      <c r="B307" s="7"/>
      <c r="C307" t="s">
        <v>686</v>
      </c>
      <c r="D307" t="s">
        <v>1268</v>
      </c>
      <c r="E307" t="s">
        <v>1269</v>
      </c>
      <c r="F307" t="s">
        <v>688</v>
      </c>
      <c r="G307" t="s">
        <v>688</v>
      </c>
      <c r="H307" t="s">
        <v>688</v>
      </c>
      <c r="I307" t="s">
        <v>688</v>
      </c>
      <c r="J307" t="s">
        <v>688</v>
      </c>
      <c r="K307" t="s">
        <v>688</v>
      </c>
      <c r="L307" t="s">
        <v>688</v>
      </c>
      <c r="M307" t="s">
        <v>1270</v>
      </c>
      <c r="N307" t="s">
        <v>688</v>
      </c>
      <c r="O307" s="4">
        <v>1</v>
      </c>
      <c r="P307" t="s">
        <v>1271</v>
      </c>
    </row>
    <row r="308" spans="2:16" ht="15">
      <c r="B308" s="1">
        <v>153</v>
      </c>
      <c r="C308" t="str">
        <f ca="1">IFERROR(__xludf.DUMMYFUNCTION(TRANSPOSE(ImportHTML("http://spending.data.al/sq/moneypower/view/id/153", "table", 0))),"*Kategoria*")</f>
        <v>*Kategoria*</v>
      </c>
      <c r="D308" t="s">
        <v>673</v>
      </c>
      <c r="E308" t="s">
        <v>674</v>
      </c>
      <c r="F308" t="s">
        <v>675</v>
      </c>
      <c r="G308" t="s">
        <v>676</v>
      </c>
      <c r="H308" t="s">
        <v>677</v>
      </c>
      <c r="I308" t="s">
        <v>678</v>
      </c>
      <c r="J308" t="s">
        <v>679</v>
      </c>
      <c r="K308" t="s">
        <v>680</v>
      </c>
      <c r="L308" t="s">
        <v>681</v>
      </c>
      <c r="M308" t="s">
        <v>682</v>
      </c>
      <c r="N308" t="s">
        <v>683</v>
      </c>
      <c r="O308" t="s">
        <v>684</v>
      </c>
      <c r="P308" t="s">
        <v>685</v>
      </c>
    </row>
    <row r="309" spans="2:16" ht="15">
      <c r="B309" s="7"/>
      <c r="C309" t="s">
        <v>686</v>
      </c>
      <c r="D309" t="s">
        <v>1272</v>
      </c>
      <c r="E309" t="s">
        <v>1273</v>
      </c>
      <c r="F309" t="s">
        <v>688</v>
      </c>
      <c r="G309" t="s">
        <v>688</v>
      </c>
      <c r="H309" t="s">
        <v>1274</v>
      </c>
      <c r="I309" t="s">
        <v>688</v>
      </c>
      <c r="J309" t="s">
        <v>688</v>
      </c>
      <c r="K309" t="s">
        <v>688</v>
      </c>
      <c r="L309" t="s">
        <v>688</v>
      </c>
      <c r="M309" t="s">
        <v>1275</v>
      </c>
      <c r="N309" t="s">
        <v>688</v>
      </c>
      <c r="O309" s="4">
        <v>1.1100000000000001</v>
      </c>
      <c r="P309" t="s">
        <v>1276</v>
      </c>
    </row>
    <row r="310" spans="2:16" ht="15">
      <c r="B310" s="1">
        <v>154</v>
      </c>
      <c r="C310" t="str">
        <f ca="1">IFERROR(__xludf.DUMMYFUNCTION(TRANSPOSE(ImportHTML("http://spending.data.al/sq/moneypower/view/id/154", "table", 0))),"*Kategoria*")</f>
        <v>*Kategoria*</v>
      </c>
      <c r="D310" t="s">
        <v>673</v>
      </c>
      <c r="E310" t="s">
        <v>674</v>
      </c>
      <c r="F310" t="s">
        <v>675</v>
      </c>
      <c r="G310" t="s">
        <v>676</v>
      </c>
      <c r="H310" t="s">
        <v>677</v>
      </c>
      <c r="I310" t="s">
        <v>678</v>
      </c>
      <c r="J310" t="s">
        <v>679</v>
      </c>
      <c r="K310" t="s">
        <v>680</v>
      </c>
      <c r="L310" t="s">
        <v>681</v>
      </c>
      <c r="M310" t="s">
        <v>682</v>
      </c>
      <c r="N310" t="s">
        <v>683</v>
      </c>
      <c r="O310" t="s">
        <v>684</v>
      </c>
      <c r="P310" t="s">
        <v>685</v>
      </c>
    </row>
    <row r="311" spans="2:16" ht="15">
      <c r="B311" s="7"/>
      <c r="C311" t="s">
        <v>686</v>
      </c>
      <c r="D311" t="s">
        <v>1277</v>
      </c>
      <c r="E311" t="s">
        <v>688</v>
      </c>
      <c r="F311" t="s">
        <v>688</v>
      </c>
      <c r="G311" t="s">
        <v>688</v>
      </c>
      <c r="H311" t="s">
        <v>688</v>
      </c>
      <c r="I311" t="s">
        <v>688</v>
      </c>
      <c r="J311" t="s">
        <v>688</v>
      </c>
      <c r="K311" t="s">
        <v>688</v>
      </c>
      <c r="L311" t="s">
        <v>688</v>
      </c>
      <c r="M311" t="s">
        <v>688</v>
      </c>
      <c r="N311" t="s">
        <v>688</v>
      </c>
      <c r="O311" s="4">
        <v>1</v>
      </c>
      <c r="P311" t="s">
        <v>688</v>
      </c>
    </row>
    <row r="312" spans="2:16" ht="15">
      <c r="B312" s="1">
        <v>155</v>
      </c>
      <c r="C312" t="str">
        <f ca="1">IFERROR(__xludf.DUMMYFUNCTION(TRANSPOSE(ImportHTML("http://spending.data.al/sq/moneypower/view/id/155", "table", 0))),"*Kategoria*")</f>
        <v>*Kategoria*</v>
      </c>
      <c r="D312" t="s">
        <v>673</v>
      </c>
      <c r="E312" t="s">
        <v>674</v>
      </c>
      <c r="F312" t="s">
        <v>675</v>
      </c>
      <c r="G312" t="s">
        <v>676</v>
      </c>
      <c r="H312" t="s">
        <v>677</v>
      </c>
      <c r="I312" t="s">
        <v>678</v>
      </c>
      <c r="J312" t="s">
        <v>679</v>
      </c>
      <c r="K312" t="s">
        <v>680</v>
      </c>
      <c r="L312" t="s">
        <v>681</v>
      </c>
      <c r="M312" t="s">
        <v>682</v>
      </c>
      <c r="N312" t="s">
        <v>683</v>
      </c>
      <c r="O312" t="s">
        <v>684</v>
      </c>
      <c r="P312" t="s">
        <v>685</v>
      </c>
    </row>
    <row r="313" spans="2:16" ht="15">
      <c r="B313" s="7"/>
      <c r="C313" t="s">
        <v>686</v>
      </c>
      <c r="D313" t="s">
        <v>1278</v>
      </c>
      <c r="E313" t="s">
        <v>688</v>
      </c>
      <c r="F313" t="s">
        <v>688</v>
      </c>
      <c r="G313" t="s">
        <v>688</v>
      </c>
      <c r="H313" t="s">
        <v>688</v>
      </c>
      <c r="I313" t="s">
        <v>688</v>
      </c>
      <c r="J313" t="s">
        <v>688</v>
      </c>
      <c r="K313" t="s">
        <v>688</v>
      </c>
      <c r="L313" t="s">
        <v>688</v>
      </c>
      <c r="M313" t="s">
        <v>688</v>
      </c>
      <c r="N313" t="s">
        <v>688</v>
      </c>
      <c r="O313" s="4">
        <v>1</v>
      </c>
      <c r="P313" t="s">
        <v>688</v>
      </c>
    </row>
    <row r="314" spans="2:16" ht="15">
      <c r="B314" s="1">
        <v>156</v>
      </c>
      <c r="C314" t="str">
        <f ca="1">IFERROR(__xludf.DUMMYFUNCTION(TRANSPOSE(ImportHTML("http://spending.data.al/sq/moneypower/view/id/156", "table", 0))),"*Kategoria*")</f>
        <v>*Kategoria*</v>
      </c>
      <c r="D314" t="s">
        <v>673</v>
      </c>
      <c r="E314" t="s">
        <v>674</v>
      </c>
      <c r="F314" t="s">
        <v>675</v>
      </c>
      <c r="G314" t="s">
        <v>676</v>
      </c>
      <c r="H314" t="s">
        <v>677</v>
      </c>
      <c r="I314" t="s">
        <v>678</v>
      </c>
      <c r="J314" t="s">
        <v>679</v>
      </c>
      <c r="K314" t="s">
        <v>680</v>
      </c>
      <c r="L314" t="s">
        <v>681</v>
      </c>
      <c r="M314" t="s">
        <v>682</v>
      </c>
      <c r="N314" t="s">
        <v>683</v>
      </c>
      <c r="O314" t="s">
        <v>684</v>
      </c>
      <c r="P314" t="s">
        <v>685</v>
      </c>
    </row>
    <row r="315" spans="2:16" ht="15">
      <c r="B315" s="7"/>
      <c r="C315" t="s">
        <v>686</v>
      </c>
      <c r="D315" t="s">
        <v>1279</v>
      </c>
      <c r="E315" t="s">
        <v>688</v>
      </c>
      <c r="F315" t="s">
        <v>688</v>
      </c>
      <c r="G315" t="s">
        <v>1280</v>
      </c>
      <c r="H315" t="s">
        <v>688</v>
      </c>
      <c r="I315" t="s">
        <v>688</v>
      </c>
      <c r="J315" t="s">
        <v>688</v>
      </c>
      <c r="K315" t="s">
        <v>688</v>
      </c>
      <c r="L315" t="s">
        <v>1281</v>
      </c>
      <c r="M315" t="s">
        <v>1282</v>
      </c>
      <c r="N315" t="s">
        <v>688</v>
      </c>
      <c r="O315" s="4">
        <v>1.1100000000000001</v>
      </c>
      <c r="P315" t="s">
        <v>688</v>
      </c>
    </row>
    <row r="316" spans="2:16" ht="15">
      <c r="B316" s="1">
        <v>157</v>
      </c>
      <c r="C316" t="str">
        <f ca="1">IFERROR(__xludf.DUMMYFUNCTION(TRANSPOSE(ImportHTML("http://spending.data.al/sq/moneypower/view/id/157", "table", 0))),"*Kategoria*")</f>
        <v>*Kategoria*</v>
      </c>
      <c r="D316" t="s">
        <v>673</v>
      </c>
      <c r="E316" t="s">
        <v>674</v>
      </c>
      <c r="F316" t="s">
        <v>675</v>
      </c>
      <c r="G316" t="s">
        <v>676</v>
      </c>
      <c r="H316" t="s">
        <v>677</v>
      </c>
      <c r="I316" t="s">
        <v>678</v>
      </c>
      <c r="J316" t="s">
        <v>679</v>
      </c>
      <c r="K316" t="s">
        <v>680</v>
      </c>
      <c r="L316" t="s">
        <v>681</v>
      </c>
      <c r="M316" t="s">
        <v>682</v>
      </c>
      <c r="N316" t="s">
        <v>683</v>
      </c>
      <c r="O316" t="s">
        <v>684</v>
      </c>
      <c r="P316" t="s">
        <v>685</v>
      </c>
    </row>
    <row r="317" spans="2:16" ht="15">
      <c r="B317" s="7"/>
      <c r="C317" t="s">
        <v>686</v>
      </c>
      <c r="D317" t="s">
        <v>1283</v>
      </c>
      <c r="E317" t="s">
        <v>688</v>
      </c>
      <c r="F317" t="s">
        <v>1284</v>
      </c>
      <c r="G317" t="s">
        <v>688</v>
      </c>
      <c r="H317" t="s">
        <v>688</v>
      </c>
      <c r="I317" t="s">
        <v>688</v>
      </c>
      <c r="J317" t="s">
        <v>688</v>
      </c>
      <c r="K317" t="s">
        <v>688</v>
      </c>
      <c r="L317" t="s">
        <v>688</v>
      </c>
      <c r="M317" t="s">
        <v>1285</v>
      </c>
      <c r="N317" t="s">
        <v>688</v>
      </c>
      <c r="O317" s="4">
        <v>1.1100000000000001</v>
      </c>
      <c r="P317" t="s">
        <v>707</v>
      </c>
    </row>
    <row r="318" spans="2:16" ht="15">
      <c r="B318" s="1">
        <v>158</v>
      </c>
      <c r="C318" t="str">
        <f ca="1">IFERROR(__xludf.DUMMYFUNCTION(TRANSPOSE(ImportHTML("http://spending.data.al/sq/moneypower/view/id/158", "table", 0))),"*Kategoria*")</f>
        <v>*Kategoria*</v>
      </c>
      <c r="D318" t="s">
        <v>673</v>
      </c>
      <c r="E318" t="s">
        <v>674</v>
      </c>
      <c r="F318" t="s">
        <v>675</v>
      </c>
      <c r="G318" t="s">
        <v>676</v>
      </c>
      <c r="H318" t="s">
        <v>677</v>
      </c>
      <c r="I318" t="s">
        <v>678</v>
      </c>
      <c r="J318" t="s">
        <v>679</v>
      </c>
      <c r="K318" t="s">
        <v>680</v>
      </c>
      <c r="L318" t="s">
        <v>681</v>
      </c>
      <c r="M318" t="s">
        <v>682</v>
      </c>
      <c r="N318" t="s">
        <v>683</v>
      </c>
      <c r="O318" t="s">
        <v>684</v>
      </c>
      <c r="P318" t="s">
        <v>685</v>
      </c>
    </row>
    <row r="319" spans="2:16" ht="15">
      <c r="B319" s="7"/>
      <c r="C319" t="s">
        <v>686</v>
      </c>
      <c r="D319" t="s">
        <v>1286</v>
      </c>
      <c r="E319" t="s">
        <v>688</v>
      </c>
      <c r="F319" t="s">
        <v>688</v>
      </c>
      <c r="G319" t="s">
        <v>688</v>
      </c>
      <c r="H319" t="s">
        <v>1287</v>
      </c>
      <c r="I319" t="s">
        <v>688</v>
      </c>
      <c r="J319" t="s">
        <v>688</v>
      </c>
      <c r="K319" t="s">
        <v>688</v>
      </c>
      <c r="L319" t="s">
        <v>688</v>
      </c>
      <c r="M319" t="s">
        <v>1288</v>
      </c>
      <c r="N319" t="s">
        <v>688</v>
      </c>
      <c r="O319" s="4">
        <v>9.6</v>
      </c>
      <c r="P319" t="s">
        <v>1289</v>
      </c>
    </row>
    <row r="320" spans="2:16" ht="15">
      <c r="B320" s="1">
        <v>159</v>
      </c>
      <c r="C320" t="str">
        <f ca="1">IFERROR(__xludf.DUMMYFUNCTION(TRANSPOSE(ImportHTML("http://spending.data.al/sq/moneypower/view/id/159", "table", 0))),"*Kategoria*")</f>
        <v>*Kategoria*</v>
      </c>
      <c r="D320" t="s">
        <v>673</v>
      </c>
      <c r="E320" t="s">
        <v>674</v>
      </c>
      <c r="F320" t="s">
        <v>675</v>
      </c>
      <c r="G320" t="s">
        <v>676</v>
      </c>
      <c r="H320" t="s">
        <v>677</v>
      </c>
      <c r="I320" t="s">
        <v>678</v>
      </c>
      <c r="J320" t="s">
        <v>679</v>
      </c>
      <c r="K320" t="s">
        <v>680</v>
      </c>
      <c r="L320" t="s">
        <v>681</v>
      </c>
      <c r="M320" t="s">
        <v>682</v>
      </c>
      <c r="N320" t="s">
        <v>683</v>
      </c>
      <c r="O320" t="s">
        <v>684</v>
      </c>
      <c r="P320" t="s">
        <v>685</v>
      </c>
    </row>
    <row r="321" spans="2:16" ht="15">
      <c r="B321" s="7"/>
      <c r="C321" t="s">
        <v>686</v>
      </c>
      <c r="D321" t="s">
        <v>1290</v>
      </c>
      <c r="E321" t="s">
        <v>688</v>
      </c>
      <c r="F321" t="s">
        <v>688</v>
      </c>
      <c r="G321" t="s">
        <v>688</v>
      </c>
      <c r="H321" t="s">
        <v>1291</v>
      </c>
      <c r="I321" t="s">
        <v>688</v>
      </c>
      <c r="J321" t="s">
        <v>688</v>
      </c>
      <c r="K321" t="s">
        <v>688</v>
      </c>
      <c r="L321" t="s">
        <v>688</v>
      </c>
      <c r="M321" t="s">
        <v>1292</v>
      </c>
      <c r="N321" t="s">
        <v>688</v>
      </c>
      <c r="O321" s="4">
        <v>1.24</v>
      </c>
      <c r="P321" t="s">
        <v>1293</v>
      </c>
    </row>
    <row r="322" spans="2:16" ht="15">
      <c r="B322" s="1">
        <v>160</v>
      </c>
      <c r="C322" t="str">
        <f ca="1">IFERROR(__xludf.DUMMYFUNCTION(TRANSPOSE(ImportHTML("http://spending.data.al/sq/moneypower/view/id/160", "table", 0))),"*Kategoria*")</f>
        <v>*Kategoria*</v>
      </c>
      <c r="D322" t="s">
        <v>673</v>
      </c>
      <c r="E322" t="s">
        <v>674</v>
      </c>
      <c r="F322" t="s">
        <v>675</v>
      </c>
      <c r="G322" t="s">
        <v>676</v>
      </c>
      <c r="H322" t="s">
        <v>677</v>
      </c>
      <c r="I322" t="s">
        <v>678</v>
      </c>
      <c r="J322" t="s">
        <v>679</v>
      </c>
      <c r="K322" t="s">
        <v>680</v>
      </c>
      <c r="L322" t="s">
        <v>681</v>
      </c>
      <c r="M322" t="s">
        <v>682</v>
      </c>
      <c r="N322" t="s">
        <v>683</v>
      </c>
      <c r="O322" t="s">
        <v>684</v>
      </c>
      <c r="P322" t="s">
        <v>685</v>
      </c>
    </row>
    <row r="323" spans="2:16" ht="15">
      <c r="B323" s="7"/>
      <c r="C323" t="s">
        <v>686</v>
      </c>
      <c r="D323" t="s">
        <v>1294</v>
      </c>
      <c r="E323" t="s">
        <v>688</v>
      </c>
      <c r="F323" t="s">
        <v>688</v>
      </c>
      <c r="G323" t="s">
        <v>1295</v>
      </c>
      <c r="H323" t="s">
        <v>688</v>
      </c>
      <c r="I323" t="s">
        <v>688</v>
      </c>
      <c r="J323" t="s">
        <v>688</v>
      </c>
      <c r="K323" t="s">
        <v>688</v>
      </c>
      <c r="L323" t="s">
        <v>688</v>
      </c>
      <c r="M323" t="s">
        <v>1296</v>
      </c>
      <c r="N323" t="s">
        <v>688</v>
      </c>
      <c r="O323" s="4">
        <v>1.02</v>
      </c>
      <c r="P323" t="s">
        <v>688</v>
      </c>
    </row>
    <row r="324" spans="2:16" ht="15">
      <c r="B324" s="1">
        <v>161</v>
      </c>
      <c r="C324" t="str">
        <f ca="1">IFERROR(__xludf.DUMMYFUNCTION(TRANSPOSE(ImportHTML("http://spending.data.al/sq/moneypower/view/id/161", "table", 0))),"*Kategoria*")</f>
        <v>*Kategoria*</v>
      </c>
      <c r="D324" t="s">
        <v>673</v>
      </c>
      <c r="E324" t="s">
        <v>674</v>
      </c>
      <c r="F324" t="s">
        <v>675</v>
      </c>
      <c r="G324" t="s">
        <v>676</v>
      </c>
      <c r="H324" t="s">
        <v>677</v>
      </c>
      <c r="I324" t="s">
        <v>678</v>
      </c>
      <c r="J324" t="s">
        <v>679</v>
      </c>
      <c r="K324" t="s">
        <v>680</v>
      </c>
      <c r="L324" t="s">
        <v>681</v>
      </c>
      <c r="M324" t="s">
        <v>682</v>
      </c>
      <c r="N324" t="s">
        <v>683</v>
      </c>
      <c r="O324" t="s">
        <v>684</v>
      </c>
      <c r="P324" t="s">
        <v>685</v>
      </c>
    </row>
    <row r="325" spans="2:16" ht="15">
      <c r="B325" s="7"/>
      <c r="C325" t="s">
        <v>686</v>
      </c>
      <c r="D325" t="s">
        <v>1297</v>
      </c>
      <c r="E325" t="s">
        <v>688</v>
      </c>
      <c r="F325" t="s">
        <v>688</v>
      </c>
      <c r="G325" t="s">
        <v>1298</v>
      </c>
      <c r="H325" t="s">
        <v>688</v>
      </c>
      <c r="I325" t="s">
        <v>688</v>
      </c>
      <c r="J325" t="s">
        <v>688</v>
      </c>
      <c r="K325" t="s">
        <v>688</v>
      </c>
      <c r="L325" t="s">
        <v>688</v>
      </c>
      <c r="M325" t="s">
        <v>1299</v>
      </c>
      <c r="N325" t="s">
        <v>1300</v>
      </c>
      <c r="O325" s="4">
        <v>1.07</v>
      </c>
      <c r="P325" t="s">
        <v>688</v>
      </c>
    </row>
    <row r="326" spans="2:16" ht="15">
      <c r="B326" s="1">
        <v>162</v>
      </c>
      <c r="C326" t="str">
        <f ca="1">IFERROR(__xludf.DUMMYFUNCTION(TRANSPOSE(ImportHTML("http://spending.data.al/sq/moneypower/view/id/162", "table", 0))),"*Kategoria*")</f>
        <v>*Kategoria*</v>
      </c>
      <c r="D326" t="s">
        <v>673</v>
      </c>
      <c r="E326" t="s">
        <v>674</v>
      </c>
      <c r="F326" t="s">
        <v>675</v>
      </c>
      <c r="G326" t="s">
        <v>676</v>
      </c>
      <c r="H326" t="s">
        <v>677</v>
      </c>
      <c r="I326" t="s">
        <v>678</v>
      </c>
      <c r="J326" t="s">
        <v>679</v>
      </c>
      <c r="K326" t="s">
        <v>680</v>
      </c>
      <c r="L326" t="s">
        <v>681</v>
      </c>
      <c r="M326" t="s">
        <v>682</v>
      </c>
      <c r="N326" t="s">
        <v>683</v>
      </c>
      <c r="O326" t="s">
        <v>684</v>
      </c>
      <c r="P326" t="s">
        <v>685</v>
      </c>
    </row>
    <row r="327" spans="2:16" ht="15">
      <c r="B327" s="7"/>
      <c r="C327" t="s">
        <v>686</v>
      </c>
      <c r="D327" t="s">
        <v>1301</v>
      </c>
      <c r="E327" t="s">
        <v>688</v>
      </c>
      <c r="F327" t="s">
        <v>688</v>
      </c>
      <c r="G327" t="s">
        <v>688</v>
      </c>
      <c r="H327" t="s">
        <v>688</v>
      </c>
      <c r="I327" t="s">
        <v>688</v>
      </c>
      <c r="J327" t="s">
        <v>688</v>
      </c>
      <c r="K327" t="s">
        <v>688</v>
      </c>
      <c r="L327" t="s">
        <v>688</v>
      </c>
      <c r="M327" t="s">
        <v>1302</v>
      </c>
      <c r="N327" t="s">
        <v>688</v>
      </c>
      <c r="O327" s="4">
        <v>1</v>
      </c>
      <c r="P327" t="s">
        <v>688</v>
      </c>
    </row>
    <row r="328" spans="2:16" ht="15">
      <c r="B328" s="1">
        <v>163</v>
      </c>
      <c r="C328" t="str">
        <f ca="1">IFERROR(__xludf.DUMMYFUNCTION(TRANSPOSE(ImportHTML("http://spending.data.al/sq/moneypower/view/id/163", "table", 0))),"*Kategoria*")</f>
        <v>*Kategoria*</v>
      </c>
      <c r="D328" t="s">
        <v>673</v>
      </c>
      <c r="E328" t="s">
        <v>674</v>
      </c>
      <c r="F328" t="s">
        <v>675</v>
      </c>
      <c r="G328" t="s">
        <v>676</v>
      </c>
      <c r="H328" t="s">
        <v>677</v>
      </c>
      <c r="I328" t="s">
        <v>678</v>
      </c>
      <c r="J328" t="s">
        <v>679</v>
      </c>
      <c r="K328" t="s">
        <v>680</v>
      </c>
      <c r="L328" t="s">
        <v>681</v>
      </c>
      <c r="M328" t="s">
        <v>682</v>
      </c>
      <c r="N328" t="s">
        <v>683</v>
      </c>
      <c r="O328" t="s">
        <v>684</v>
      </c>
      <c r="P328" t="s">
        <v>685</v>
      </c>
    </row>
    <row r="329" spans="2:16" ht="15">
      <c r="B329" s="7"/>
      <c r="C329" t="s">
        <v>686</v>
      </c>
      <c r="D329" t="s">
        <v>1303</v>
      </c>
      <c r="E329" t="s">
        <v>688</v>
      </c>
      <c r="F329" t="s">
        <v>688</v>
      </c>
      <c r="G329" t="s">
        <v>688</v>
      </c>
      <c r="H329" t="s">
        <v>1304</v>
      </c>
      <c r="I329" t="s">
        <v>688</v>
      </c>
      <c r="J329" t="s">
        <v>688</v>
      </c>
      <c r="K329" t="s">
        <v>688</v>
      </c>
      <c r="L329" t="s">
        <v>688</v>
      </c>
      <c r="M329" t="s">
        <v>1305</v>
      </c>
      <c r="N329" t="s">
        <v>688</v>
      </c>
      <c r="O329" s="4">
        <v>1.03</v>
      </c>
      <c r="P329" t="s">
        <v>1306</v>
      </c>
    </row>
    <row r="330" spans="2:16" ht="15">
      <c r="B330" s="1">
        <v>164</v>
      </c>
      <c r="C330" t="str">
        <f ca="1">IFERROR(__xludf.DUMMYFUNCTION(TRANSPOSE(ImportHTML("http://spending.data.al/sq/moneypower/view/id/164", "table", 0))),"*Kategoria*")</f>
        <v>*Kategoria*</v>
      </c>
      <c r="D330" t="s">
        <v>673</v>
      </c>
      <c r="E330" t="s">
        <v>674</v>
      </c>
      <c r="F330" t="s">
        <v>675</v>
      </c>
      <c r="G330" t="s">
        <v>676</v>
      </c>
      <c r="H330" t="s">
        <v>677</v>
      </c>
      <c r="I330" t="s">
        <v>678</v>
      </c>
      <c r="J330" t="s">
        <v>679</v>
      </c>
      <c r="K330" t="s">
        <v>680</v>
      </c>
      <c r="L330" t="s">
        <v>681</v>
      </c>
      <c r="M330" t="s">
        <v>682</v>
      </c>
      <c r="N330" t="s">
        <v>683</v>
      </c>
      <c r="O330" t="s">
        <v>684</v>
      </c>
      <c r="P330" t="s">
        <v>685</v>
      </c>
    </row>
    <row r="331" spans="2:16" ht="15">
      <c r="B331" s="7"/>
      <c r="C331" t="s">
        <v>686</v>
      </c>
      <c r="D331" t="s">
        <v>1307</v>
      </c>
      <c r="E331" t="s">
        <v>688</v>
      </c>
      <c r="F331" t="s">
        <v>688</v>
      </c>
      <c r="G331" t="s">
        <v>688</v>
      </c>
      <c r="H331" t="s">
        <v>1308</v>
      </c>
      <c r="I331" t="s">
        <v>688</v>
      </c>
      <c r="J331" t="s">
        <v>688</v>
      </c>
      <c r="K331" t="s">
        <v>688</v>
      </c>
      <c r="L331" t="s">
        <v>688</v>
      </c>
      <c r="M331" t="s">
        <v>688</v>
      </c>
      <c r="N331" t="s">
        <v>688</v>
      </c>
      <c r="O331" s="4">
        <v>1.03</v>
      </c>
      <c r="P331" t="s">
        <v>688</v>
      </c>
    </row>
    <row r="332" spans="2:16" ht="15">
      <c r="B332" s="1">
        <v>165</v>
      </c>
      <c r="C332" t="str">
        <f ca="1">IFERROR(__xludf.DUMMYFUNCTION(TRANSPOSE(ImportHTML("http://spending.data.al/sq/moneypower/view/id/165", "table", 0))),"*Kategoria*")</f>
        <v>*Kategoria*</v>
      </c>
      <c r="D332" t="s">
        <v>673</v>
      </c>
      <c r="E332" t="s">
        <v>674</v>
      </c>
      <c r="F332" t="s">
        <v>675</v>
      </c>
      <c r="G332" t="s">
        <v>676</v>
      </c>
      <c r="H332" t="s">
        <v>677</v>
      </c>
      <c r="I332" t="s">
        <v>678</v>
      </c>
      <c r="J332" t="s">
        <v>679</v>
      </c>
      <c r="K332" t="s">
        <v>680</v>
      </c>
      <c r="L332" t="s">
        <v>681</v>
      </c>
      <c r="M332" t="s">
        <v>682</v>
      </c>
      <c r="N332" t="s">
        <v>683</v>
      </c>
      <c r="O332" t="s">
        <v>684</v>
      </c>
      <c r="P332" t="s">
        <v>685</v>
      </c>
    </row>
    <row r="333" spans="2:16" ht="15">
      <c r="B333" s="7"/>
      <c r="C333" t="s">
        <v>686</v>
      </c>
      <c r="D333" t="s">
        <v>1309</v>
      </c>
      <c r="E333" t="s">
        <v>688</v>
      </c>
      <c r="F333" t="s">
        <v>688</v>
      </c>
      <c r="G333" t="s">
        <v>688</v>
      </c>
      <c r="H333" t="s">
        <v>688</v>
      </c>
      <c r="I333" t="s">
        <v>688</v>
      </c>
      <c r="J333" t="s">
        <v>688</v>
      </c>
      <c r="K333" t="s">
        <v>688</v>
      </c>
      <c r="L333" t="s">
        <v>688</v>
      </c>
      <c r="M333" t="s">
        <v>1310</v>
      </c>
      <c r="N333" t="s">
        <v>688</v>
      </c>
      <c r="O333" s="4">
        <v>1</v>
      </c>
      <c r="P333" t="s">
        <v>688</v>
      </c>
    </row>
    <row r="334" spans="2:16" ht="15">
      <c r="B334" s="1">
        <v>166</v>
      </c>
      <c r="C334" t="str">
        <f ca="1">IFERROR(__xludf.DUMMYFUNCTION(TRANSPOSE(ImportHTML("http://spending.data.al/sq/moneypower/view/id/166", "table", 0))),"*Kategoria*")</f>
        <v>*Kategoria*</v>
      </c>
      <c r="D334" t="s">
        <v>673</v>
      </c>
      <c r="E334" t="s">
        <v>674</v>
      </c>
      <c r="F334" t="s">
        <v>675</v>
      </c>
      <c r="G334" t="s">
        <v>676</v>
      </c>
      <c r="H334" t="s">
        <v>677</v>
      </c>
      <c r="I334" t="s">
        <v>678</v>
      </c>
      <c r="J334" t="s">
        <v>679</v>
      </c>
      <c r="K334" t="s">
        <v>680</v>
      </c>
      <c r="L334" t="s">
        <v>681</v>
      </c>
      <c r="M334" t="s">
        <v>682</v>
      </c>
      <c r="N334" t="s">
        <v>683</v>
      </c>
      <c r="O334" t="s">
        <v>684</v>
      </c>
      <c r="P334" t="s">
        <v>685</v>
      </c>
    </row>
    <row r="335" spans="2:16" ht="15">
      <c r="B335" s="7"/>
      <c r="C335" t="s">
        <v>686</v>
      </c>
      <c r="D335" t="s">
        <v>1311</v>
      </c>
      <c r="E335" t="s">
        <v>688</v>
      </c>
      <c r="F335" t="s">
        <v>688</v>
      </c>
      <c r="G335" t="s">
        <v>688</v>
      </c>
      <c r="H335" t="s">
        <v>688</v>
      </c>
      <c r="I335" t="s">
        <v>688</v>
      </c>
      <c r="J335" t="s">
        <v>688</v>
      </c>
      <c r="K335" t="s">
        <v>688</v>
      </c>
      <c r="L335" t="s">
        <v>688</v>
      </c>
      <c r="M335" t="s">
        <v>1312</v>
      </c>
      <c r="N335" t="s">
        <v>688</v>
      </c>
      <c r="O335" s="4">
        <v>1.36</v>
      </c>
      <c r="P335" t="s">
        <v>1313</v>
      </c>
    </row>
    <row r="336" spans="2:16" ht="15">
      <c r="B336" s="1">
        <v>167</v>
      </c>
      <c r="C336" t="str">
        <f ca="1">IFERROR(__xludf.DUMMYFUNCTION(TRANSPOSE(ImportHTML("http://spending.data.al/sq/moneypower/view/id/167", "table", 0))),"*Kategoria*")</f>
        <v>*Kategoria*</v>
      </c>
      <c r="D336" t="s">
        <v>673</v>
      </c>
      <c r="E336" t="s">
        <v>674</v>
      </c>
      <c r="F336" t="s">
        <v>675</v>
      </c>
      <c r="G336" t="s">
        <v>676</v>
      </c>
      <c r="H336" t="s">
        <v>677</v>
      </c>
      <c r="I336" t="s">
        <v>678</v>
      </c>
      <c r="J336" t="s">
        <v>679</v>
      </c>
      <c r="K336" t="s">
        <v>680</v>
      </c>
      <c r="L336" t="s">
        <v>681</v>
      </c>
      <c r="M336" t="s">
        <v>682</v>
      </c>
      <c r="N336" t="s">
        <v>683</v>
      </c>
      <c r="O336" t="s">
        <v>684</v>
      </c>
      <c r="P336" t="s">
        <v>685</v>
      </c>
    </row>
    <row r="337" spans="2:16" ht="15">
      <c r="B337" s="7"/>
      <c r="C337" t="s">
        <v>686</v>
      </c>
      <c r="D337" t="s">
        <v>1314</v>
      </c>
      <c r="E337" t="s">
        <v>688</v>
      </c>
      <c r="F337" t="s">
        <v>688</v>
      </c>
      <c r="G337" t="s">
        <v>688</v>
      </c>
      <c r="H337" t="s">
        <v>688</v>
      </c>
      <c r="I337" t="s">
        <v>688</v>
      </c>
      <c r="J337" t="s">
        <v>688</v>
      </c>
      <c r="K337" t="s">
        <v>688</v>
      </c>
      <c r="L337" t="s">
        <v>688</v>
      </c>
      <c r="M337" t="s">
        <v>1315</v>
      </c>
      <c r="N337" t="s">
        <v>688</v>
      </c>
      <c r="O337" s="4">
        <v>1</v>
      </c>
      <c r="P337" t="s">
        <v>688</v>
      </c>
    </row>
    <row r="338" spans="2:16" ht="15">
      <c r="B338" s="1">
        <v>168</v>
      </c>
      <c r="C338" t="str">
        <f ca="1">IFERROR(__xludf.DUMMYFUNCTION(TRANSPOSE(ImportHTML("http://spending.data.al/sq/moneypower/view/id/168", "table", 0))),"*Kategoria*")</f>
        <v>*Kategoria*</v>
      </c>
      <c r="D338" t="s">
        <v>673</v>
      </c>
      <c r="E338" t="s">
        <v>674</v>
      </c>
      <c r="F338" t="s">
        <v>675</v>
      </c>
      <c r="G338" t="s">
        <v>676</v>
      </c>
      <c r="H338" t="s">
        <v>677</v>
      </c>
      <c r="I338" t="s">
        <v>678</v>
      </c>
      <c r="J338" t="s">
        <v>679</v>
      </c>
      <c r="K338" t="s">
        <v>680</v>
      </c>
      <c r="L338" t="s">
        <v>681</v>
      </c>
      <c r="M338" t="s">
        <v>682</v>
      </c>
      <c r="N338" t="s">
        <v>683</v>
      </c>
      <c r="O338" t="s">
        <v>684</v>
      </c>
      <c r="P338" t="s">
        <v>685</v>
      </c>
    </row>
    <row r="339" spans="2:16" ht="15">
      <c r="B339" s="7"/>
      <c r="C339" t="s">
        <v>686</v>
      </c>
      <c r="D339" t="s">
        <v>1316</v>
      </c>
      <c r="E339" t="s">
        <v>688</v>
      </c>
      <c r="F339" t="s">
        <v>688</v>
      </c>
      <c r="G339" t="s">
        <v>688</v>
      </c>
      <c r="H339" t="s">
        <v>688</v>
      </c>
      <c r="I339" t="s">
        <v>688</v>
      </c>
      <c r="J339" t="s">
        <v>688</v>
      </c>
      <c r="K339" t="s">
        <v>688</v>
      </c>
      <c r="L339" t="s">
        <v>688</v>
      </c>
      <c r="M339" t="s">
        <v>1317</v>
      </c>
      <c r="N339" t="s">
        <v>688</v>
      </c>
      <c r="O339" s="4">
        <v>1</v>
      </c>
      <c r="P339" t="s">
        <v>1318</v>
      </c>
    </row>
    <row r="340" spans="2:16" ht="15">
      <c r="B340" s="1">
        <v>169</v>
      </c>
      <c r="C340" t="str">
        <f ca="1">IFERROR(__xludf.DUMMYFUNCTION(TRANSPOSE(ImportHTML("http://spending.data.al/sq/moneypower/view/id/169", "table", 0))),"*Kategoria*")</f>
        <v>*Kategoria*</v>
      </c>
      <c r="D340" t="s">
        <v>673</v>
      </c>
      <c r="E340" t="s">
        <v>674</v>
      </c>
      <c r="F340" t="s">
        <v>675</v>
      </c>
      <c r="G340" t="s">
        <v>676</v>
      </c>
      <c r="H340" t="s">
        <v>677</v>
      </c>
      <c r="I340" t="s">
        <v>678</v>
      </c>
      <c r="J340" t="s">
        <v>679</v>
      </c>
      <c r="K340" t="s">
        <v>680</v>
      </c>
      <c r="L340" t="s">
        <v>681</v>
      </c>
      <c r="M340" t="s">
        <v>682</v>
      </c>
      <c r="N340" t="s">
        <v>683</v>
      </c>
      <c r="O340" t="s">
        <v>684</v>
      </c>
      <c r="P340" t="s">
        <v>685</v>
      </c>
    </row>
    <row r="341" spans="2:16" ht="15">
      <c r="B341" s="7"/>
      <c r="C341" t="s">
        <v>686</v>
      </c>
      <c r="D341" t="s">
        <v>1319</v>
      </c>
      <c r="E341" t="s">
        <v>688</v>
      </c>
      <c r="F341" t="s">
        <v>688</v>
      </c>
      <c r="G341" t="s">
        <v>688</v>
      </c>
      <c r="H341" t="s">
        <v>688</v>
      </c>
      <c r="I341" t="s">
        <v>688</v>
      </c>
      <c r="J341" t="s">
        <v>688</v>
      </c>
      <c r="K341" t="s">
        <v>688</v>
      </c>
      <c r="L341" t="s">
        <v>688</v>
      </c>
      <c r="M341" t="s">
        <v>1320</v>
      </c>
      <c r="N341" t="s">
        <v>688</v>
      </c>
      <c r="O341" s="4">
        <v>1</v>
      </c>
      <c r="P341" t="s">
        <v>688</v>
      </c>
    </row>
    <row r="342" spans="2:16" ht="15">
      <c r="B342" s="1">
        <v>170</v>
      </c>
      <c r="C342" t="str">
        <f ca="1">IFERROR(__xludf.DUMMYFUNCTION(TRANSPOSE(ImportHTML("http://spending.data.al/sq/moneypower/view/id/170", "table", 0))),"*Kategoria*")</f>
        <v>*Kategoria*</v>
      </c>
      <c r="D342" t="s">
        <v>673</v>
      </c>
      <c r="E342" t="s">
        <v>674</v>
      </c>
      <c r="F342" t="s">
        <v>675</v>
      </c>
      <c r="G342" t="s">
        <v>676</v>
      </c>
      <c r="H342" t="s">
        <v>677</v>
      </c>
      <c r="I342" t="s">
        <v>678</v>
      </c>
      <c r="J342" t="s">
        <v>679</v>
      </c>
      <c r="K342" t="s">
        <v>680</v>
      </c>
      <c r="L342" t="s">
        <v>681</v>
      </c>
      <c r="M342" t="s">
        <v>682</v>
      </c>
      <c r="N342" t="s">
        <v>683</v>
      </c>
      <c r="O342" t="s">
        <v>684</v>
      </c>
      <c r="P342" t="s">
        <v>685</v>
      </c>
    </row>
    <row r="343" spans="2:16" ht="15">
      <c r="B343" s="7"/>
      <c r="C343" t="s">
        <v>686</v>
      </c>
      <c r="D343" t="s">
        <v>1321</v>
      </c>
      <c r="E343" t="s">
        <v>688</v>
      </c>
      <c r="F343" t="s">
        <v>688</v>
      </c>
      <c r="G343" t="s">
        <v>688</v>
      </c>
      <c r="H343" t="s">
        <v>688</v>
      </c>
      <c r="I343" t="s">
        <v>688</v>
      </c>
      <c r="J343" t="s">
        <v>688</v>
      </c>
      <c r="K343" t="s">
        <v>688</v>
      </c>
      <c r="L343" t="s">
        <v>688</v>
      </c>
      <c r="M343" t="s">
        <v>1322</v>
      </c>
      <c r="N343" t="s">
        <v>688</v>
      </c>
      <c r="O343" s="4">
        <v>1</v>
      </c>
      <c r="P343" t="s">
        <v>707</v>
      </c>
    </row>
    <row r="344" spans="2:16" ht="15">
      <c r="B344" s="1">
        <v>171</v>
      </c>
      <c r="C344" t="str">
        <f ca="1">IFERROR(__xludf.DUMMYFUNCTION(TRANSPOSE(ImportHTML("http://spending.data.al/sq/moneypower/view/id/171", "table", 0))),"*Kategoria*")</f>
        <v>*Kategoria*</v>
      </c>
      <c r="D344" t="s">
        <v>673</v>
      </c>
      <c r="E344" t="s">
        <v>674</v>
      </c>
      <c r="F344" t="s">
        <v>675</v>
      </c>
      <c r="G344" t="s">
        <v>676</v>
      </c>
      <c r="H344" t="s">
        <v>677</v>
      </c>
      <c r="I344" t="s">
        <v>678</v>
      </c>
      <c r="J344" t="s">
        <v>679</v>
      </c>
      <c r="K344" t="s">
        <v>680</v>
      </c>
      <c r="L344" t="s">
        <v>681</v>
      </c>
      <c r="M344" t="s">
        <v>682</v>
      </c>
      <c r="N344" t="s">
        <v>683</v>
      </c>
      <c r="O344" t="s">
        <v>684</v>
      </c>
      <c r="P344" t="s">
        <v>685</v>
      </c>
    </row>
    <row r="345" spans="2:16" ht="15">
      <c r="B345" s="7"/>
      <c r="C345" t="s">
        <v>686</v>
      </c>
      <c r="D345" t="s">
        <v>1323</v>
      </c>
      <c r="E345" t="s">
        <v>1324</v>
      </c>
      <c r="F345" t="s">
        <v>688</v>
      </c>
      <c r="G345" t="s">
        <v>688</v>
      </c>
      <c r="H345" t="s">
        <v>1325</v>
      </c>
      <c r="I345" t="s">
        <v>688</v>
      </c>
      <c r="J345" t="s">
        <v>688</v>
      </c>
      <c r="K345" t="s">
        <v>688</v>
      </c>
      <c r="L345" t="s">
        <v>688</v>
      </c>
      <c r="M345" t="s">
        <v>1326</v>
      </c>
      <c r="N345" t="s">
        <v>688</v>
      </c>
      <c r="O345" s="4">
        <v>1.1499999999999999</v>
      </c>
      <c r="P345" t="s">
        <v>1327</v>
      </c>
    </row>
    <row r="346" spans="2:16" ht="15">
      <c r="B346" s="1">
        <v>172</v>
      </c>
      <c r="C346" t="str">
        <f ca="1">IFERROR(__xludf.DUMMYFUNCTION(TRANSPOSE(ImportHTML("http://spending.data.al/sq/moneypower/view/id/172", "table", 0))),"*Kategoria*")</f>
        <v>*Kategoria*</v>
      </c>
      <c r="D346" t="s">
        <v>673</v>
      </c>
      <c r="E346" t="s">
        <v>674</v>
      </c>
      <c r="F346" t="s">
        <v>675</v>
      </c>
      <c r="G346" t="s">
        <v>676</v>
      </c>
      <c r="H346" t="s">
        <v>677</v>
      </c>
      <c r="I346" t="s">
        <v>678</v>
      </c>
      <c r="J346" t="s">
        <v>679</v>
      </c>
      <c r="K346" t="s">
        <v>680</v>
      </c>
      <c r="L346" t="s">
        <v>681</v>
      </c>
      <c r="M346" t="s">
        <v>682</v>
      </c>
      <c r="N346" t="s">
        <v>683</v>
      </c>
      <c r="O346" t="s">
        <v>684</v>
      </c>
      <c r="P346" t="s">
        <v>685</v>
      </c>
    </row>
    <row r="347" spans="2:16" ht="15">
      <c r="B347" s="7"/>
      <c r="C347" t="s">
        <v>686</v>
      </c>
      <c r="D347" t="s">
        <v>1328</v>
      </c>
      <c r="E347" t="s">
        <v>688</v>
      </c>
      <c r="F347" t="s">
        <v>688</v>
      </c>
      <c r="G347" t="s">
        <v>688</v>
      </c>
      <c r="H347" t="s">
        <v>688</v>
      </c>
      <c r="I347" t="s">
        <v>688</v>
      </c>
      <c r="J347" t="s">
        <v>688</v>
      </c>
      <c r="K347" t="s">
        <v>688</v>
      </c>
      <c r="L347" t="s">
        <v>688</v>
      </c>
      <c r="M347" t="s">
        <v>1329</v>
      </c>
      <c r="N347" t="s">
        <v>688</v>
      </c>
      <c r="O347" s="4">
        <v>1.07</v>
      </c>
      <c r="P347" t="s">
        <v>688</v>
      </c>
    </row>
    <row r="348" spans="2:16" ht="15">
      <c r="B348" s="1">
        <v>173</v>
      </c>
      <c r="C348" t="str">
        <f ca="1">IFERROR(__xludf.DUMMYFUNCTION(TRANSPOSE(ImportHTML("http://spending.data.al/sq/moneypower/view/id/173", "table", 0))),"*Kategoria*")</f>
        <v>*Kategoria*</v>
      </c>
      <c r="D348" t="s">
        <v>673</v>
      </c>
      <c r="E348" t="s">
        <v>674</v>
      </c>
      <c r="F348" t="s">
        <v>675</v>
      </c>
      <c r="G348" t="s">
        <v>676</v>
      </c>
      <c r="H348" t="s">
        <v>677</v>
      </c>
      <c r="I348" t="s">
        <v>678</v>
      </c>
      <c r="J348" t="s">
        <v>679</v>
      </c>
      <c r="K348" t="s">
        <v>680</v>
      </c>
      <c r="L348" t="s">
        <v>681</v>
      </c>
      <c r="M348" t="s">
        <v>682</v>
      </c>
      <c r="N348" t="s">
        <v>683</v>
      </c>
      <c r="O348" t="s">
        <v>684</v>
      </c>
      <c r="P348" t="s">
        <v>685</v>
      </c>
    </row>
    <row r="349" spans="2:16" ht="15">
      <c r="B349" s="7"/>
      <c r="C349" t="s">
        <v>686</v>
      </c>
      <c r="D349" t="s">
        <v>1330</v>
      </c>
      <c r="E349" t="s">
        <v>688</v>
      </c>
      <c r="F349" t="s">
        <v>688</v>
      </c>
      <c r="G349" t="s">
        <v>688</v>
      </c>
      <c r="H349" t="s">
        <v>688</v>
      </c>
      <c r="I349" t="s">
        <v>688</v>
      </c>
      <c r="J349" t="s">
        <v>688</v>
      </c>
      <c r="K349" t="s">
        <v>688</v>
      </c>
      <c r="L349" t="s">
        <v>688</v>
      </c>
      <c r="M349" t="s">
        <v>1331</v>
      </c>
      <c r="N349" t="s">
        <v>688</v>
      </c>
      <c r="O349" s="4">
        <v>1</v>
      </c>
      <c r="P349" t="s">
        <v>1332</v>
      </c>
    </row>
    <row r="350" spans="2:16" ht="15">
      <c r="B350" s="1">
        <v>174</v>
      </c>
      <c r="C350" t="str">
        <f ca="1">IFERROR(__xludf.DUMMYFUNCTION(TRANSPOSE(ImportHTML("http://spending.data.al/sq/moneypower/view/id/174", "table", 0))),"*Kategoria*")</f>
        <v>*Kategoria*</v>
      </c>
      <c r="D350" t="s">
        <v>673</v>
      </c>
      <c r="E350" t="s">
        <v>674</v>
      </c>
      <c r="F350" t="s">
        <v>675</v>
      </c>
      <c r="G350" t="s">
        <v>676</v>
      </c>
      <c r="H350" t="s">
        <v>677</v>
      </c>
      <c r="I350" t="s">
        <v>678</v>
      </c>
      <c r="J350" t="s">
        <v>679</v>
      </c>
      <c r="K350" t="s">
        <v>680</v>
      </c>
      <c r="L350" t="s">
        <v>681</v>
      </c>
      <c r="M350" t="s">
        <v>682</v>
      </c>
      <c r="N350" t="s">
        <v>683</v>
      </c>
      <c r="O350" t="s">
        <v>684</v>
      </c>
      <c r="P350" t="s">
        <v>685</v>
      </c>
    </row>
    <row r="351" spans="2:16" ht="15">
      <c r="B351" s="7"/>
      <c r="C351" t="s">
        <v>686</v>
      </c>
      <c r="D351" t="s">
        <v>1333</v>
      </c>
      <c r="E351" t="s">
        <v>688</v>
      </c>
      <c r="F351" t="s">
        <v>688</v>
      </c>
      <c r="G351" t="s">
        <v>688</v>
      </c>
      <c r="H351" t="s">
        <v>688</v>
      </c>
      <c r="I351" t="s">
        <v>688</v>
      </c>
      <c r="J351" t="s">
        <v>688</v>
      </c>
      <c r="K351" t="s">
        <v>688</v>
      </c>
      <c r="L351" t="s">
        <v>688</v>
      </c>
      <c r="M351" t="s">
        <v>1334</v>
      </c>
      <c r="N351" t="s">
        <v>688</v>
      </c>
      <c r="O351" s="4">
        <v>1</v>
      </c>
      <c r="P351" t="s">
        <v>1335</v>
      </c>
    </row>
    <row r="352" spans="2:16" ht="15">
      <c r="B352" s="1">
        <v>175</v>
      </c>
      <c r="C352" t="str">
        <f ca="1">IFERROR(__xludf.DUMMYFUNCTION(TRANSPOSE(ImportHTML("http://spending.data.al/sq/moneypower/view/id/175", "table", 0))),"*Kategoria*")</f>
        <v>*Kategoria*</v>
      </c>
      <c r="D352" t="s">
        <v>673</v>
      </c>
      <c r="E352" t="s">
        <v>674</v>
      </c>
      <c r="F352" t="s">
        <v>675</v>
      </c>
      <c r="G352" t="s">
        <v>676</v>
      </c>
      <c r="H352" t="s">
        <v>677</v>
      </c>
      <c r="I352" t="s">
        <v>678</v>
      </c>
      <c r="J352" t="s">
        <v>679</v>
      </c>
      <c r="K352" t="s">
        <v>680</v>
      </c>
      <c r="L352" t="s">
        <v>681</v>
      </c>
      <c r="M352" t="s">
        <v>682</v>
      </c>
      <c r="N352" t="s">
        <v>683</v>
      </c>
      <c r="O352" t="s">
        <v>684</v>
      </c>
      <c r="P352" t="s">
        <v>685</v>
      </c>
    </row>
    <row r="353" spans="2:16" ht="15">
      <c r="B353" s="7"/>
      <c r="C353" t="s">
        <v>686</v>
      </c>
      <c r="D353" t="s">
        <v>1336</v>
      </c>
      <c r="E353" t="s">
        <v>688</v>
      </c>
      <c r="F353" t="s">
        <v>688</v>
      </c>
      <c r="G353" t="s">
        <v>688</v>
      </c>
      <c r="H353" t="s">
        <v>688</v>
      </c>
      <c r="I353" t="s">
        <v>688</v>
      </c>
      <c r="J353" t="s">
        <v>688</v>
      </c>
      <c r="K353" t="s">
        <v>688</v>
      </c>
      <c r="L353" t="s">
        <v>688</v>
      </c>
      <c r="M353" t="s">
        <v>1337</v>
      </c>
      <c r="N353" t="s">
        <v>688</v>
      </c>
      <c r="O353" s="4">
        <v>1.25</v>
      </c>
      <c r="P353" t="s">
        <v>1338</v>
      </c>
    </row>
    <row r="354" spans="2:16" ht="15">
      <c r="B354" s="1">
        <v>176</v>
      </c>
      <c r="C354" t="str">
        <f ca="1">IFERROR(__xludf.DUMMYFUNCTION(TRANSPOSE(ImportHTML("http://spending.data.al/sq/moneypower/view/id/176", "table", 0))),"*Kategoria*")</f>
        <v>*Kategoria*</v>
      </c>
      <c r="D354" t="s">
        <v>673</v>
      </c>
      <c r="E354" t="s">
        <v>674</v>
      </c>
      <c r="F354" t="s">
        <v>675</v>
      </c>
      <c r="G354" t="s">
        <v>676</v>
      </c>
      <c r="H354" t="s">
        <v>677</v>
      </c>
      <c r="I354" t="s">
        <v>678</v>
      </c>
      <c r="J354" t="s">
        <v>679</v>
      </c>
      <c r="K354" t="s">
        <v>680</v>
      </c>
      <c r="L354" t="s">
        <v>681</v>
      </c>
      <c r="M354" t="s">
        <v>682</v>
      </c>
      <c r="N354" t="s">
        <v>683</v>
      </c>
      <c r="O354" t="s">
        <v>684</v>
      </c>
      <c r="P354" t="s">
        <v>685</v>
      </c>
    </row>
    <row r="355" spans="2:16" ht="15">
      <c r="B355" s="7"/>
      <c r="C355" t="s">
        <v>686</v>
      </c>
      <c r="D355" t="s">
        <v>688</v>
      </c>
      <c r="E355" t="s">
        <v>688</v>
      </c>
      <c r="F355" t="s">
        <v>688</v>
      </c>
      <c r="G355" t="s">
        <v>688</v>
      </c>
      <c r="H355" t="s">
        <v>688</v>
      </c>
      <c r="I355" t="s">
        <v>688</v>
      </c>
      <c r="J355" t="s">
        <v>688</v>
      </c>
      <c r="K355" t="s">
        <v>688</v>
      </c>
      <c r="L355" t="s">
        <v>688</v>
      </c>
      <c r="M355" t="s">
        <v>688</v>
      </c>
      <c r="N355" t="s">
        <v>688</v>
      </c>
      <c r="O355" t="s">
        <v>707</v>
      </c>
      <c r="P355" t="s">
        <v>1339</v>
      </c>
    </row>
    <row r="356" spans="2:16" ht="15">
      <c r="B356" s="1">
        <v>177</v>
      </c>
      <c r="C356" t="str">
        <f ca="1">IFERROR(__xludf.DUMMYFUNCTION(TRANSPOSE(ImportHTML("http://spending.data.al/sq/moneypower/view/id/177", "table", 0))),"*Kategoria*")</f>
        <v>*Kategoria*</v>
      </c>
      <c r="D356" t="s">
        <v>673</v>
      </c>
      <c r="E356" t="s">
        <v>674</v>
      </c>
      <c r="F356" t="s">
        <v>675</v>
      </c>
      <c r="G356" t="s">
        <v>676</v>
      </c>
      <c r="H356" t="s">
        <v>677</v>
      </c>
      <c r="I356" t="s">
        <v>678</v>
      </c>
      <c r="J356" t="s">
        <v>679</v>
      </c>
      <c r="K356" t="s">
        <v>680</v>
      </c>
      <c r="L356" t="s">
        <v>681</v>
      </c>
      <c r="M356" t="s">
        <v>682</v>
      </c>
      <c r="N356" t="s">
        <v>683</v>
      </c>
      <c r="O356" t="s">
        <v>684</v>
      </c>
      <c r="P356" t="s">
        <v>685</v>
      </c>
    </row>
    <row r="357" spans="2:16" ht="15">
      <c r="B357" s="7"/>
      <c r="C357" t="s">
        <v>686</v>
      </c>
      <c r="D357" t="s">
        <v>1340</v>
      </c>
      <c r="E357" t="s">
        <v>688</v>
      </c>
      <c r="F357" t="s">
        <v>688</v>
      </c>
      <c r="G357" t="s">
        <v>688</v>
      </c>
      <c r="H357" t="s">
        <v>688</v>
      </c>
      <c r="I357" t="s">
        <v>688</v>
      </c>
      <c r="J357" t="s">
        <v>688</v>
      </c>
      <c r="K357" t="s">
        <v>1341</v>
      </c>
      <c r="L357" t="s">
        <v>688</v>
      </c>
      <c r="M357" t="s">
        <v>688</v>
      </c>
      <c r="N357" t="s">
        <v>688</v>
      </c>
      <c r="O357" s="4">
        <v>1.03</v>
      </c>
      <c r="P357" t="s">
        <v>1342</v>
      </c>
    </row>
    <row r="358" spans="2:16" ht="15">
      <c r="B358" s="1">
        <v>178</v>
      </c>
      <c r="C358" t="str">
        <f ca="1">IFERROR(__xludf.DUMMYFUNCTION(TRANSPOSE(ImportHTML("http://spending.data.al/sq/moneypower/view/id/178", "table", 0))),"*Kategoria*")</f>
        <v>*Kategoria*</v>
      </c>
      <c r="D358" t="s">
        <v>673</v>
      </c>
      <c r="E358" t="s">
        <v>674</v>
      </c>
      <c r="F358" t="s">
        <v>675</v>
      </c>
      <c r="G358" t="s">
        <v>676</v>
      </c>
      <c r="H358" t="s">
        <v>677</v>
      </c>
      <c r="I358" t="s">
        <v>678</v>
      </c>
      <c r="J358" t="s">
        <v>679</v>
      </c>
      <c r="K358" t="s">
        <v>680</v>
      </c>
      <c r="L358" t="s">
        <v>681</v>
      </c>
      <c r="M358" t="s">
        <v>682</v>
      </c>
      <c r="N358" t="s">
        <v>683</v>
      </c>
      <c r="O358" t="s">
        <v>684</v>
      </c>
      <c r="P358" t="s">
        <v>685</v>
      </c>
    </row>
    <row r="359" spans="2:16" ht="15">
      <c r="B359" s="7"/>
      <c r="C359" t="s">
        <v>686</v>
      </c>
      <c r="D359" t="s">
        <v>1343</v>
      </c>
      <c r="E359" t="s">
        <v>688</v>
      </c>
      <c r="F359" t="s">
        <v>688</v>
      </c>
      <c r="G359" t="s">
        <v>688</v>
      </c>
      <c r="H359" t="s">
        <v>1344</v>
      </c>
      <c r="I359" t="s">
        <v>688</v>
      </c>
      <c r="J359" t="s">
        <v>688</v>
      </c>
      <c r="K359" t="s">
        <v>688</v>
      </c>
      <c r="L359" t="s">
        <v>688</v>
      </c>
      <c r="M359" t="s">
        <v>1345</v>
      </c>
      <c r="N359" t="s">
        <v>688</v>
      </c>
      <c r="O359" s="4">
        <v>1.34</v>
      </c>
      <c r="P359" t="s">
        <v>688</v>
      </c>
    </row>
    <row r="360" spans="2:16" ht="15">
      <c r="B360" s="1">
        <v>179</v>
      </c>
      <c r="C360" t="str">
        <f ca="1">IFERROR(__xludf.DUMMYFUNCTION(TRANSPOSE(ImportHTML("http://spending.data.al/sq/moneypower/view/id/179", "table", 0))),"*Kategoria*")</f>
        <v>*Kategoria*</v>
      </c>
      <c r="D360" t="s">
        <v>673</v>
      </c>
      <c r="E360" t="s">
        <v>674</v>
      </c>
      <c r="F360" t="s">
        <v>675</v>
      </c>
      <c r="G360" t="s">
        <v>676</v>
      </c>
      <c r="H360" t="s">
        <v>677</v>
      </c>
      <c r="I360" t="s">
        <v>678</v>
      </c>
      <c r="J360" t="s">
        <v>679</v>
      </c>
      <c r="K360" t="s">
        <v>680</v>
      </c>
      <c r="L360" t="s">
        <v>681</v>
      </c>
      <c r="M360" t="s">
        <v>682</v>
      </c>
      <c r="N360" t="s">
        <v>683</v>
      </c>
      <c r="O360" t="s">
        <v>684</v>
      </c>
      <c r="P360" t="s">
        <v>685</v>
      </c>
    </row>
    <row r="361" spans="2:16" ht="15">
      <c r="B361" s="7"/>
      <c r="C361" t="s">
        <v>686</v>
      </c>
      <c r="D361" t="s">
        <v>1346</v>
      </c>
      <c r="E361" t="s">
        <v>688</v>
      </c>
      <c r="F361" t="s">
        <v>688</v>
      </c>
      <c r="G361" t="s">
        <v>688</v>
      </c>
      <c r="H361" t="s">
        <v>1347</v>
      </c>
      <c r="I361" t="s">
        <v>688</v>
      </c>
      <c r="J361" t="s">
        <v>688</v>
      </c>
      <c r="K361" t="s">
        <v>688</v>
      </c>
      <c r="L361" t="s">
        <v>688</v>
      </c>
      <c r="M361" t="s">
        <v>688</v>
      </c>
      <c r="N361" t="s">
        <v>688</v>
      </c>
      <c r="O361" s="4">
        <v>1.27</v>
      </c>
      <c r="P361" t="s">
        <v>688</v>
      </c>
    </row>
    <row r="362" spans="2:16" ht="15">
      <c r="B362" s="1">
        <v>180</v>
      </c>
      <c r="C362" t="str">
        <f ca="1">IFERROR(__xludf.DUMMYFUNCTION(TRANSPOSE(ImportHTML("http://spending.data.al/sq/moneypower/view/id/180", "table", 0))),"*Kategoria*")</f>
        <v>*Kategoria*</v>
      </c>
      <c r="D362" t="s">
        <v>673</v>
      </c>
      <c r="E362" t="s">
        <v>674</v>
      </c>
      <c r="F362" t="s">
        <v>675</v>
      </c>
      <c r="G362" t="s">
        <v>676</v>
      </c>
      <c r="H362" t="s">
        <v>677</v>
      </c>
      <c r="I362" t="s">
        <v>678</v>
      </c>
      <c r="J362" t="s">
        <v>679</v>
      </c>
      <c r="K362" t="s">
        <v>680</v>
      </c>
      <c r="L362" t="s">
        <v>681</v>
      </c>
      <c r="M362" t="s">
        <v>682</v>
      </c>
      <c r="N362" t="s">
        <v>683</v>
      </c>
      <c r="O362" t="s">
        <v>684</v>
      </c>
      <c r="P362" t="s">
        <v>685</v>
      </c>
    </row>
    <row r="363" spans="2:16" ht="15">
      <c r="B363" s="7"/>
      <c r="C363" t="s">
        <v>686</v>
      </c>
      <c r="D363" t="s">
        <v>1348</v>
      </c>
      <c r="E363" t="s">
        <v>688</v>
      </c>
      <c r="F363" t="s">
        <v>688</v>
      </c>
      <c r="G363" t="s">
        <v>688</v>
      </c>
      <c r="H363" t="s">
        <v>688</v>
      </c>
      <c r="I363" t="s">
        <v>688</v>
      </c>
      <c r="J363" t="s">
        <v>688</v>
      </c>
      <c r="K363" t="s">
        <v>1349</v>
      </c>
      <c r="L363" t="s">
        <v>688</v>
      </c>
      <c r="M363" t="s">
        <v>688</v>
      </c>
      <c r="N363" t="s">
        <v>688</v>
      </c>
      <c r="O363" s="4">
        <v>1.03</v>
      </c>
      <c r="P363" t="s">
        <v>688</v>
      </c>
    </row>
    <row r="364" spans="2:16" ht="15">
      <c r="B364" s="1">
        <v>181</v>
      </c>
      <c r="C364" t="str">
        <f ca="1">IFERROR(__xludf.DUMMYFUNCTION(TRANSPOSE(ImportHTML("http://spending.data.al/sq/moneypower/view/id/181", "table", 0))),"*Kategoria*")</f>
        <v>*Kategoria*</v>
      </c>
      <c r="D364" t="s">
        <v>673</v>
      </c>
      <c r="E364" t="s">
        <v>674</v>
      </c>
      <c r="F364" t="s">
        <v>675</v>
      </c>
      <c r="G364" t="s">
        <v>676</v>
      </c>
      <c r="H364" t="s">
        <v>677</v>
      </c>
      <c r="I364" t="s">
        <v>678</v>
      </c>
      <c r="J364" t="s">
        <v>679</v>
      </c>
      <c r="K364" t="s">
        <v>680</v>
      </c>
      <c r="L364" t="s">
        <v>681</v>
      </c>
      <c r="M364" t="s">
        <v>682</v>
      </c>
      <c r="N364" t="s">
        <v>683</v>
      </c>
      <c r="O364" t="s">
        <v>684</v>
      </c>
      <c r="P364" t="s">
        <v>685</v>
      </c>
    </row>
    <row r="365" spans="2:16" ht="15">
      <c r="B365" s="7"/>
      <c r="C365" t="s">
        <v>686</v>
      </c>
      <c r="D365" t="s">
        <v>1350</v>
      </c>
      <c r="E365" t="s">
        <v>688</v>
      </c>
      <c r="F365" t="s">
        <v>688</v>
      </c>
      <c r="G365" t="s">
        <v>688</v>
      </c>
      <c r="H365" t="s">
        <v>688</v>
      </c>
      <c r="I365" t="s">
        <v>688</v>
      </c>
      <c r="J365" t="s">
        <v>688</v>
      </c>
      <c r="K365" t="s">
        <v>688</v>
      </c>
      <c r="L365" t="s">
        <v>688</v>
      </c>
      <c r="M365" t="s">
        <v>1351</v>
      </c>
      <c r="N365" t="s">
        <v>688</v>
      </c>
      <c r="O365" s="4">
        <v>1</v>
      </c>
      <c r="P365" t="s">
        <v>1352</v>
      </c>
    </row>
    <row r="366" spans="2:16" ht="15">
      <c r="B366" s="1">
        <v>182</v>
      </c>
      <c r="C366" t="str">
        <f ca="1">IFERROR(__xludf.DUMMYFUNCTION(TRANSPOSE(ImportHTML("http://spending.data.al/sq/moneypower/view/id/182", "table", 0))),"*Kategoria*")</f>
        <v>*Kategoria*</v>
      </c>
      <c r="D366" t="s">
        <v>673</v>
      </c>
      <c r="E366" t="s">
        <v>674</v>
      </c>
      <c r="F366" t="s">
        <v>675</v>
      </c>
      <c r="G366" t="s">
        <v>676</v>
      </c>
      <c r="H366" t="s">
        <v>677</v>
      </c>
      <c r="I366" t="s">
        <v>678</v>
      </c>
      <c r="J366" t="s">
        <v>679</v>
      </c>
      <c r="K366" t="s">
        <v>680</v>
      </c>
      <c r="L366" t="s">
        <v>681</v>
      </c>
      <c r="M366" t="s">
        <v>682</v>
      </c>
      <c r="N366" t="s">
        <v>683</v>
      </c>
      <c r="O366" t="s">
        <v>684</v>
      </c>
      <c r="P366" t="s">
        <v>685</v>
      </c>
    </row>
    <row r="367" spans="2:16" ht="15">
      <c r="B367" s="7"/>
      <c r="C367" t="s">
        <v>686</v>
      </c>
      <c r="D367" t="s">
        <v>1353</v>
      </c>
      <c r="E367" t="s">
        <v>688</v>
      </c>
      <c r="F367" t="s">
        <v>688</v>
      </c>
      <c r="G367" t="s">
        <v>688</v>
      </c>
      <c r="H367" t="s">
        <v>1354</v>
      </c>
      <c r="I367" t="s">
        <v>688</v>
      </c>
      <c r="J367" t="s">
        <v>688</v>
      </c>
      <c r="K367" t="s">
        <v>688</v>
      </c>
      <c r="L367" t="s">
        <v>688</v>
      </c>
      <c r="M367" t="s">
        <v>1355</v>
      </c>
      <c r="N367" t="s">
        <v>1356</v>
      </c>
      <c r="O367" s="4">
        <v>1.04</v>
      </c>
      <c r="P367" t="s">
        <v>1357</v>
      </c>
    </row>
    <row r="368" spans="2:16" ht="15">
      <c r="B368" s="1">
        <v>183</v>
      </c>
      <c r="C368" t="str">
        <f ca="1">IFERROR(__xludf.DUMMYFUNCTION(TRANSPOSE(ImportHTML("http://spending.data.al/sq/moneypower/view/id/183", "table", 0))),"*Kategoria*")</f>
        <v>*Kategoria*</v>
      </c>
      <c r="D368" t="s">
        <v>673</v>
      </c>
      <c r="E368" t="s">
        <v>674</v>
      </c>
      <c r="F368" t="s">
        <v>675</v>
      </c>
      <c r="G368" t="s">
        <v>676</v>
      </c>
      <c r="H368" t="s">
        <v>677</v>
      </c>
      <c r="I368" t="s">
        <v>678</v>
      </c>
      <c r="J368" t="s">
        <v>679</v>
      </c>
      <c r="K368" t="s">
        <v>680</v>
      </c>
      <c r="L368" t="s">
        <v>681</v>
      </c>
      <c r="M368" t="s">
        <v>682</v>
      </c>
      <c r="N368" t="s">
        <v>683</v>
      </c>
      <c r="O368" t="s">
        <v>684</v>
      </c>
      <c r="P368" t="s">
        <v>685</v>
      </c>
    </row>
    <row r="369" spans="2:16" ht="15">
      <c r="B369" s="7"/>
      <c r="C369" t="s">
        <v>686</v>
      </c>
      <c r="D369" t="s">
        <v>1358</v>
      </c>
      <c r="E369" t="s">
        <v>688</v>
      </c>
      <c r="F369" t="s">
        <v>688</v>
      </c>
      <c r="G369" t="s">
        <v>688</v>
      </c>
      <c r="H369" t="s">
        <v>688</v>
      </c>
      <c r="I369" t="s">
        <v>688</v>
      </c>
      <c r="J369" t="s">
        <v>688</v>
      </c>
      <c r="K369" t="s">
        <v>688</v>
      </c>
      <c r="L369" t="s">
        <v>688</v>
      </c>
      <c r="M369" t="s">
        <v>1359</v>
      </c>
      <c r="N369" t="s">
        <v>688</v>
      </c>
      <c r="O369" t="s">
        <v>707</v>
      </c>
      <c r="P369" t="s">
        <v>688</v>
      </c>
    </row>
    <row r="370" spans="2:16" ht="15">
      <c r="B370" s="1">
        <v>184</v>
      </c>
      <c r="C370" t="str">
        <f ca="1">IFERROR(__xludf.DUMMYFUNCTION(TRANSPOSE(ImportHTML("http://spending.data.al/sq/moneypower/view/id/184", "table", 0))),"*Kategoria*")</f>
        <v>*Kategoria*</v>
      </c>
      <c r="D370" t="s">
        <v>673</v>
      </c>
      <c r="E370" t="s">
        <v>674</v>
      </c>
      <c r="F370" t="s">
        <v>675</v>
      </c>
      <c r="G370" t="s">
        <v>676</v>
      </c>
      <c r="H370" t="s">
        <v>677</v>
      </c>
      <c r="I370" t="s">
        <v>678</v>
      </c>
      <c r="J370" t="s">
        <v>679</v>
      </c>
      <c r="K370" t="s">
        <v>680</v>
      </c>
      <c r="L370" t="s">
        <v>681</v>
      </c>
      <c r="M370" t="s">
        <v>682</v>
      </c>
      <c r="N370" t="s">
        <v>683</v>
      </c>
      <c r="O370" t="s">
        <v>684</v>
      </c>
      <c r="P370" t="s">
        <v>685</v>
      </c>
    </row>
    <row r="371" spans="2:16" ht="15">
      <c r="B371" s="7"/>
      <c r="C371" t="s">
        <v>686</v>
      </c>
      <c r="D371" t="s">
        <v>1360</v>
      </c>
      <c r="E371" t="s">
        <v>688</v>
      </c>
      <c r="F371" t="s">
        <v>688</v>
      </c>
      <c r="G371" t="s">
        <v>688</v>
      </c>
      <c r="H371" t="s">
        <v>688</v>
      </c>
      <c r="I371" t="s">
        <v>688</v>
      </c>
      <c r="J371" t="s">
        <v>688</v>
      </c>
      <c r="K371" t="s">
        <v>688</v>
      </c>
      <c r="L371" t="s">
        <v>688</v>
      </c>
      <c r="M371" t="s">
        <v>688</v>
      </c>
      <c r="N371" t="s">
        <v>688</v>
      </c>
      <c r="O371" s="4">
        <v>1</v>
      </c>
      <c r="P371" t="s">
        <v>1361</v>
      </c>
    </row>
    <row r="372" spans="2:16" ht="15">
      <c r="B372" s="1">
        <v>185</v>
      </c>
      <c r="C372" t="str">
        <f ca="1">IFERROR(__xludf.DUMMYFUNCTION(TRANSPOSE(ImportHTML("http://spending.data.al/sq/moneypower/view/id/185", "table", 0))),"*Kategoria*")</f>
        <v>*Kategoria*</v>
      </c>
      <c r="D372" t="s">
        <v>673</v>
      </c>
      <c r="E372" t="s">
        <v>674</v>
      </c>
      <c r="F372" t="s">
        <v>675</v>
      </c>
      <c r="G372" t="s">
        <v>676</v>
      </c>
      <c r="H372" t="s">
        <v>677</v>
      </c>
      <c r="I372" t="s">
        <v>678</v>
      </c>
      <c r="J372" t="s">
        <v>679</v>
      </c>
      <c r="K372" t="s">
        <v>680</v>
      </c>
      <c r="L372" t="s">
        <v>681</v>
      </c>
      <c r="M372" t="s">
        <v>682</v>
      </c>
      <c r="N372" t="s">
        <v>683</v>
      </c>
      <c r="O372" t="s">
        <v>684</v>
      </c>
      <c r="P372" t="s">
        <v>685</v>
      </c>
    </row>
    <row r="373" spans="2:16" ht="15">
      <c r="B373" s="7"/>
      <c r="C373" t="s">
        <v>686</v>
      </c>
      <c r="D373" t="s">
        <v>1362</v>
      </c>
      <c r="E373" t="s">
        <v>688</v>
      </c>
      <c r="F373" t="s">
        <v>688</v>
      </c>
      <c r="G373" t="s">
        <v>688</v>
      </c>
      <c r="H373" t="s">
        <v>1363</v>
      </c>
      <c r="I373" t="s">
        <v>688</v>
      </c>
      <c r="J373" t="s">
        <v>688</v>
      </c>
      <c r="K373" t="s">
        <v>688</v>
      </c>
      <c r="L373" t="s">
        <v>688</v>
      </c>
      <c r="M373" t="s">
        <v>1364</v>
      </c>
      <c r="N373" t="s">
        <v>688</v>
      </c>
      <c r="O373" s="4">
        <v>1.03</v>
      </c>
      <c r="P373" t="s">
        <v>707</v>
      </c>
    </row>
    <row r="374" spans="2:16" ht="15">
      <c r="B374" s="1">
        <v>186</v>
      </c>
      <c r="C374" t="str">
        <f ca="1">IFERROR(__xludf.DUMMYFUNCTION(TRANSPOSE(ImportHTML("http://spending.data.al/sq/moneypower/view/id/186", "table", 0))),"*Kategoria*")</f>
        <v>*Kategoria*</v>
      </c>
      <c r="D374" t="s">
        <v>673</v>
      </c>
      <c r="E374" t="s">
        <v>674</v>
      </c>
      <c r="F374" t="s">
        <v>675</v>
      </c>
      <c r="G374" t="s">
        <v>676</v>
      </c>
      <c r="H374" t="s">
        <v>677</v>
      </c>
      <c r="I374" t="s">
        <v>678</v>
      </c>
      <c r="J374" t="s">
        <v>679</v>
      </c>
      <c r="K374" t="s">
        <v>680</v>
      </c>
      <c r="L374" t="s">
        <v>681</v>
      </c>
      <c r="M374" t="s">
        <v>682</v>
      </c>
      <c r="N374" t="s">
        <v>683</v>
      </c>
      <c r="O374" t="s">
        <v>684</v>
      </c>
      <c r="P374" t="s">
        <v>685</v>
      </c>
    </row>
    <row r="375" spans="2:16" ht="15">
      <c r="B375" s="7"/>
      <c r="C375" t="s">
        <v>686</v>
      </c>
      <c r="D375" t="s">
        <v>1365</v>
      </c>
      <c r="E375" t="s">
        <v>688</v>
      </c>
      <c r="F375" t="s">
        <v>688</v>
      </c>
      <c r="G375" t="s">
        <v>688</v>
      </c>
      <c r="H375" t="s">
        <v>688</v>
      </c>
      <c r="I375" t="s">
        <v>688</v>
      </c>
      <c r="J375" t="s">
        <v>688</v>
      </c>
      <c r="K375" t="s">
        <v>688</v>
      </c>
      <c r="L375" t="s">
        <v>688</v>
      </c>
      <c r="M375" t="s">
        <v>1366</v>
      </c>
      <c r="N375" t="s">
        <v>688</v>
      </c>
      <c r="O375" s="4">
        <v>1</v>
      </c>
      <c r="P375" t="s">
        <v>688</v>
      </c>
    </row>
    <row r="376" spans="2:16" ht="15">
      <c r="B376" s="1">
        <v>187</v>
      </c>
      <c r="C376" t="str">
        <f ca="1">IFERROR(__xludf.DUMMYFUNCTION(TRANSPOSE(ImportHTML("http://spending.data.al/sq/moneypower/view/id/187", "table", 0))),"*Kategoria*")</f>
        <v>*Kategoria*</v>
      </c>
      <c r="D376" t="s">
        <v>673</v>
      </c>
      <c r="E376" t="s">
        <v>674</v>
      </c>
      <c r="F376" t="s">
        <v>675</v>
      </c>
      <c r="G376" t="s">
        <v>676</v>
      </c>
      <c r="H376" t="s">
        <v>677</v>
      </c>
      <c r="I376" t="s">
        <v>678</v>
      </c>
      <c r="J376" t="s">
        <v>679</v>
      </c>
      <c r="K376" t="s">
        <v>680</v>
      </c>
      <c r="L376" t="s">
        <v>681</v>
      </c>
      <c r="M376" t="s">
        <v>682</v>
      </c>
      <c r="N376" t="s">
        <v>683</v>
      </c>
      <c r="O376" t="s">
        <v>684</v>
      </c>
      <c r="P376" t="s">
        <v>685</v>
      </c>
    </row>
    <row r="377" spans="2:16" ht="15">
      <c r="B377" s="7"/>
      <c r="C377" t="s">
        <v>686</v>
      </c>
      <c r="D377" t="s">
        <v>1367</v>
      </c>
      <c r="E377" t="s">
        <v>688</v>
      </c>
      <c r="F377" t="s">
        <v>688</v>
      </c>
      <c r="G377" t="s">
        <v>1368</v>
      </c>
      <c r="H377" t="s">
        <v>1369</v>
      </c>
      <c r="I377" t="s">
        <v>688</v>
      </c>
      <c r="J377" t="s">
        <v>688</v>
      </c>
      <c r="K377" t="s">
        <v>688</v>
      </c>
      <c r="L377" t="s">
        <v>688</v>
      </c>
      <c r="M377" t="s">
        <v>688</v>
      </c>
      <c r="N377" t="s">
        <v>688</v>
      </c>
      <c r="O377" s="4">
        <v>1.43</v>
      </c>
      <c r="P377" t="s">
        <v>688</v>
      </c>
    </row>
    <row r="378" spans="2:16" ht="15">
      <c r="B378" s="1">
        <v>188</v>
      </c>
      <c r="C378" t="str">
        <f ca="1">IFERROR(__xludf.DUMMYFUNCTION(TRANSPOSE(ImportHTML("http://spending.data.al/sq/moneypower/view/id/188", "table", 0))),"*Kategoria*")</f>
        <v>*Kategoria*</v>
      </c>
      <c r="D378" t="s">
        <v>673</v>
      </c>
      <c r="E378" t="s">
        <v>674</v>
      </c>
      <c r="F378" t="s">
        <v>675</v>
      </c>
      <c r="G378" t="s">
        <v>676</v>
      </c>
      <c r="H378" t="s">
        <v>677</v>
      </c>
      <c r="I378" t="s">
        <v>678</v>
      </c>
      <c r="J378" t="s">
        <v>679</v>
      </c>
      <c r="K378" t="s">
        <v>680</v>
      </c>
      <c r="L378" t="s">
        <v>681</v>
      </c>
      <c r="M378" t="s">
        <v>682</v>
      </c>
      <c r="N378" t="s">
        <v>683</v>
      </c>
      <c r="O378" t="s">
        <v>684</v>
      </c>
      <c r="P378" t="s">
        <v>685</v>
      </c>
    </row>
    <row r="379" spans="2:16" ht="15">
      <c r="B379" s="7"/>
      <c r="C379" t="s">
        <v>686</v>
      </c>
      <c r="D379" t="s">
        <v>1370</v>
      </c>
      <c r="E379" t="s">
        <v>688</v>
      </c>
      <c r="F379" t="s">
        <v>688</v>
      </c>
      <c r="G379" t="s">
        <v>1371</v>
      </c>
      <c r="H379" t="s">
        <v>688</v>
      </c>
      <c r="I379" t="s">
        <v>688</v>
      </c>
      <c r="J379" t="s">
        <v>688</v>
      </c>
      <c r="K379" t="s">
        <v>688</v>
      </c>
      <c r="L379" t="s">
        <v>688</v>
      </c>
      <c r="M379" t="s">
        <v>1372</v>
      </c>
      <c r="N379" t="s">
        <v>688</v>
      </c>
      <c r="O379" s="4">
        <v>1.1499999999999999</v>
      </c>
      <c r="P379" t="s">
        <v>1373</v>
      </c>
    </row>
    <row r="380" spans="2:16" ht="15">
      <c r="B380" s="1">
        <v>189</v>
      </c>
      <c r="C380" t="str">
        <f ca="1">IFERROR(__xludf.DUMMYFUNCTION(TRANSPOSE(ImportHTML("http://spending.data.al/sq/moneypower/view/id/189", "table", 0))),"*Kategoria*")</f>
        <v>*Kategoria*</v>
      </c>
      <c r="D380" t="s">
        <v>673</v>
      </c>
      <c r="E380" t="s">
        <v>674</v>
      </c>
      <c r="F380" t="s">
        <v>675</v>
      </c>
      <c r="G380" t="s">
        <v>676</v>
      </c>
      <c r="H380" t="s">
        <v>677</v>
      </c>
      <c r="I380" t="s">
        <v>678</v>
      </c>
      <c r="J380" t="s">
        <v>679</v>
      </c>
      <c r="K380" t="s">
        <v>680</v>
      </c>
      <c r="L380" t="s">
        <v>681</v>
      </c>
      <c r="M380" t="s">
        <v>682</v>
      </c>
      <c r="N380" t="s">
        <v>683</v>
      </c>
      <c r="O380" t="s">
        <v>684</v>
      </c>
      <c r="P380" t="s">
        <v>685</v>
      </c>
    </row>
    <row r="381" spans="2:16" ht="15">
      <c r="B381" s="7"/>
      <c r="C381" t="s">
        <v>686</v>
      </c>
      <c r="D381" t="s">
        <v>1374</v>
      </c>
      <c r="E381" t="s">
        <v>688</v>
      </c>
      <c r="F381" t="s">
        <v>688</v>
      </c>
      <c r="G381" t="s">
        <v>688</v>
      </c>
      <c r="H381" t="s">
        <v>688</v>
      </c>
      <c r="I381" t="s">
        <v>688</v>
      </c>
      <c r="J381" t="s">
        <v>688</v>
      </c>
      <c r="K381" t="s">
        <v>688</v>
      </c>
      <c r="L381" t="s">
        <v>688</v>
      </c>
      <c r="M381" t="s">
        <v>1375</v>
      </c>
      <c r="N381" t="s">
        <v>688</v>
      </c>
      <c r="O381" s="4">
        <v>1</v>
      </c>
      <c r="P381" t="s">
        <v>688</v>
      </c>
    </row>
    <row r="382" spans="2:16" ht="15">
      <c r="B382" s="1">
        <v>190</v>
      </c>
      <c r="C382" t="str">
        <f ca="1">IFERROR(__xludf.DUMMYFUNCTION(TRANSPOSE(ImportHTML("http://spending.data.al/sq/moneypower/view/id/190", "table", 0))),"*Kategoria*")</f>
        <v>*Kategoria*</v>
      </c>
      <c r="D382" t="s">
        <v>673</v>
      </c>
      <c r="E382" t="s">
        <v>674</v>
      </c>
      <c r="F382" t="s">
        <v>675</v>
      </c>
      <c r="G382" t="s">
        <v>676</v>
      </c>
      <c r="H382" t="s">
        <v>677</v>
      </c>
      <c r="I382" t="s">
        <v>678</v>
      </c>
      <c r="J382" t="s">
        <v>679</v>
      </c>
      <c r="K382" t="s">
        <v>680</v>
      </c>
      <c r="L382" t="s">
        <v>681</v>
      </c>
      <c r="M382" t="s">
        <v>682</v>
      </c>
      <c r="N382" t="s">
        <v>683</v>
      </c>
      <c r="O382" t="s">
        <v>684</v>
      </c>
      <c r="P382" t="s">
        <v>685</v>
      </c>
    </row>
    <row r="383" spans="2:16" ht="15">
      <c r="B383" s="7"/>
      <c r="C383" t="s">
        <v>686</v>
      </c>
      <c r="D383" t="s">
        <v>688</v>
      </c>
      <c r="E383" t="s">
        <v>688</v>
      </c>
      <c r="F383" t="s">
        <v>688</v>
      </c>
      <c r="G383" t="s">
        <v>1376</v>
      </c>
      <c r="H383" t="s">
        <v>688</v>
      </c>
      <c r="I383" t="s">
        <v>688</v>
      </c>
      <c r="J383" t="s">
        <v>688</v>
      </c>
      <c r="K383" t="s">
        <v>688</v>
      </c>
      <c r="L383" t="s">
        <v>688</v>
      </c>
      <c r="M383" t="s">
        <v>1377</v>
      </c>
      <c r="N383" t="s">
        <v>1378</v>
      </c>
      <c r="O383" t="s">
        <v>707</v>
      </c>
      <c r="P383" t="s">
        <v>688</v>
      </c>
    </row>
    <row r="384" spans="2:16" ht="15">
      <c r="B384" s="1">
        <v>191</v>
      </c>
      <c r="C384" t="str">
        <f ca="1">IFERROR(__xludf.DUMMYFUNCTION(TRANSPOSE(ImportHTML("http://spending.data.al/sq/moneypower/view/id/191", "table", 0))),"*Kategoria*")</f>
        <v>*Kategoria*</v>
      </c>
      <c r="D384" t="s">
        <v>673</v>
      </c>
      <c r="E384" t="s">
        <v>674</v>
      </c>
      <c r="F384" t="s">
        <v>675</v>
      </c>
      <c r="G384" t="s">
        <v>676</v>
      </c>
      <c r="H384" t="s">
        <v>677</v>
      </c>
      <c r="I384" t="s">
        <v>678</v>
      </c>
      <c r="J384" t="s">
        <v>679</v>
      </c>
      <c r="K384" t="s">
        <v>680</v>
      </c>
      <c r="L384" t="s">
        <v>681</v>
      </c>
      <c r="M384" t="s">
        <v>682</v>
      </c>
      <c r="N384" t="s">
        <v>683</v>
      </c>
      <c r="O384" t="s">
        <v>684</v>
      </c>
      <c r="P384" t="s">
        <v>685</v>
      </c>
    </row>
    <row r="385" spans="2:16" ht="15">
      <c r="B385" s="7"/>
      <c r="C385" t="s">
        <v>686</v>
      </c>
      <c r="D385" t="s">
        <v>1379</v>
      </c>
      <c r="E385" t="s">
        <v>688</v>
      </c>
      <c r="F385" t="s">
        <v>688</v>
      </c>
      <c r="G385" t="s">
        <v>688</v>
      </c>
      <c r="H385" t="s">
        <v>688</v>
      </c>
      <c r="I385" t="s">
        <v>688</v>
      </c>
      <c r="J385" t="s">
        <v>688</v>
      </c>
      <c r="K385" t="s">
        <v>688</v>
      </c>
      <c r="L385" t="s">
        <v>688</v>
      </c>
      <c r="M385" t="s">
        <v>688</v>
      </c>
      <c r="N385" t="s">
        <v>1380</v>
      </c>
      <c r="O385" s="4">
        <v>1.01</v>
      </c>
      <c r="P385" t="s">
        <v>688</v>
      </c>
    </row>
    <row r="386" spans="2:16" ht="15">
      <c r="B386" s="1">
        <v>192</v>
      </c>
      <c r="C386" t="str">
        <f ca="1">IFERROR(__xludf.DUMMYFUNCTION(TRANSPOSE(ImportHTML("http://spending.data.al/sq/moneypower/view/id/192", "table", 0))),"*Kategoria*")</f>
        <v>*Kategoria*</v>
      </c>
      <c r="D386" t="s">
        <v>673</v>
      </c>
      <c r="E386" t="s">
        <v>674</v>
      </c>
      <c r="F386" t="s">
        <v>675</v>
      </c>
      <c r="G386" t="s">
        <v>676</v>
      </c>
      <c r="H386" t="s">
        <v>677</v>
      </c>
      <c r="I386" t="s">
        <v>678</v>
      </c>
      <c r="J386" t="s">
        <v>679</v>
      </c>
      <c r="K386" t="s">
        <v>680</v>
      </c>
      <c r="L386" t="s">
        <v>681</v>
      </c>
      <c r="M386" t="s">
        <v>682</v>
      </c>
      <c r="N386" t="s">
        <v>683</v>
      </c>
      <c r="O386" t="s">
        <v>684</v>
      </c>
      <c r="P386" t="s">
        <v>685</v>
      </c>
    </row>
    <row r="387" spans="2:16" ht="15">
      <c r="B387" s="7"/>
      <c r="C387" t="s">
        <v>686</v>
      </c>
      <c r="D387" t="s">
        <v>1381</v>
      </c>
      <c r="E387" t="s">
        <v>688</v>
      </c>
      <c r="F387" t="s">
        <v>688</v>
      </c>
      <c r="G387" t="s">
        <v>688</v>
      </c>
      <c r="H387" t="s">
        <v>688</v>
      </c>
      <c r="I387" t="s">
        <v>688</v>
      </c>
      <c r="J387" t="s">
        <v>688</v>
      </c>
      <c r="K387" t="s">
        <v>688</v>
      </c>
      <c r="L387" t="s">
        <v>688</v>
      </c>
      <c r="M387" t="s">
        <v>1382</v>
      </c>
      <c r="N387" t="s">
        <v>688</v>
      </c>
      <c r="P387" t="s">
        <v>1383</v>
      </c>
    </row>
    <row r="388" spans="2:16" ht="15">
      <c r="B388" s="1">
        <v>193</v>
      </c>
      <c r="C388" t="str">
        <f ca="1">IFERROR(__xludf.DUMMYFUNCTION(TRANSPOSE(ImportHTML("http://spending.data.al/sq/moneypower/view/id/193", "table", 0))),"*Kategoria*")</f>
        <v>*Kategoria*</v>
      </c>
      <c r="D388" t="s">
        <v>673</v>
      </c>
      <c r="E388" t="s">
        <v>674</v>
      </c>
      <c r="F388" t="s">
        <v>675</v>
      </c>
      <c r="G388" t="s">
        <v>676</v>
      </c>
      <c r="H388" t="s">
        <v>677</v>
      </c>
      <c r="I388" t="s">
        <v>678</v>
      </c>
      <c r="J388" t="s">
        <v>679</v>
      </c>
      <c r="K388" t="s">
        <v>680</v>
      </c>
      <c r="L388" t="s">
        <v>681</v>
      </c>
      <c r="M388" t="s">
        <v>682</v>
      </c>
      <c r="N388" t="s">
        <v>683</v>
      </c>
      <c r="O388" t="s">
        <v>684</v>
      </c>
      <c r="P388" t="s">
        <v>685</v>
      </c>
    </row>
    <row r="389" spans="2:16" ht="15">
      <c r="B389" s="7"/>
      <c r="C389" t="s">
        <v>686</v>
      </c>
      <c r="D389" t="s">
        <v>1384</v>
      </c>
      <c r="E389" t="s">
        <v>688</v>
      </c>
      <c r="F389" t="s">
        <v>688</v>
      </c>
      <c r="G389" t="s">
        <v>688</v>
      </c>
      <c r="H389" t="s">
        <v>1385</v>
      </c>
      <c r="I389" t="s">
        <v>1386</v>
      </c>
      <c r="J389" t="s">
        <v>688</v>
      </c>
      <c r="K389" t="s">
        <v>688</v>
      </c>
      <c r="L389" t="s">
        <v>688</v>
      </c>
      <c r="M389" t="s">
        <v>1387</v>
      </c>
      <c r="N389" t="s">
        <v>688</v>
      </c>
      <c r="P389" t="s">
        <v>1388</v>
      </c>
    </row>
    <row r="390" spans="2:16" ht="15">
      <c r="B390" s="1">
        <v>194</v>
      </c>
      <c r="C390" t="str">
        <f ca="1">IFERROR(__xludf.DUMMYFUNCTION(TRANSPOSE(ImportHTML("http://spending.data.al/sq/moneypower/view/id/194", "table", 0))),"*Kategoria*")</f>
        <v>*Kategoria*</v>
      </c>
      <c r="D390" t="s">
        <v>673</v>
      </c>
      <c r="E390" t="s">
        <v>674</v>
      </c>
      <c r="F390" t="s">
        <v>675</v>
      </c>
      <c r="G390" t="s">
        <v>676</v>
      </c>
      <c r="H390" t="s">
        <v>677</v>
      </c>
      <c r="I390" t="s">
        <v>678</v>
      </c>
      <c r="J390" t="s">
        <v>679</v>
      </c>
      <c r="K390" t="s">
        <v>680</v>
      </c>
      <c r="L390" t="s">
        <v>681</v>
      </c>
      <c r="M390" t="s">
        <v>682</v>
      </c>
      <c r="N390" t="s">
        <v>683</v>
      </c>
      <c r="O390" t="s">
        <v>684</v>
      </c>
      <c r="P390" t="s">
        <v>685</v>
      </c>
    </row>
    <row r="391" spans="2:16" ht="15">
      <c r="B391" s="7"/>
      <c r="C391" t="s">
        <v>686</v>
      </c>
      <c r="D391" t="s">
        <v>1389</v>
      </c>
      <c r="E391" t="s">
        <v>688</v>
      </c>
      <c r="F391" t="s">
        <v>688</v>
      </c>
      <c r="G391" t="s">
        <v>688</v>
      </c>
      <c r="H391" t="s">
        <v>1390</v>
      </c>
      <c r="I391" t="s">
        <v>688</v>
      </c>
      <c r="J391" t="s">
        <v>688</v>
      </c>
      <c r="K391" t="s">
        <v>688</v>
      </c>
      <c r="L391" t="s">
        <v>688</v>
      </c>
      <c r="M391" t="s">
        <v>688</v>
      </c>
      <c r="N391" t="s">
        <v>688</v>
      </c>
      <c r="P391" t="s">
        <v>1391</v>
      </c>
    </row>
    <row r="392" spans="2:16" ht="15">
      <c r="B392" s="1">
        <v>195</v>
      </c>
      <c r="C392" t="str">
        <f ca="1">IFERROR(__xludf.DUMMYFUNCTION(TRANSPOSE(ImportHTML("http://spending.data.al/sq/moneypower/view/id/195", "table", 0))),"*Kategoria*")</f>
        <v>*Kategoria*</v>
      </c>
      <c r="D392" t="s">
        <v>673</v>
      </c>
      <c r="E392" t="s">
        <v>674</v>
      </c>
      <c r="F392" t="s">
        <v>675</v>
      </c>
      <c r="G392" t="s">
        <v>676</v>
      </c>
      <c r="H392" t="s">
        <v>677</v>
      </c>
      <c r="I392" t="s">
        <v>678</v>
      </c>
      <c r="J392" t="s">
        <v>679</v>
      </c>
      <c r="K392" t="s">
        <v>680</v>
      </c>
      <c r="L392" t="s">
        <v>681</v>
      </c>
      <c r="M392" t="s">
        <v>682</v>
      </c>
      <c r="N392" t="s">
        <v>683</v>
      </c>
      <c r="O392" t="s">
        <v>684</v>
      </c>
      <c r="P392" t="s">
        <v>685</v>
      </c>
    </row>
    <row r="393" spans="2:16" ht="15">
      <c r="B393" s="7"/>
      <c r="C393" t="s">
        <v>686</v>
      </c>
      <c r="D393" t="s">
        <v>1392</v>
      </c>
      <c r="E393" t="s">
        <v>688</v>
      </c>
      <c r="F393" t="s">
        <v>688</v>
      </c>
      <c r="G393" t="s">
        <v>688</v>
      </c>
      <c r="H393" t="s">
        <v>688</v>
      </c>
      <c r="I393" t="s">
        <v>688</v>
      </c>
      <c r="J393" t="s">
        <v>688</v>
      </c>
      <c r="K393" t="s">
        <v>688</v>
      </c>
      <c r="L393" t="s">
        <v>688</v>
      </c>
      <c r="M393" t="s">
        <v>688</v>
      </c>
      <c r="N393" t="s">
        <v>688</v>
      </c>
      <c r="P393" t="s">
        <v>1393</v>
      </c>
    </row>
    <row r="394" spans="2:16" ht="15">
      <c r="B394" s="1">
        <v>196</v>
      </c>
      <c r="C394" t="str">
        <f ca="1">IFERROR(__xludf.DUMMYFUNCTION(TRANSPOSE(ImportHTML("http://spending.data.al/sq/moneypower/view/id/196", "table", 0))),"*Kategoria*")</f>
        <v>*Kategoria*</v>
      </c>
      <c r="D394" t="s">
        <v>673</v>
      </c>
      <c r="E394" t="s">
        <v>674</v>
      </c>
      <c r="F394" t="s">
        <v>675</v>
      </c>
      <c r="G394" t="s">
        <v>676</v>
      </c>
      <c r="H394" t="s">
        <v>677</v>
      </c>
      <c r="I394" t="s">
        <v>678</v>
      </c>
      <c r="J394" t="s">
        <v>679</v>
      </c>
      <c r="K394" t="s">
        <v>680</v>
      </c>
      <c r="L394" t="s">
        <v>681</v>
      </c>
      <c r="M394" t="s">
        <v>682</v>
      </c>
      <c r="N394" t="s">
        <v>683</v>
      </c>
      <c r="O394" t="s">
        <v>684</v>
      </c>
      <c r="P394" t="s">
        <v>685</v>
      </c>
    </row>
    <row r="395" spans="2:16" ht="15">
      <c r="B395" s="7"/>
      <c r="C395" t="s">
        <v>686</v>
      </c>
      <c r="D395" t="s">
        <v>1394</v>
      </c>
      <c r="E395" t="s">
        <v>688</v>
      </c>
      <c r="F395" t="s">
        <v>688</v>
      </c>
      <c r="G395" t="s">
        <v>688</v>
      </c>
      <c r="H395" t="s">
        <v>688</v>
      </c>
      <c r="I395" t="s">
        <v>688</v>
      </c>
      <c r="J395" t="s">
        <v>688</v>
      </c>
      <c r="K395" t="s">
        <v>688</v>
      </c>
      <c r="L395" t="s">
        <v>688</v>
      </c>
      <c r="M395" t="s">
        <v>1395</v>
      </c>
      <c r="N395" t="s">
        <v>688</v>
      </c>
      <c r="P395" t="s">
        <v>1396</v>
      </c>
    </row>
    <row r="396" spans="2:16" ht="15">
      <c r="B396" s="1">
        <v>197</v>
      </c>
      <c r="C396" t="str">
        <f ca="1">IFERROR(__xludf.DUMMYFUNCTION(TRANSPOSE(ImportHTML("http://spending.data.al/sq/moneypower/view/id/197", "table", 0))),"*Kategoria*")</f>
        <v>*Kategoria*</v>
      </c>
      <c r="D396" t="s">
        <v>673</v>
      </c>
      <c r="E396" t="s">
        <v>674</v>
      </c>
      <c r="F396" t="s">
        <v>675</v>
      </c>
      <c r="G396" t="s">
        <v>676</v>
      </c>
      <c r="H396" t="s">
        <v>677</v>
      </c>
      <c r="I396" t="s">
        <v>678</v>
      </c>
      <c r="J396" t="s">
        <v>679</v>
      </c>
      <c r="K396" t="s">
        <v>680</v>
      </c>
      <c r="L396" t="s">
        <v>681</v>
      </c>
      <c r="M396" t="s">
        <v>682</v>
      </c>
      <c r="N396" t="s">
        <v>683</v>
      </c>
      <c r="O396" t="s">
        <v>684</v>
      </c>
      <c r="P396" t="s">
        <v>685</v>
      </c>
    </row>
    <row r="397" spans="2:16" ht="15">
      <c r="B397" s="7"/>
      <c r="C397" t="s">
        <v>686</v>
      </c>
      <c r="D397" t="s">
        <v>1397</v>
      </c>
      <c r="E397" t="s">
        <v>688</v>
      </c>
      <c r="F397" t="s">
        <v>688</v>
      </c>
      <c r="G397" t="s">
        <v>688</v>
      </c>
      <c r="H397" t="s">
        <v>688</v>
      </c>
      <c r="I397" t="s">
        <v>688</v>
      </c>
      <c r="J397" t="s">
        <v>688</v>
      </c>
      <c r="K397" t="s">
        <v>688</v>
      </c>
      <c r="L397" t="s">
        <v>688</v>
      </c>
      <c r="M397" t="s">
        <v>1398</v>
      </c>
      <c r="N397" t="s">
        <v>688</v>
      </c>
      <c r="P397" t="s">
        <v>1399</v>
      </c>
    </row>
    <row r="398" spans="2:16" ht="15">
      <c r="B398" s="1">
        <v>198</v>
      </c>
      <c r="C398" t="str">
        <f ca="1">IFERROR(__xludf.DUMMYFUNCTION(TRANSPOSE(ImportHTML("http://spending.data.al/sq/moneypower/view/id/198", "table", 0))),"*Kategoria*")</f>
        <v>*Kategoria*</v>
      </c>
      <c r="D398" t="s">
        <v>673</v>
      </c>
      <c r="E398" t="s">
        <v>674</v>
      </c>
      <c r="F398" t="s">
        <v>675</v>
      </c>
      <c r="G398" t="s">
        <v>676</v>
      </c>
      <c r="H398" t="s">
        <v>677</v>
      </c>
      <c r="I398" t="s">
        <v>678</v>
      </c>
      <c r="J398" t="s">
        <v>679</v>
      </c>
      <c r="K398" t="s">
        <v>680</v>
      </c>
      <c r="L398" t="s">
        <v>681</v>
      </c>
      <c r="M398" t="s">
        <v>682</v>
      </c>
      <c r="N398" t="s">
        <v>683</v>
      </c>
      <c r="O398" t="s">
        <v>684</v>
      </c>
      <c r="P398" t="s">
        <v>685</v>
      </c>
    </row>
    <row r="399" spans="2:16" ht="15">
      <c r="B399" s="7"/>
      <c r="C399" t="s">
        <v>686</v>
      </c>
      <c r="D399" t="s">
        <v>1400</v>
      </c>
      <c r="E399" t="s">
        <v>688</v>
      </c>
      <c r="F399" t="s">
        <v>688</v>
      </c>
      <c r="G399" t="s">
        <v>688</v>
      </c>
      <c r="H399" t="s">
        <v>688</v>
      </c>
      <c r="I399" t="s">
        <v>688</v>
      </c>
      <c r="J399" t="s">
        <v>688</v>
      </c>
      <c r="K399" t="s">
        <v>688</v>
      </c>
      <c r="L399" t="s">
        <v>688</v>
      </c>
      <c r="M399" t="s">
        <v>1401</v>
      </c>
      <c r="N399" t="s">
        <v>688</v>
      </c>
      <c r="P399" t="s">
        <v>1402</v>
      </c>
    </row>
    <row r="400" spans="2:16" ht="15">
      <c r="B400" s="1">
        <v>199</v>
      </c>
      <c r="C400" t="str">
        <f ca="1">IFERROR(__xludf.DUMMYFUNCTION(TRANSPOSE(ImportHTML("http://spending.data.al/sq/moneypower/view/id/199", "table", 0))),"*Kategoria*")</f>
        <v>*Kategoria*</v>
      </c>
      <c r="D400" t="s">
        <v>673</v>
      </c>
      <c r="E400" t="s">
        <v>674</v>
      </c>
      <c r="F400" t="s">
        <v>675</v>
      </c>
      <c r="G400" t="s">
        <v>676</v>
      </c>
      <c r="H400" t="s">
        <v>677</v>
      </c>
      <c r="I400" t="s">
        <v>678</v>
      </c>
      <c r="J400" t="s">
        <v>679</v>
      </c>
      <c r="K400" t="s">
        <v>680</v>
      </c>
      <c r="L400" t="s">
        <v>681</v>
      </c>
      <c r="M400" t="s">
        <v>682</v>
      </c>
      <c r="N400" t="s">
        <v>683</v>
      </c>
      <c r="O400" t="s">
        <v>684</v>
      </c>
      <c r="P400" t="s">
        <v>685</v>
      </c>
    </row>
    <row r="401" spans="2:16" ht="15">
      <c r="B401" s="7"/>
      <c r="C401" t="s">
        <v>686</v>
      </c>
      <c r="D401" t="s">
        <v>1403</v>
      </c>
      <c r="E401" t="s">
        <v>688</v>
      </c>
      <c r="F401" t="s">
        <v>688</v>
      </c>
      <c r="G401" t="s">
        <v>688</v>
      </c>
      <c r="H401" t="s">
        <v>688</v>
      </c>
      <c r="I401" t="s">
        <v>688</v>
      </c>
      <c r="J401" t="s">
        <v>688</v>
      </c>
      <c r="K401" t="s">
        <v>688</v>
      </c>
      <c r="L401" t="s">
        <v>688</v>
      </c>
      <c r="M401" t="s">
        <v>688</v>
      </c>
      <c r="N401" t="s">
        <v>688</v>
      </c>
      <c r="O401" t="s">
        <v>707</v>
      </c>
      <c r="P401" t="s">
        <v>1404</v>
      </c>
    </row>
    <row r="402" spans="2:16" ht="15">
      <c r="B402" s="1">
        <v>200</v>
      </c>
      <c r="C402" t="str">
        <f ca="1">IFERROR(__xludf.DUMMYFUNCTION(TRANSPOSE(ImportHTML("http://spending.data.al/sq/moneypower/view/id/200", "table", 0))),"*Kategoria*")</f>
        <v>*Kategoria*</v>
      </c>
      <c r="D402" t="s">
        <v>673</v>
      </c>
      <c r="E402" t="s">
        <v>674</v>
      </c>
      <c r="F402" t="s">
        <v>675</v>
      </c>
      <c r="G402" t="s">
        <v>676</v>
      </c>
      <c r="H402" t="s">
        <v>677</v>
      </c>
      <c r="I402" t="s">
        <v>678</v>
      </c>
      <c r="J402" t="s">
        <v>679</v>
      </c>
      <c r="K402" t="s">
        <v>680</v>
      </c>
      <c r="L402" t="s">
        <v>681</v>
      </c>
      <c r="M402" t="s">
        <v>682</v>
      </c>
      <c r="N402" t="s">
        <v>683</v>
      </c>
      <c r="O402" t="s">
        <v>684</v>
      </c>
      <c r="P402" t="s">
        <v>685</v>
      </c>
    </row>
    <row r="403" spans="2:16" ht="15">
      <c r="B403" s="7"/>
      <c r="C403" t="s">
        <v>686</v>
      </c>
      <c r="D403" t="s">
        <v>1405</v>
      </c>
      <c r="E403" t="s">
        <v>1406</v>
      </c>
      <c r="F403" t="s">
        <v>688</v>
      </c>
      <c r="G403" t="s">
        <v>1407</v>
      </c>
      <c r="H403" t="s">
        <v>1408</v>
      </c>
      <c r="I403" t="s">
        <v>688</v>
      </c>
      <c r="J403" t="s">
        <v>688</v>
      </c>
      <c r="K403" t="s">
        <v>688</v>
      </c>
      <c r="L403" t="s">
        <v>688</v>
      </c>
      <c r="M403" t="s">
        <v>1409</v>
      </c>
      <c r="N403" t="s">
        <v>688</v>
      </c>
      <c r="P403" t="s">
        <v>688</v>
      </c>
    </row>
    <row r="404" spans="2:16" ht="15">
      <c r="B404" s="1">
        <v>201</v>
      </c>
      <c r="C404" t="str">
        <f ca="1">IFERROR(__xludf.DUMMYFUNCTION(TRANSPOSE(ImportHTML("http://spending.data.al/sq/moneypower/view/id/201", "table", 0))),"*Kategoria*")</f>
        <v>*Kategoria*</v>
      </c>
      <c r="D404" t="s">
        <v>673</v>
      </c>
      <c r="E404" t="s">
        <v>674</v>
      </c>
      <c r="F404" t="s">
        <v>675</v>
      </c>
      <c r="G404" t="s">
        <v>676</v>
      </c>
      <c r="H404" t="s">
        <v>677</v>
      </c>
      <c r="I404" t="s">
        <v>678</v>
      </c>
      <c r="J404" t="s">
        <v>679</v>
      </c>
      <c r="K404" t="s">
        <v>680</v>
      </c>
      <c r="L404" t="s">
        <v>681</v>
      </c>
      <c r="M404" t="s">
        <v>682</v>
      </c>
      <c r="N404" t="s">
        <v>683</v>
      </c>
      <c r="O404" t="s">
        <v>684</v>
      </c>
      <c r="P404" t="s">
        <v>685</v>
      </c>
    </row>
    <row r="405" spans="2:16" ht="15">
      <c r="B405" s="7"/>
      <c r="C405" t="s">
        <v>686</v>
      </c>
      <c r="D405" t="s">
        <v>1410</v>
      </c>
      <c r="E405" t="s">
        <v>688</v>
      </c>
      <c r="F405" t="s">
        <v>688</v>
      </c>
      <c r="G405" t="s">
        <v>688</v>
      </c>
      <c r="H405" t="s">
        <v>688</v>
      </c>
      <c r="I405" t="s">
        <v>688</v>
      </c>
      <c r="J405" t="s">
        <v>688</v>
      </c>
      <c r="K405" t="s">
        <v>688</v>
      </c>
      <c r="L405" t="s">
        <v>688</v>
      </c>
      <c r="M405" t="s">
        <v>1411</v>
      </c>
      <c r="N405" t="s">
        <v>688</v>
      </c>
      <c r="P405" t="s">
        <v>1412</v>
      </c>
    </row>
    <row r="406" spans="2:16" ht="15">
      <c r="B406" s="1">
        <v>202</v>
      </c>
      <c r="C406" t="str">
        <f ca="1">IFERROR(__xludf.DUMMYFUNCTION(TRANSPOSE(ImportHTML("http://spending.data.al/sq/moneypower/view/id/202", "table", 0))),"*Kategoria*")</f>
        <v>*Kategoria*</v>
      </c>
      <c r="D406" t="s">
        <v>673</v>
      </c>
      <c r="E406" t="s">
        <v>674</v>
      </c>
      <c r="F406" t="s">
        <v>675</v>
      </c>
      <c r="G406" t="s">
        <v>676</v>
      </c>
      <c r="H406" t="s">
        <v>677</v>
      </c>
      <c r="I406" t="s">
        <v>678</v>
      </c>
      <c r="J406" t="s">
        <v>679</v>
      </c>
      <c r="K406" t="s">
        <v>680</v>
      </c>
      <c r="L406" t="s">
        <v>681</v>
      </c>
      <c r="M406" t="s">
        <v>682</v>
      </c>
      <c r="N406" t="s">
        <v>683</v>
      </c>
      <c r="O406" t="s">
        <v>684</v>
      </c>
      <c r="P406" t="s">
        <v>685</v>
      </c>
    </row>
    <row r="407" spans="2:16" ht="15">
      <c r="B407" s="7"/>
      <c r="C407" t="s">
        <v>686</v>
      </c>
      <c r="D407" t="s">
        <v>1413</v>
      </c>
      <c r="E407" t="s">
        <v>688</v>
      </c>
      <c r="F407" t="s">
        <v>688</v>
      </c>
      <c r="G407" t="s">
        <v>688</v>
      </c>
      <c r="H407" t="s">
        <v>688</v>
      </c>
      <c r="I407" t="s">
        <v>688</v>
      </c>
      <c r="J407" t="s">
        <v>688</v>
      </c>
      <c r="K407" t="s">
        <v>688</v>
      </c>
      <c r="L407" t="s">
        <v>688</v>
      </c>
      <c r="M407" t="s">
        <v>1414</v>
      </c>
      <c r="N407" t="s">
        <v>688</v>
      </c>
      <c r="P407" t="s">
        <v>1415</v>
      </c>
    </row>
    <row r="408" spans="2:16" ht="15">
      <c r="B408" s="1">
        <v>203</v>
      </c>
      <c r="C408" t="str">
        <f ca="1">IFERROR(__xludf.DUMMYFUNCTION(TRANSPOSE(ImportHTML("http://spending.data.al/sq/moneypower/view/id/203", "table", 0))),"*Kategoria*")</f>
        <v>*Kategoria*</v>
      </c>
      <c r="D408" t="s">
        <v>673</v>
      </c>
      <c r="E408" t="s">
        <v>674</v>
      </c>
      <c r="F408" t="s">
        <v>675</v>
      </c>
      <c r="G408" t="s">
        <v>676</v>
      </c>
      <c r="H408" t="s">
        <v>677</v>
      </c>
      <c r="I408" t="s">
        <v>678</v>
      </c>
      <c r="J408" t="s">
        <v>679</v>
      </c>
      <c r="K408" t="s">
        <v>680</v>
      </c>
      <c r="L408" t="s">
        <v>681</v>
      </c>
      <c r="M408" t="s">
        <v>682</v>
      </c>
      <c r="N408" t="s">
        <v>683</v>
      </c>
      <c r="O408" t="s">
        <v>684</v>
      </c>
      <c r="P408" t="s">
        <v>685</v>
      </c>
    </row>
    <row r="409" spans="2:16" ht="15">
      <c r="B409" s="7"/>
      <c r="C409" t="s">
        <v>686</v>
      </c>
      <c r="D409" t="s">
        <v>1416</v>
      </c>
      <c r="E409" t="s">
        <v>688</v>
      </c>
      <c r="F409" t="s">
        <v>688</v>
      </c>
      <c r="G409" t="s">
        <v>688</v>
      </c>
      <c r="H409" t="s">
        <v>688</v>
      </c>
      <c r="I409" t="s">
        <v>688</v>
      </c>
      <c r="J409" t="s">
        <v>688</v>
      </c>
      <c r="K409" t="s">
        <v>688</v>
      </c>
      <c r="L409" t="s">
        <v>688</v>
      </c>
      <c r="M409" t="s">
        <v>1417</v>
      </c>
      <c r="N409" t="s">
        <v>688</v>
      </c>
      <c r="P409" t="s">
        <v>1418</v>
      </c>
    </row>
    <row r="410" spans="2:16" ht="15">
      <c r="B410" s="1">
        <v>204</v>
      </c>
      <c r="C410" t="str">
        <f ca="1">IFERROR(__xludf.DUMMYFUNCTION(TRANSPOSE(ImportHTML("http://spending.data.al/sq/moneypower/view/id/204", "table", 0))),"*Kategoria*")</f>
        <v>*Kategoria*</v>
      </c>
      <c r="D410" t="s">
        <v>673</v>
      </c>
      <c r="E410" t="s">
        <v>674</v>
      </c>
      <c r="F410" t="s">
        <v>675</v>
      </c>
      <c r="G410" t="s">
        <v>676</v>
      </c>
      <c r="H410" t="s">
        <v>677</v>
      </c>
      <c r="I410" t="s">
        <v>678</v>
      </c>
      <c r="J410" t="s">
        <v>679</v>
      </c>
      <c r="K410" t="s">
        <v>680</v>
      </c>
      <c r="L410" t="s">
        <v>681</v>
      </c>
      <c r="M410" t="s">
        <v>682</v>
      </c>
      <c r="N410" t="s">
        <v>683</v>
      </c>
      <c r="O410" t="s">
        <v>684</v>
      </c>
      <c r="P410" t="s">
        <v>685</v>
      </c>
    </row>
    <row r="411" spans="2:16" ht="15">
      <c r="B411" s="7"/>
      <c r="C411" t="s">
        <v>686</v>
      </c>
      <c r="D411" t="s">
        <v>1419</v>
      </c>
      <c r="E411" t="s">
        <v>688</v>
      </c>
      <c r="F411" t="s">
        <v>1420</v>
      </c>
      <c r="G411" t="s">
        <v>688</v>
      </c>
      <c r="H411" t="s">
        <v>688</v>
      </c>
      <c r="I411" t="s">
        <v>688</v>
      </c>
      <c r="J411" t="s">
        <v>688</v>
      </c>
      <c r="K411" t="s">
        <v>688</v>
      </c>
      <c r="L411" t="s">
        <v>688</v>
      </c>
      <c r="M411" t="s">
        <v>688</v>
      </c>
      <c r="N411" t="s">
        <v>688</v>
      </c>
      <c r="O411" s="4">
        <v>1.38</v>
      </c>
      <c r="P411" t="s">
        <v>688</v>
      </c>
    </row>
    <row r="412" spans="2:16" ht="15">
      <c r="B412" s="1">
        <v>205</v>
      </c>
      <c r="C412" t="str">
        <f ca="1">IFERROR(__xludf.DUMMYFUNCTION(TRANSPOSE(ImportHTML("http://spending.data.al/sq/moneypower/view/id/205", "table", 0))),"*Kategoria*")</f>
        <v>*Kategoria*</v>
      </c>
      <c r="D412" t="s">
        <v>673</v>
      </c>
      <c r="E412" t="s">
        <v>674</v>
      </c>
      <c r="F412" t="s">
        <v>675</v>
      </c>
      <c r="G412" t="s">
        <v>676</v>
      </c>
      <c r="H412" t="s">
        <v>677</v>
      </c>
      <c r="I412" t="s">
        <v>678</v>
      </c>
      <c r="J412" t="s">
        <v>679</v>
      </c>
      <c r="K412" t="s">
        <v>680</v>
      </c>
      <c r="L412" t="s">
        <v>681</v>
      </c>
      <c r="M412" t="s">
        <v>682</v>
      </c>
      <c r="N412" t="s">
        <v>683</v>
      </c>
      <c r="O412" t="s">
        <v>684</v>
      </c>
      <c r="P412" t="s">
        <v>685</v>
      </c>
    </row>
    <row r="413" spans="2:16" ht="15">
      <c r="B413" s="7"/>
      <c r="C413" t="s">
        <v>686</v>
      </c>
      <c r="D413" t="s">
        <v>1421</v>
      </c>
      <c r="E413" t="s">
        <v>688</v>
      </c>
      <c r="F413" t="s">
        <v>688</v>
      </c>
      <c r="G413" t="s">
        <v>688</v>
      </c>
      <c r="H413" t="s">
        <v>688</v>
      </c>
      <c r="I413" t="s">
        <v>688</v>
      </c>
      <c r="J413" t="s">
        <v>688</v>
      </c>
      <c r="K413" t="s">
        <v>688</v>
      </c>
      <c r="L413" t="s">
        <v>688</v>
      </c>
      <c r="N413" t="s">
        <v>688</v>
      </c>
    </row>
    <row r="414" spans="2:16" ht="15">
      <c r="B414" s="1">
        <v>206</v>
      </c>
      <c r="C414" t="str">
        <f ca="1">IFERROR(__xludf.DUMMYFUNCTION(TRANSPOSE(ImportHTML("http://spending.data.al/sq/moneypower/view/id/206", "table", 0))),"*Kategoria*")</f>
        <v>*Kategoria*</v>
      </c>
      <c r="D414" t="s">
        <v>673</v>
      </c>
      <c r="E414" t="s">
        <v>674</v>
      </c>
      <c r="F414" t="s">
        <v>675</v>
      </c>
      <c r="G414" t="s">
        <v>676</v>
      </c>
      <c r="H414" t="s">
        <v>677</v>
      </c>
      <c r="I414" t="s">
        <v>678</v>
      </c>
      <c r="J414" t="s">
        <v>679</v>
      </c>
      <c r="K414" t="s">
        <v>680</v>
      </c>
      <c r="L414" t="s">
        <v>681</v>
      </c>
      <c r="M414" t="s">
        <v>682</v>
      </c>
      <c r="N414" t="s">
        <v>683</v>
      </c>
      <c r="O414" t="s">
        <v>684</v>
      </c>
      <c r="P414" t="s">
        <v>685</v>
      </c>
    </row>
    <row r="415" spans="2:16" ht="15">
      <c r="B415" s="7"/>
      <c r="C415" t="s">
        <v>686</v>
      </c>
      <c r="D415" t="s">
        <v>1422</v>
      </c>
      <c r="E415" t="s">
        <v>688</v>
      </c>
      <c r="F415" t="s">
        <v>688</v>
      </c>
      <c r="G415" t="s">
        <v>688</v>
      </c>
      <c r="H415" t="s">
        <v>1423</v>
      </c>
      <c r="I415" t="s">
        <v>688</v>
      </c>
      <c r="J415" t="s">
        <v>688</v>
      </c>
      <c r="K415" t="s">
        <v>688</v>
      </c>
      <c r="L415" t="s">
        <v>688</v>
      </c>
      <c r="M415" t="s">
        <v>1424</v>
      </c>
      <c r="N415" t="s">
        <v>688</v>
      </c>
      <c r="P415" t="s">
        <v>1425</v>
      </c>
    </row>
    <row r="416" spans="2:16" ht="15">
      <c r="B416" s="1">
        <v>207</v>
      </c>
      <c r="C416" t="str">
        <f ca="1">IFERROR(__xludf.DUMMYFUNCTION(TRANSPOSE(ImportHTML("http://spending.data.al/sq/moneypower/view/id/207", "table", 0))),"*Kategoria*")</f>
        <v>*Kategoria*</v>
      </c>
      <c r="D416" t="s">
        <v>673</v>
      </c>
      <c r="E416" t="s">
        <v>674</v>
      </c>
      <c r="F416" t="s">
        <v>675</v>
      </c>
      <c r="G416" t="s">
        <v>676</v>
      </c>
      <c r="H416" t="s">
        <v>677</v>
      </c>
      <c r="I416" t="s">
        <v>678</v>
      </c>
      <c r="J416" t="s">
        <v>679</v>
      </c>
      <c r="K416" t="s">
        <v>680</v>
      </c>
      <c r="L416" t="s">
        <v>681</v>
      </c>
      <c r="M416" t="s">
        <v>682</v>
      </c>
      <c r="N416" t="s">
        <v>683</v>
      </c>
      <c r="O416" t="s">
        <v>684</v>
      </c>
      <c r="P416" t="s">
        <v>685</v>
      </c>
    </row>
    <row r="417" spans="2:16" ht="15">
      <c r="B417" s="7"/>
      <c r="C417" t="s">
        <v>686</v>
      </c>
      <c r="D417" t="s">
        <v>1426</v>
      </c>
      <c r="E417" t="s">
        <v>688</v>
      </c>
      <c r="F417" t="s">
        <v>688</v>
      </c>
      <c r="G417" t="s">
        <v>688</v>
      </c>
      <c r="H417" t="s">
        <v>1427</v>
      </c>
      <c r="I417" t="s">
        <v>688</v>
      </c>
      <c r="J417" t="s">
        <v>688</v>
      </c>
      <c r="K417" t="s">
        <v>688</v>
      </c>
      <c r="L417" t="s">
        <v>688</v>
      </c>
      <c r="M417" t="s">
        <v>688</v>
      </c>
      <c r="N417" t="s">
        <v>688</v>
      </c>
      <c r="P417" t="s">
        <v>1428</v>
      </c>
    </row>
    <row r="418" spans="2:16" ht="15">
      <c r="B418" s="1">
        <v>208</v>
      </c>
      <c r="C418" t="str">
        <f ca="1">IFERROR(__xludf.DUMMYFUNCTION(TRANSPOSE(ImportHTML("http://spending.data.al/sq/moneypower/view/id/208", "table", 0))),"*Kategoria*")</f>
        <v>*Kategoria*</v>
      </c>
      <c r="D418" t="s">
        <v>673</v>
      </c>
      <c r="E418" t="s">
        <v>674</v>
      </c>
      <c r="F418" t="s">
        <v>675</v>
      </c>
      <c r="G418" t="s">
        <v>676</v>
      </c>
      <c r="H418" t="s">
        <v>677</v>
      </c>
      <c r="I418" t="s">
        <v>678</v>
      </c>
      <c r="J418" t="s">
        <v>679</v>
      </c>
      <c r="K418" t="s">
        <v>680</v>
      </c>
      <c r="L418" t="s">
        <v>681</v>
      </c>
      <c r="M418" t="s">
        <v>682</v>
      </c>
      <c r="N418" t="s">
        <v>683</v>
      </c>
      <c r="O418" t="s">
        <v>684</v>
      </c>
      <c r="P418" t="s">
        <v>685</v>
      </c>
    </row>
    <row r="419" spans="2:16" ht="15">
      <c r="B419" s="7"/>
      <c r="C419" t="s">
        <v>686</v>
      </c>
      <c r="D419" t="s">
        <v>1429</v>
      </c>
      <c r="E419" t="s">
        <v>1430</v>
      </c>
      <c r="F419" t="s">
        <v>688</v>
      </c>
      <c r="G419" t="s">
        <v>688</v>
      </c>
      <c r="H419" t="s">
        <v>688</v>
      </c>
      <c r="I419" t="s">
        <v>688</v>
      </c>
      <c r="J419" t="s">
        <v>688</v>
      </c>
      <c r="K419" t="s">
        <v>688</v>
      </c>
      <c r="L419" t="s">
        <v>688</v>
      </c>
      <c r="M419" t="s">
        <v>1431</v>
      </c>
      <c r="N419" t="s">
        <v>688</v>
      </c>
      <c r="P419" t="s">
        <v>1432</v>
      </c>
    </row>
    <row r="420" spans="2:16" ht="15">
      <c r="B420" s="1">
        <v>209</v>
      </c>
      <c r="C420" t="str">
        <f ca="1">IFERROR(__xludf.DUMMYFUNCTION(TRANSPOSE(ImportHTML("http://spending.data.al/sq/moneypower/view/id/209", "table", 0))),"*Kategoria*")</f>
        <v>*Kategoria*</v>
      </c>
      <c r="D420" t="s">
        <v>673</v>
      </c>
      <c r="E420" t="s">
        <v>674</v>
      </c>
      <c r="F420" t="s">
        <v>675</v>
      </c>
      <c r="G420" t="s">
        <v>676</v>
      </c>
      <c r="H420" t="s">
        <v>677</v>
      </c>
      <c r="I420" t="s">
        <v>678</v>
      </c>
      <c r="J420" t="s">
        <v>679</v>
      </c>
      <c r="K420" t="s">
        <v>680</v>
      </c>
      <c r="L420" t="s">
        <v>681</v>
      </c>
      <c r="M420" t="s">
        <v>682</v>
      </c>
      <c r="N420" t="s">
        <v>683</v>
      </c>
      <c r="O420" t="s">
        <v>684</v>
      </c>
      <c r="P420" t="s">
        <v>685</v>
      </c>
    </row>
    <row r="421" spans="2:16" ht="15">
      <c r="B421" s="7"/>
      <c r="C421" t="s">
        <v>686</v>
      </c>
      <c r="D421" t="s">
        <v>1433</v>
      </c>
      <c r="E421" t="s">
        <v>688</v>
      </c>
      <c r="F421" t="s">
        <v>688</v>
      </c>
      <c r="G421" t="s">
        <v>688</v>
      </c>
      <c r="H421" t="s">
        <v>1434</v>
      </c>
      <c r="I421" t="s">
        <v>688</v>
      </c>
      <c r="J421" t="s">
        <v>688</v>
      </c>
      <c r="K421" t="s">
        <v>688</v>
      </c>
      <c r="L421" t="s">
        <v>688</v>
      </c>
      <c r="M421" t="s">
        <v>1435</v>
      </c>
      <c r="N421" t="s">
        <v>688</v>
      </c>
      <c r="P421" t="s">
        <v>1436</v>
      </c>
    </row>
    <row r="422" spans="2:16" ht="15">
      <c r="B422" s="1">
        <v>210</v>
      </c>
      <c r="C422" t="str">
        <f ca="1">IFERROR(__xludf.DUMMYFUNCTION(TRANSPOSE(ImportHTML("http://spending.data.al/sq/moneypower/view/id/210", "table", 0))),"*Kategoria*")</f>
        <v>*Kategoria*</v>
      </c>
      <c r="D422" t="s">
        <v>673</v>
      </c>
      <c r="E422" t="s">
        <v>674</v>
      </c>
      <c r="F422" t="s">
        <v>675</v>
      </c>
      <c r="G422" t="s">
        <v>676</v>
      </c>
      <c r="H422" t="s">
        <v>677</v>
      </c>
      <c r="I422" t="s">
        <v>678</v>
      </c>
      <c r="J422" t="s">
        <v>679</v>
      </c>
      <c r="K422" t="s">
        <v>680</v>
      </c>
      <c r="L422" t="s">
        <v>681</v>
      </c>
      <c r="M422" t="s">
        <v>682</v>
      </c>
      <c r="N422" t="s">
        <v>683</v>
      </c>
      <c r="O422" t="s">
        <v>684</v>
      </c>
      <c r="P422" t="s">
        <v>685</v>
      </c>
    </row>
    <row r="423" spans="2:16" ht="15">
      <c r="B423" s="7"/>
      <c r="C423" t="s">
        <v>686</v>
      </c>
      <c r="D423" t="s">
        <v>1437</v>
      </c>
      <c r="E423" t="s">
        <v>688</v>
      </c>
      <c r="F423" t="s">
        <v>688</v>
      </c>
      <c r="G423" t="s">
        <v>688</v>
      </c>
      <c r="H423" t="s">
        <v>688</v>
      </c>
      <c r="I423" t="s">
        <v>688</v>
      </c>
      <c r="J423" t="s">
        <v>688</v>
      </c>
      <c r="K423" t="s">
        <v>688</v>
      </c>
      <c r="L423" t="s">
        <v>688</v>
      </c>
      <c r="M423" t="s">
        <v>1438</v>
      </c>
      <c r="N423" t="s">
        <v>688</v>
      </c>
      <c r="P423" t="s">
        <v>1439</v>
      </c>
    </row>
    <row r="424" spans="2:16" ht="15">
      <c r="B424" s="1">
        <v>211</v>
      </c>
      <c r="C424" t="str">
        <f ca="1">IFERROR(__xludf.DUMMYFUNCTION(TRANSPOSE(ImportHTML("http://spending.data.al/sq/moneypower/view/id/211", "table", 0))),"*Kategoria*")</f>
        <v>*Kategoria*</v>
      </c>
      <c r="D424" t="s">
        <v>673</v>
      </c>
      <c r="E424" t="s">
        <v>674</v>
      </c>
      <c r="F424" t="s">
        <v>675</v>
      </c>
      <c r="G424" t="s">
        <v>676</v>
      </c>
      <c r="H424" t="s">
        <v>677</v>
      </c>
      <c r="I424" t="s">
        <v>678</v>
      </c>
      <c r="J424" t="s">
        <v>679</v>
      </c>
      <c r="K424" t="s">
        <v>680</v>
      </c>
      <c r="L424" t="s">
        <v>681</v>
      </c>
      <c r="M424" t="s">
        <v>682</v>
      </c>
      <c r="N424" t="s">
        <v>683</v>
      </c>
      <c r="O424" t="s">
        <v>684</v>
      </c>
      <c r="P424" t="s">
        <v>685</v>
      </c>
    </row>
    <row r="425" spans="2:16" ht="15">
      <c r="B425" s="7"/>
      <c r="C425" t="s">
        <v>686</v>
      </c>
      <c r="D425" t="s">
        <v>1440</v>
      </c>
      <c r="E425" t="s">
        <v>1441</v>
      </c>
      <c r="F425" t="s">
        <v>688</v>
      </c>
      <c r="G425" t="s">
        <v>1442</v>
      </c>
      <c r="H425" t="s">
        <v>1443</v>
      </c>
      <c r="I425" t="s">
        <v>688</v>
      </c>
      <c r="J425" t="s">
        <v>688</v>
      </c>
      <c r="K425" t="s">
        <v>688</v>
      </c>
      <c r="L425" t="s">
        <v>688</v>
      </c>
      <c r="M425" t="s">
        <v>1444</v>
      </c>
      <c r="N425" t="s">
        <v>1445</v>
      </c>
      <c r="P425" t="s">
        <v>1446</v>
      </c>
    </row>
    <row r="426" spans="2:16" ht="15">
      <c r="B426" s="1">
        <v>212</v>
      </c>
      <c r="C426" t="str">
        <f ca="1">IFERROR(__xludf.DUMMYFUNCTION(TRANSPOSE(ImportHTML("http://spending.data.al/sq/moneypower/view/id/212", "table", 0))),"*Kategoria*")</f>
        <v>*Kategoria*</v>
      </c>
      <c r="D426" t="s">
        <v>673</v>
      </c>
      <c r="E426" t="s">
        <v>674</v>
      </c>
      <c r="F426" t="s">
        <v>675</v>
      </c>
      <c r="G426" t="s">
        <v>676</v>
      </c>
      <c r="H426" t="s">
        <v>677</v>
      </c>
      <c r="I426" t="s">
        <v>678</v>
      </c>
      <c r="J426" t="s">
        <v>679</v>
      </c>
      <c r="K426" t="s">
        <v>680</v>
      </c>
      <c r="L426" t="s">
        <v>681</v>
      </c>
      <c r="M426" t="s">
        <v>682</v>
      </c>
      <c r="N426" t="s">
        <v>683</v>
      </c>
      <c r="O426" t="s">
        <v>684</v>
      </c>
      <c r="P426" t="s">
        <v>685</v>
      </c>
    </row>
    <row r="427" spans="2:16" ht="15">
      <c r="B427" s="7"/>
      <c r="C427" t="s">
        <v>686</v>
      </c>
      <c r="D427" t="s">
        <v>1447</v>
      </c>
      <c r="E427" t="s">
        <v>688</v>
      </c>
      <c r="F427" t="s">
        <v>688</v>
      </c>
      <c r="G427" t="s">
        <v>688</v>
      </c>
      <c r="H427" t="s">
        <v>688</v>
      </c>
      <c r="I427" t="s">
        <v>688</v>
      </c>
      <c r="J427" t="s">
        <v>688</v>
      </c>
      <c r="K427" t="s">
        <v>688</v>
      </c>
      <c r="L427" t="s">
        <v>688</v>
      </c>
      <c r="M427" t="s">
        <v>1448</v>
      </c>
      <c r="N427" t="s">
        <v>688</v>
      </c>
      <c r="P427" t="s">
        <v>688</v>
      </c>
    </row>
    <row r="428" spans="2:16" ht="15">
      <c r="B428" s="1">
        <v>213</v>
      </c>
      <c r="C428" t="str">
        <f ca="1">IFERROR(__xludf.DUMMYFUNCTION(TRANSPOSE(ImportHTML("http://spending.data.al/sq/moneypower/view/id/213", "table", 0))),"*Kategoria*")</f>
        <v>*Kategoria*</v>
      </c>
      <c r="D428" t="s">
        <v>673</v>
      </c>
      <c r="E428" t="s">
        <v>674</v>
      </c>
      <c r="F428" t="s">
        <v>675</v>
      </c>
      <c r="G428" t="s">
        <v>676</v>
      </c>
      <c r="H428" t="s">
        <v>677</v>
      </c>
      <c r="I428" t="s">
        <v>678</v>
      </c>
      <c r="J428" t="s">
        <v>679</v>
      </c>
      <c r="K428" t="s">
        <v>680</v>
      </c>
      <c r="L428" t="s">
        <v>681</v>
      </c>
      <c r="M428" t="s">
        <v>682</v>
      </c>
      <c r="N428" t="s">
        <v>683</v>
      </c>
      <c r="O428" t="s">
        <v>684</v>
      </c>
      <c r="P428" t="s">
        <v>685</v>
      </c>
    </row>
    <row r="429" spans="2:16" ht="15">
      <c r="B429" s="7"/>
      <c r="C429" t="s">
        <v>686</v>
      </c>
      <c r="D429" t="s">
        <v>1449</v>
      </c>
      <c r="E429" t="s">
        <v>688</v>
      </c>
      <c r="F429" t="s">
        <v>1450</v>
      </c>
      <c r="G429" t="s">
        <v>688</v>
      </c>
      <c r="H429" t="s">
        <v>688</v>
      </c>
      <c r="I429" t="s">
        <v>688</v>
      </c>
      <c r="J429" t="s">
        <v>688</v>
      </c>
      <c r="K429" t="s">
        <v>688</v>
      </c>
      <c r="L429" t="s">
        <v>688</v>
      </c>
      <c r="M429" t="s">
        <v>688</v>
      </c>
      <c r="N429" t="s">
        <v>688</v>
      </c>
      <c r="O429" s="4">
        <v>1.0900000000000001</v>
      </c>
      <c r="P429" t="s">
        <v>688</v>
      </c>
    </row>
    <row r="430" spans="2:16" ht="15">
      <c r="B430" s="1">
        <v>214</v>
      </c>
      <c r="C430" t="str">
        <f ca="1">IFERROR(__xludf.DUMMYFUNCTION(TRANSPOSE(ImportHTML("http://spending.data.al/sq/moneypower/view/id/214", "table", 0))),"*Kategoria*")</f>
        <v>*Kategoria*</v>
      </c>
      <c r="D430" t="s">
        <v>673</v>
      </c>
      <c r="E430" t="s">
        <v>674</v>
      </c>
      <c r="F430" t="s">
        <v>675</v>
      </c>
      <c r="G430" t="s">
        <v>676</v>
      </c>
      <c r="H430" t="s">
        <v>677</v>
      </c>
      <c r="I430" t="s">
        <v>678</v>
      </c>
      <c r="J430" t="s">
        <v>679</v>
      </c>
      <c r="K430" t="s">
        <v>680</v>
      </c>
      <c r="L430" t="s">
        <v>681</v>
      </c>
      <c r="M430" t="s">
        <v>682</v>
      </c>
      <c r="N430" t="s">
        <v>683</v>
      </c>
      <c r="O430" t="s">
        <v>684</v>
      </c>
      <c r="P430" t="s">
        <v>685</v>
      </c>
    </row>
    <row r="431" spans="2:16" ht="15">
      <c r="B431" s="7"/>
      <c r="C431" t="s">
        <v>686</v>
      </c>
      <c r="D431" t="s">
        <v>1451</v>
      </c>
      <c r="E431" t="s">
        <v>688</v>
      </c>
      <c r="F431" t="s">
        <v>1452</v>
      </c>
      <c r="G431" t="s">
        <v>688</v>
      </c>
      <c r="H431" t="s">
        <v>688</v>
      </c>
      <c r="I431" t="s">
        <v>688</v>
      </c>
      <c r="J431" t="s">
        <v>688</v>
      </c>
      <c r="K431" t="s">
        <v>688</v>
      </c>
      <c r="L431" t="s">
        <v>688</v>
      </c>
      <c r="M431" t="s">
        <v>1453</v>
      </c>
      <c r="N431" t="s">
        <v>688</v>
      </c>
      <c r="O431" s="4">
        <v>1.17</v>
      </c>
      <c r="P431" t="s">
        <v>688</v>
      </c>
    </row>
    <row r="432" spans="2:16" ht="15">
      <c r="B432" s="1">
        <v>215</v>
      </c>
      <c r="C432" t="str">
        <f ca="1">IFERROR(__xludf.DUMMYFUNCTION(TRANSPOSE(ImportHTML("http://spending.data.al/sq/moneypower/view/id/215", "table", 0))),"*Kategoria*")</f>
        <v>*Kategoria*</v>
      </c>
      <c r="D432" t="s">
        <v>673</v>
      </c>
      <c r="E432" t="s">
        <v>674</v>
      </c>
      <c r="F432" t="s">
        <v>675</v>
      </c>
      <c r="G432" t="s">
        <v>676</v>
      </c>
      <c r="H432" t="s">
        <v>677</v>
      </c>
      <c r="I432" t="s">
        <v>678</v>
      </c>
      <c r="J432" t="s">
        <v>679</v>
      </c>
      <c r="K432" t="s">
        <v>680</v>
      </c>
      <c r="L432" t="s">
        <v>681</v>
      </c>
      <c r="M432" t="s">
        <v>682</v>
      </c>
      <c r="N432" t="s">
        <v>683</v>
      </c>
      <c r="O432" t="s">
        <v>684</v>
      </c>
      <c r="P432" t="s">
        <v>685</v>
      </c>
    </row>
    <row r="433" spans="2:16" thickBot="1">
      <c r="B433" s="7"/>
      <c r="C433" t="s">
        <v>686</v>
      </c>
      <c r="D433" t="s">
        <v>1454</v>
      </c>
      <c r="E433" t="s">
        <v>1455</v>
      </c>
      <c r="F433" t="s">
        <v>1456</v>
      </c>
      <c r="G433" t="s">
        <v>688</v>
      </c>
      <c r="H433" t="s">
        <v>688</v>
      </c>
      <c r="I433" t="s">
        <v>688</v>
      </c>
      <c r="J433" t="s">
        <v>688</v>
      </c>
      <c r="K433" t="s">
        <v>688</v>
      </c>
      <c r="L433" t="s">
        <v>688</v>
      </c>
      <c r="M433" t="s">
        <v>1457</v>
      </c>
      <c r="N433" t="s">
        <v>688</v>
      </c>
      <c r="O433">
        <v>1.06</v>
      </c>
      <c r="P433" t="s">
        <v>688</v>
      </c>
    </row>
    <row r="434" spans="2:16" ht="108.75" thickBot="1">
      <c r="B434" s="1">
        <v>216</v>
      </c>
      <c r="C434" s="14" t="s">
        <v>4427</v>
      </c>
      <c r="D434" s="19" t="s">
        <v>4429</v>
      </c>
      <c r="E434" s="21" t="s">
        <v>4430</v>
      </c>
      <c r="F434" s="22"/>
      <c r="G434" s="22"/>
      <c r="H434" s="23"/>
      <c r="I434" s="19" t="s">
        <v>4431</v>
      </c>
      <c r="J434" s="19" t="s">
        <v>4432</v>
      </c>
      <c r="K434" s="19" t="s">
        <v>4433</v>
      </c>
      <c r="L434" s="19" t="s">
        <v>4434</v>
      </c>
      <c r="M434" s="19" t="s">
        <v>4435</v>
      </c>
    </row>
    <row r="435" spans="2:16" ht="96.75" thickBot="1">
      <c r="B435" s="7"/>
      <c r="C435" s="14" t="s">
        <v>4428</v>
      </c>
      <c r="D435" s="20" t="s">
        <v>4442</v>
      </c>
      <c r="E435" s="16"/>
      <c r="F435" s="17" t="s">
        <v>4443</v>
      </c>
      <c r="G435" s="17" t="s">
        <v>4444</v>
      </c>
      <c r="H435" s="18" t="s">
        <v>4445</v>
      </c>
      <c r="I435" s="20" t="s">
        <v>4446</v>
      </c>
      <c r="J435" s="20" t="s">
        <v>2601</v>
      </c>
      <c r="K435" s="20" t="s">
        <v>2601</v>
      </c>
      <c r="L435" s="20" t="s">
        <v>2601</v>
      </c>
      <c r="M435" s="20" t="s">
        <v>707</v>
      </c>
    </row>
    <row r="436" spans="2:16" ht="15">
      <c r="B436" s="1">
        <v>217</v>
      </c>
      <c r="C436" t="str">
        <f ca="1">IFERROR(__xludf.DUMMYFUNCTION(TRANSPOSE(ImportHTML("http://spending.data.al/sq/moneypower/view/id/217", "table", 0))),"*Kategoria*")</f>
        <v>*Kategoria*</v>
      </c>
      <c r="D436" t="s">
        <v>673</v>
      </c>
      <c r="E436" t="s">
        <v>674</v>
      </c>
      <c r="F436" t="s">
        <v>675</v>
      </c>
      <c r="G436" t="s">
        <v>676</v>
      </c>
      <c r="H436" t="s">
        <v>677</v>
      </c>
      <c r="I436" t="s">
        <v>678</v>
      </c>
      <c r="J436" t="s">
        <v>679</v>
      </c>
      <c r="K436" t="s">
        <v>680</v>
      </c>
      <c r="L436" t="s">
        <v>681</v>
      </c>
      <c r="M436" t="s">
        <v>682</v>
      </c>
      <c r="N436" t="s">
        <v>683</v>
      </c>
      <c r="O436" t="s">
        <v>684</v>
      </c>
      <c r="P436" t="s">
        <v>685</v>
      </c>
    </row>
    <row r="437" spans="2:16" ht="15">
      <c r="B437" s="7"/>
      <c r="C437" t="s">
        <v>686</v>
      </c>
      <c r="D437" t="s">
        <v>1458</v>
      </c>
      <c r="E437" t="s">
        <v>1459</v>
      </c>
      <c r="F437" t="s">
        <v>1460</v>
      </c>
      <c r="G437" t="s">
        <v>1461</v>
      </c>
      <c r="H437" t="s">
        <v>688</v>
      </c>
      <c r="I437" t="s">
        <v>688</v>
      </c>
      <c r="J437" t="s">
        <v>688</v>
      </c>
      <c r="K437" t="s">
        <v>688</v>
      </c>
      <c r="L437" t="s">
        <v>688</v>
      </c>
      <c r="M437" t="s">
        <v>1462</v>
      </c>
      <c r="N437" t="s">
        <v>688</v>
      </c>
      <c r="P437" t="s">
        <v>1463</v>
      </c>
    </row>
    <row r="438" spans="2:16" ht="15">
      <c r="B438" s="1">
        <v>218</v>
      </c>
      <c r="C438" t="str">
        <f ca="1">IFERROR(__xludf.DUMMYFUNCTION(TRANSPOSE(ImportHTML("http://spending.data.al/sq/moneypower/view/id/218", "table", 0))),"*Kategoria*")</f>
        <v>*Kategoria*</v>
      </c>
      <c r="D438" t="s">
        <v>673</v>
      </c>
      <c r="E438" t="s">
        <v>674</v>
      </c>
      <c r="F438" t="s">
        <v>675</v>
      </c>
      <c r="G438" t="s">
        <v>676</v>
      </c>
      <c r="H438" t="s">
        <v>677</v>
      </c>
      <c r="I438" t="s">
        <v>678</v>
      </c>
      <c r="J438" t="s">
        <v>679</v>
      </c>
      <c r="K438" t="s">
        <v>680</v>
      </c>
      <c r="L438" t="s">
        <v>681</v>
      </c>
      <c r="M438" t="s">
        <v>682</v>
      </c>
      <c r="N438" t="s">
        <v>683</v>
      </c>
      <c r="O438" t="s">
        <v>684</v>
      </c>
      <c r="P438" t="s">
        <v>685</v>
      </c>
    </row>
    <row r="439" spans="2:16" ht="15">
      <c r="B439" s="7"/>
      <c r="C439" t="s">
        <v>686</v>
      </c>
      <c r="D439" t="s">
        <v>1464</v>
      </c>
      <c r="E439" t="s">
        <v>688</v>
      </c>
      <c r="F439" t="s">
        <v>1465</v>
      </c>
      <c r="G439" t="s">
        <v>688</v>
      </c>
      <c r="H439" t="s">
        <v>1466</v>
      </c>
      <c r="I439" t="s">
        <v>688</v>
      </c>
      <c r="J439" t="s">
        <v>688</v>
      </c>
      <c r="K439" t="s">
        <v>688</v>
      </c>
      <c r="L439" t="s">
        <v>688</v>
      </c>
      <c r="M439" t="s">
        <v>1467</v>
      </c>
      <c r="N439" t="s">
        <v>688</v>
      </c>
      <c r="O439" s="4">
        <v>1.17</v>
      </c>
      <c r="P439" t="s">
        <v>688</v>
      </c>
    </row>
    <row r="440" spans="2:16" ht="15">
      <c r="B440" s="1">
        <v>219</v>
      </c>
      <c r="C440" t="str">
        <f ca="1">IFERROR(__xludf.DUMMYFUNCTION(TRANSPOSE(ImportHTML("http://spending.data.al/sq/moneypower/view/id/219", "table", 0))),"*Kategoria*")</f>
        <v>*Kategoria*</v>
      </c>
      <c r="D440" t="s">
        <v>673</v>
      </c>
      <c r="E440" t="s">
        <v>674</v>
      </c>
      <c r="F440" t="s">
        <v>675</v>
      </c>
      <c r="G440" t="s">
        <v>676</v>
      </c>
      <c r="H440" t="s">
        <v>677</v>
      </c>
      <c r="I440" t="s">
        <v>678</v>
      </c>
      <c r="J440" t="s">
        <v>679</v>
      </c>
      <c r="K440" t="s">
        <v>680</v>
      </c>
      <c r="L440" t="s">
        <v>681</v>
      </c>
      <c r="M440" t="s">
        <v>682</v>
      </c>
      <c r="N440" t="s">
        <v>683</v>
      </c>
      <c r="O440" t="s">
        <v>684</v>
      </c>
      <c r="P440" t="s">
        <v>685</v>
      </c>
    </row>
    <row r="441" spans="2:16" ht="15">
      <c r="B441" s="7"/>
      <c r="C441" t="s">
        <v>686</v>
      </c>
      <c r="D441" t="s">
        <v>1468</v>
      </c>
      <c r="E441" t="s">
        <v>1469</v>
      </c>
      <c r="F441" t="s">
        <v>1470</v>
      </c>
      <c r="G441" t="s">
        <v>688</v>
      </c>
      <c r="H441" t="s">
        <v>688</v>
      </c>
      <c r="I441" t="s">
        <v>688</v>
      </c>
      <c r="J441" t="s">
        <v>688</v>
      </c>
      <c r="K441" t="s">
        <v>688</v>
      </c>
      <c r="L441" t="s">
        <v>688</v>
      </c>
      <c r="M441" t="s">
        <v>688</v>
      </c>
      <c r="N441" t="s">
        <v>688</v>
      </c>
      <c r="O441" s="4">
        <v>1.1499999999999999</v>
      </c>
      <c r="P441" t="s">
        <v>688</v>
      </c>
    </row>
    <row r="442" spans="2:16" ht="15">
      <c r="B442" s="1">
        <v>220</v>
      </c>
      <c r="C442" t="str">
        <f ca="1">IFERROR(__xludf.DUMMYFUNCTION(TRANSPOSE(ImportHTML("http://spending.data.al/sq/moneypower/view/id/220", "table", 0))),"*Kategoria*")</f>
        <v>*Kategoria*</v>
      </c>
      <c r="D442" t="s">
        <v>673</v>
      </c>
      <c r="E442" t="s">
        <v>674</v>
      </c>
      <c r="F442" t="s">
        <v>675</v>
      </c>
      <c r="G442" t="s">
        <v>676</v>
      </c>
      <c r="H442" t="s">
        <v>677</v>
      </c>
      <c r="I442" t="s">
        <v>678</v>
      </c>
      <c r="J442" t="s">
        <v>679</v>
      </c>
      <c r="K442" t="s">
        <v>680</v>
      </c>
      <c r="L442" t="s">
        <v>681</v>
      </c>
      <c r="M442" t="s">
        <v>682</v>
      </c>
      <c r="N442" t="s">
        <v>683</v>
      </c>
      <c r="O442" t="s">
        <v>684</v>
      </c>
      <c r="P442" t="s">
        <v>685</v>
      </c>
    </row>
    <row r="443" spans="2:16" ht="15">
      <c r="B443" s="7"/>
      <c r="C443" t="s">
        <v>686</v>
      </c>
      <c r="D443" t="s">
        <v>1471</v>
      </c>
      <c r="E443" t="s">
        <v>688</v>
      </c>
      <c r="F443" t="s">
        <v>1472</v>
      </c>
      <c r="G443" t="s">
        <v>688</v>
      </c>
      <c r="H443" t="s">
        <v>688</v>
      </c>
      <c r="I443" t="s">
        <v>688</v>
      </c>
      <c r="J443" t="s">
        <v>688</v>
      </c>
      <c r="K443" t="s">
        <v>688</v>
      </c>
      <c r="L443" t="s">
        <v>688</v>
      </c>
      <c r="M443" t="s">
        <v>688</v>
      </c>
      <c r="N443" t="s">
        <v>688</v>
      </c>
      <c r="O443" s="4">
        <v>1.22</v>
      </c>
      <c r="P443" t="s">
        <v>1473</v>
      </c>
    </row>
    <row r="444" spans="2:16" ht="15">
      <c r="B444" s="1">
        <v>221</v>
      </c>
      <c r="C444" t="str">
        <f ca="1">IFERROR(__xludf.DUMMYFUNCTION(TRANSPOSE(ImportHTML("http://spending.data.al/sq/moneypower/view/id/221", "table", 0))),"*Kategoria*")</f>
        <v>*Kategoria*</v>
      </c>
      <c r="D444" t="s">
        <v>673</v>
      </c>
      <c r="E444" t="s">
        <v>674</v>
      </c>
      <c r="F444" t="s">
        <v>675</v>
      </c>
      <c r="G444" t="s">
        <v>676</v>
      </c>
      <c r="H444" t="s">
        <v>677</v>
      </c>
      <c r="I444" t="s">
        <v>678</v>
      </c>
      <c r="J444" t="s">
        <v>679</v>
      </c>
      <c r="K444" t="s">
        <v>680</v>
      </c>
      <c r="L444" t="s">
        <v>681</v>
      </c>
      <c r="M444" t="s">
        <v>682</v>
      </c>
      <c r="N444" t="s">
        <v>683</v>
      </c>
      <c r="O444" t="s">
        <v>684</v>
      </c>
      <c r="P444" t="s">
        <v>685</v>
      </c>
    </row>
    <row r="445" spans="2:16" ht="15">
      <c r="B445" s="7"/>
      <c r="C445" t="s">
        <v>686</v>
      </c>
      <c r="D445" t="s">
        <v>1474</v>
      </c>
      <c r="E445" t="s">
        <v>688</v>
      </c>
      <c r="F445" t="s">
        <v>688</v>
      </c>
      <c r="G445" t="s">
        <v>688</v>
      </c>
      <c r="H445" t="s">
        <v>688</v>
      </c>
      <c r="I445" t="s">
        <v>688</v>
      </c>
      <c r="J445" t="s">
        <v>688</v>
      </c>
      <c r="K445" t="s">
        <v>688</v>
      </c>
      <c r="L445" t="s">
        <v>688</v>
      </c>
      <c r="M445" t="s">
        <v>1475</v>
      </c>
      <c r="N445" t="s">
        <v>688</v>
      </c>
      <c r="O445" s="4">
        <v>1</v>
      </c>
      <c r="P445" t="s">
        <v>1476</v>
      </c>
    </row>
    <row r="446" spans="2:16" ht="15">
      <c r="B446" s="1">
        <v>222</v>
      </c>
      <c r="C446" t="str">
        <f ca="1">IFERROR(__xludf.DUMMYFUNCTION(TRANSPOSE(ImportHTML("http://spending.data.al/sq/moneypower/view/id/222", "table", 0))),"*Kategoria*")</f>
        <v>*Kategoria*</v>
      </c>
      <c r="D446" t="s">
        <v>673</v>
      </c>
      <c r="E446" t="s">
        <v>674</v>
      </c>
      <c r="F446" t="s">
        <v>675</v>
      </c>
      <c r="G446" t="s">
        <v>676</v>
      </c>
      <c r="H446" t="s">
        <v>677</v>
      </c>
      <c r="I446" t="s">
        <v>678</v>
      </c>
      <c r="J446" t="s">
        <v>679</v>
      </c>
      <c r="K446" t="s">
        <v>680</v>
      </c>
      <c r="L446" t="s">
        <v>681</v>
      </c>
      <c r="M446" t="s">
        <v>682</v>
      </c>
      <c r="N446" t="s">
        <v>683</v>
      </c>
      <c r="O446" t="s">
        <v>684</v>
      </c>
      <c r="P446" t="s">
        <v>685</v>
      </c>
    </row>
    <row r="447" spans="2:16" ht="15">
      <c r="B447" s="7"/>
      <c r="C447" t="s">
        <v>686</v>
      </c>
      <c r="D447" t="s">
        <v>1477</v>
      </c>
      <c r="E447" t="s">
        <v>688</v>
      </c>
      <c r="F447" t="s">
        <v>1478</v>
      </c>
      <c r="G447" t="s">
        <v>688</v>
      </c>
      <c r="H447" t="s">
        <v>688</v>
      </c>
      <c r="I447" t="s">
        <v>688</v>
      </c>
      <c r="J447" t="s">
        <v>688</v>
      </c>
      <c r="K447" t="s">
        <v>688</v>
      </c>
      <c r="L447" t="s">
        <v>688</v>
      </c>
      <c r="M447" t="s">
        <v>1479</v>
      </c>
      <c r="N447" t="s">
        <v>1480</v>
      </c>
      <c r="O447" s="4">
        <v>1.63</v>
      </c>
      <c r="P447" t="s">
        <v>1481</v>
      </c>
    </row>
    <row r="448" spans="2:16" ht="15">
      <c r="B448" s="1">
        <v>223</v>
      </c>
      <c r="C448" t="str">
        <f ca="1">IFERROR(__xludf.DUMMYFUNCTION(TRANSPOSE(ImportHTML("http://spending.data.al/sq/moneypower/view/id/223", "table", 0))),"*Kategoria*")</f>
        <v>*Kategoria*</v>
      </c>
      <c r="D448" t="s">
        <v>673</v>
      </c>
      <c r="E448" t="s">
        <v>674</v>
      </c>
      <c r="F448" t="s">
        <v>675</v>
      </c>
      <c r="G448" t="s">
        <v>676</v>
      </c>
      <c r="H448" t="s">
        <v>677</v>
      </c>
      <c r="I448" t="s">
        <v>678</v>
      </c>
      <c r="J448" t="s">
        <v>679</v>
      </c>
      <c r="K448" t="s">
        <v>680</v>
      </c>
      <c r="L448" t="s">
        <v>681</v>
      </c>
      <c r="M448" t="s">
        <v>682</v>
      </c>
      <c r="N448" t="s">
        <v>683</v>
      </c>
      <c r="O448" t="s">
        <v>684</v>
      </c>
      <c r="P448" t="s">
        <v>685</v>
      </c>
    </row>
    <row r="449" spans="2:16" ht="15">
      <c r="B449" s="7"/>
      <c r="C449" t="s">
        <v>686</v>
      </c>
      <c r="D449" t="s">
        <v>1482</v>
      </c>
      <c r="E449" t="s">
        <v>688</v>
      </c>
      <c r="F449" t="s">
        <v>688</v>
      </c>
      <c r="G449" t="s">
        <v>688</v>
      </c>
      <c r="H449" t="s">
        <v>688</v>
      </c>
      <c r="I449" t="s">
        <v>688</v>
      </c>
      <c r="J449" t="s">
        <v>688</v>
      </c>
      <c r="K449" t="s">
        <v>688</v>
      </c>
      <c r="L449" t="s">
        <v>688</v>
      </c>
      <c r="M449" t="s">
        <v>1483</v>
      </c>
      <c r="N449" t="s">
        <v>688</v>
      </c>
      <c r="O449" s="4">
        <v>1</v>
      </c>
      <c r="P449" t="s">
        <v>1484</v>
      </c>
    </row>
    <row r="450" spans="2:16" ht="15">
      <c r="B450" s="1">
        <v>224</v>
      </c>
      <c r="C450" t="str">
        <f ca="1">IFERROR(__xludf.DUMMYFUNCTION(TRANSPOSE(ImportHTML("http://spending.data.al/sq/moneypower/view/id/224", "table", 0))),"*Kategoria*")</f>
        <v>*Kategoria*</v>
      </c>
      <c r="D450" t="s">
        <v>673</v>
      </c>
      <c r="E450" t="s">
        <v>674</v>
      </c>
      <c r="F450" t="s">
        <v>675</v>
      </c>
      <c r="G450" t="s">
        <v>676</v>
      </c>
      <c r="H450" t="s">
        <v>677</v>
      </c>
      <c r="I450" t="s">
        <v>678</v>
      </c>
      <c r="J450" t="s">
        <v>679</v>
      </c>
      <c r="K450" t="s">
        <v>680</v>
      </c>
      <c r="L450" t="s">
        <v>681</v>
      </c>
      <c r="M450" t="s">
        <v>682</v>
      </c>
      <c r="N450" t="s">
        <v>683</v>
      </c>
      <c r="O450" t="s">
        <v>684</v>
      </c>
      <c r="P450" t="s">
        <v>685</v>
      </c>
    </row>
    <row r="451" spans="2:16" ht="15">
      <c r="B451" s="7"/>
      <c r="C451" t="s">
        <v>686</v>
      </c>
      <c r="D451" t="s">
        <v>1485</v>
      </c>
      <c r="E451" t="s">
        <v>1486</v>
      </c>
      <c r="F451" t="s">
        <v>1487</v>
      </c>
      <c r="G451" t="s">
        <v>688</v>
      </c>
      <c r="H451" t="s">
        <v>688</v>
      </c>
      <c r="I451" t="s">
        <v>688</v>
      </c>
      <c r="J451" t="s">
        <v>688</v>
      </c>
      <c r="K451" t="s">
        <v>688</v>
      </c>
      <c r="L451" t="s">
        <v>688</v>
      </c>
      <c r="M451" t="s">
        <v>1488</v>
      </c>
      <c r="N451" t="s">
        <v>688</v>
      </c>
      <c r="O451" s="4">
        <v>1.69</v>
      </c>
      <c r="P451" t="s">
        <v>688</v>
      </c>
    </row>
    <row r="452" spans="2:16" ht="15">
      <c r="B452" s="1">
        <v>225</v>
      </c>
      <c r="C452" t="str">
        <f ca="1">IFERROR(__xludf.DUMMYFUNCTION(TRANSPOSE(ImportHTML("http://spending.data.al/sq/moneypower/view/id/225", "table", 0))),"*Kategoria*")</f>
        <v>*Kategoria*</v>
      </c>
      <c r="D452" t="s">
        <v>673</v>
      </c>
      <c r="E452" t="s">
        <v>674</v>
      </c>
      <c r="F452" t="s">
        <v>675</v>
      </c>
      <c r="G452" t="s">
        <v>676</v>
      </c>
      <c r="H452" t="s">
        <v>677</v>
      </c>
      <c r="I452" t="s">
        <v>678</v>
      </c>
      <c r="J452" t="s">
        <v>679</v>
      </c>
      <c r="K452" t="s">
        <v>680</v>
      </c>
      <c r="L452" t="s">
        <v>681</v>
      </c>
      <c r="M452" t="s">
        <v>682</v>
      </c>
      <c r="N452" t="s">
        <v>683</v>
      </c>
      <c r="O452" t="s">
        <v>684</v>
      </c>
      <c r="P452" t="s">
        <v>685</v>
      </c>
    </row>
    <row r="453" spans="2:16" ht="15">
      <c r="B453" s="7"/>
      <c r="C453" t="s">
        <v>686</v>
      </c>
      <c r="D453" t="s">
        <v>1489</v>
      </c>
      <c r="E453" t="s">
        <v>688</v>
      </c>
      <c r="F453" t="s">
        <v>688</v>
      </c>
      <c r="G453" t="s">
        <v>688</v>
      </c>
      <c r="H453" t="s">
        <v>688</v>
      </c>
      <c r="I453" t="s">
        <v>688</v>
      </c>
      <c r="J453" t="s">
        <v>688</v>
      </c>
      <c r="K453" t="s">
        <v>688</v>
      </c>
      <c r="L453" t="s">
        <v>688</v>
      </c>
      <c r="M453" t="s">
        <v>1490</v>
      </c>
      <c r="N453" t="s">
        <v>1491</v>
      </c>
      <c r="O453" s="4">
        <v>5.98</v>
      </c>
      <c r="P453" t="s">
        <v>688</v>
      </c>
    </row>
    <row r="454" spans="2:16" ht="15">
      <c r="B454" s="1">
        <v>226</v>
      </c>
      <c r="C454" t="str">
        <f ca="1">IFERROR(__xludf.DUMMYFUNCTION(TRANSPOSE(ImportHTML("http://spending.data.al/sq/moneypower/view/id/226", "table", 0))),"*Kategoria*")</f>
        <v>*Kategoria*</v>
      </c>
      <c r="D454" t="s">
        <v>673</v>
      </c>
      <c r="E454" t="s">
        <v>674</v>
      </c>
      <c r="F454" t="s">
        <v>675</v>
      </c>
      <c r="G454" t="s">
        <v>676</v>
      </c>
      <c r="H454" t="s">
        <v>677</v>
      </c>
      <c r="I454" t="s">
        <v>678</v>
      </c>
      <c r="J454" t="s">
        <v>679</v>
      </c>
      <c r="K454" t="s">
        <v>680</v>
      </c>
      <c r="L454" t="s">
        <v>681</v>
      </c>
      <c r="M454" t="s">
        <v>682</v>
      </c>
      <c r="N454" t="s">
        <v>683</v>
      </c>
      <c r="O454" t="s">
        <v>684</v>
      </c>
      <c r="P454" t="s">
        <v>685</v>
      </c>
    </row>
    <row r="455" spans="2:16" ht="15">
      <c r="B455" s="7"/>
      <c r="C455" t="s">
        <v>686</v>
      </c>
      <c r="D455" t="s">
        <v>1492</v>
      </c>
      <c r="E455" t="s">
        <v>688</v>
      </c>
      <c r="F455" t="s">
        <v>1493</v>
      </c>
      <c r="G455" t="s">
        <v>1494</v>
      </c>
      <c r="H455" t="s">
        <v>688</v>
      </c>
      <c r="I455" t="s">
        <v>688</v>
      </c>
      <c r="J455" t="s">
        <v>688</v>
      </c>
      <c r="K455" t="s">
        <v>688</v>
      </c>
      <c r="L455" t="s">
        <v>688</v>
      </c>
      <c r="M455" t="s">
        <v>1495</v>
      </c>
      <c r="N455" t="s">
        <v>688</v>
      </c>
      <c r="O455" s="4">
        <v>1.32</v>
      </c>
      <c r="P455" t="s">
        <v>1496</v>
      </c>
    </row>
    <row r="456" spans="2:16" ht="15">
      <c r="B456" s="1">
        <v>227</v>
      </c>
      <c r="C456" t="str">
        <f ca="1">IFERROR(__xludf.DUMMYFUNCTION(TRANSPOSE(ImportHTML("http://spending.data.al/sq/moneypower/view/id/227", "table", 0))),"*Kategoria*")</f>
        <v>*Kategoria*</v>
      </c>
      <c r="D456" t="s">
        <v>673</v>
      </c>
      <c r="E456" t="s">
        <v>674</v>
      </c>
      <c r="F456" t="s">
        <v>675</v>
      </c>
      <c r="G456" t="s">
        <v>676</v>
      </c>
      <c r="H456" t="s">
        <v>677</v>
      </c>
      <c r="I456" t="s">
        <v>678</v>
      </c>
      <c r="J456" t="s">
        <v>679</v>
      </c>
      <c r="K456" t="s">
        <v>680</v>
      </c>
      <c r="L456" t="s">
        <v>681</v>
      </c>
      <c r="M456" t="s">
        <v>682</v>
      </c>
      <c r="N456" t="s">
        <v>683</v>
      </c>
      <c r="O456" t="s">
        <v>684</v>
      </c>
      <c r="P456" t="s">
        <v>685</v>
      </c>
    </row>
    <row r="457" spans="2:16" ht="15">
      <c r="B457" s="7"/>
      <c r="C457" t="s">
        <v>686</v>
      </c>
      <c r="D457" t="s">
        <v>1497</v>
      </c>
      <c r="E457" t="s">
        <v>688</v>
      </c>
      <c r="F457" t="s">
        <v>688</v>
      </c>
      <c r="G457" t="s">
        <v>688</v>
      </c>
      <c r="H457" t="s">
        <v>688</v>
      </c>
      <c r="I457" t="s">
        <v>688</v>
      </c>
      <c r="J457" t="s">
        <v>688</v>
      </c>
      <c r="K457" t="s">
        <v>688</v>
      </c>
      <c r="L457" t="s">
        <v>688</v>
      </c>
      <c r="M457" t="s">
        <v>1498</v>
      </c>
      <c r="N457" t="s">
        <v>688</v>
      </c>
      <c r="O457" s="4">
        <v>1</v>
      </c>
      <c r="P457" t="s">
        <v>707</v>
      </c>
    </row>
    <row r="458" spans="2:16" ht="15">
      <c r="B458" s="1">
        <v>228</v>
      </c>
      <c r="C458" t="str">
        <f ca="1">IFERROR(__xludf.DUMMYFUNCTION(TRANSPOSE(ImportHTML("http://spending.data.al/sq/moneypower/view/id/228", "table", 0))),"*Kategoria*")</f>
        <v>*Kategoria*</v>
      </c>
      <c r="D458" t="s">
        <v>673</v>
      </c>
      <c r="E458" t="s">
        <v>674</v>
      </c>
      <c r="F458" t="s">
        <v>675</v>
      </c>
      <c r="G458" t="s">
        <v>676</v>
      </c>
      <c r="H458" t="s">
        <v>677</v>
      </c>
      <c r="I458" t="s">
        <v>678</v>
      </c>
      <c r="J458" t="s">
        <v>679</v>
      </c>
      <c r="K458" t="s">
        <v>680</v>
      </c>
      <c r="L458" t="s">
        <v>681</v>
      </c>
      <c r="M458" t="s">
        <v>682</v>
      </c>
      <c r="N458" t="s">
        <v>683</v>
      </c>
      <c r="O458" t="s">
        <v>684</v>
      </c>
      <c r="P458" t="s">
        <v>685</v>
      </c>
    </row>
    <row r="459" spans="2:16" ht="15">
      <c r="B459" s="7"/>
      <c r="C459" t="s">
        <v>686</v>
      </c>
      <c r="D459" t="s">
        <v>1499</v>
      </c>
      <c r="E459" t="s">
        <v>1486</v>
      </c>
      <c r="F459" t="s">
        <v>1500</v>
      </c>
      <c r="G459" t="s">
        <v>688</v>
      </c>
      <c r="H459" t="s">
        <v>688</v>
      </c>
      <c r="I459" t="s">
        <v>688</v>
      </c>
      <c r="J459" t="s">
        <v>688</v>
      </c>
      <c r="K459" t="s">
        <v>688</v>
      </c>
      <c r="L459" t="s">
        <v>688</v>
      </c>
      <c r="M459" t="s">
        <v>1501</v>
      </c>
      <c r="N459" t="s">
        <v>688</v>
      </c>
      <c r="O459" s="4">
        <v>1.43</v>
      </c>
      <c r="P459" t="s">
        <v>1502</v>
      </c>
    </row>
    <row r="460" spans="2:16" ht="15">
      <c r="B460" s="1">
        <v>229</v>
      </c>
      <c r="C460" t="str">
        <f ca="1">IFERROR(__xludf.DUMMYFUNCTION(TRANSPOSE(ImportHTML("http://spending.data.al/sq/moneypower/view/id/229", "table", 0))),"*Kategoria*")</f>
        <v>*Kategoria*</v>
      </c>
      <c r="D460" t="s">
        <v>673</v>
      </c>
      <c r="E460" t="s">
        <v>674</v>
      </c>
      <c r="F460" t="s">
        <v>675</v>
      </c>
      <c r="G460" t="s">
        <v>676</v>
      </c>
      <c r="H460" t="s">
        <v>677</v>
      </c>
      <c r="I460" t="s">
        <v>678</v>
      </c>
      <c r="J460" t="s">
        <v>679</v>
      </c>
      <c r="K460" t="s">
        <v>680</v>
      </c>
      <c r="L460" t="s">
        <v>681</v>
      </c>
      <c r="M460" t="s">
        <v>682</v>
      </c>
      <c r="N460" t="s">
        <v>683</v>
      </c>
      <c r="O460" t="s">
        <v>684</v>
      </c>
      <c r="P460" t="s">
        <v>685</v>
      </c>
    </row>
    <row r="461" spans="2:16" ht="15">
      <c r="B461" s="7"/>
      <c r="C461" t="s">
        <v>686</v>
      </c>
      <c r="D461" t="s">
        <v>1503</v>
      </c>
      <c r="E461" t="s">
        <v>688</v>
      </c>
      <c r="F461" t="s">
        <v>688</v>
      </c>
      <c r="G461" t="s">
        <v>688</v>
      </c>
      <c r="H461" t="s">
        <v>688</v>
      </c>
      <c r="I461" t="s">
        <v>688</v>
      </c>
      <c r="J461" t="s">
        <v>688</v>
      </c>
      <c r="K461" t="s">
        <v>688</v>
      </c>
      <c r="L461" t="s">
        <v>688</v>
      </c>
      <c r="M461" t="s">
        <v>688</v>
      </c>
      <c r="N461" t="s">
        <v>688</v>
      </c>
      <c r="O461" s="4">
        <v>1</v>
      </c>
      <c r="P461" t="s">
        <v>688</v>
      </c>
    </row>
    <row r="462" spans="2:16" ht="15">
      <c r="B462" s="1">
        <v>230</v>
      </c>
      <c r="C462" t="str">
        <f ca="1">IFERROR(__xludf.DUMMYFUNCTION(TRANSPOSE(ImportHTML("http://spending.data.al/sq/moneypower/view/id/230", "table", 0))),"*Kategoria*")</f>
        <v>*Kategoria*</v>
      </c>
      <c r="D462" t="s">
        <v>673</v>
      </c>
      <c r="E462" t="s">
        <v>674</v>
      </c>
      <c r="F462" t="s">
        <v>675</v>
      </c>
      <c r="G462" t="s">
        <v>676</v>
      </c>
      <c r="H462" t="s">
        <v>677</v>
      </c>
      <c r="I462" t="s">
        <v>678</v>
      </c>
      <c r="J462" t="s">
        <v>679</v>
      </c>
      <c r="K462" t="s">
        <v>680</v>
      </c>
      <c r="L462" t="s">
        <v>681</v>
      </c>
      <c r="M462" t="s">
        <v>682</v>
      </c>
      <c r="N462" t="s">
        <v>683</v>
      </c>
      <c r="O462" t="s">
        <v>684</v>
      </c>
      <c r="P462" t="s">
        <v>685</v>
      </c>
    </row>
    <row r="463" spans="2:16" ht="15">
      <c r="B463" s="7"/>
      <c r="C463" t="s">
        <v>686</v>
      </c>
      <c r="D463" t="s">
        <v>1504</v>
      </c>
      <c r="E463" t="s">
        <v>688</v>
      </c>
      <c r="F463" t="s">
        <v>688</v>
      </c>
      <c r="G463" t="s">
        <v>688</v>
      </c>
      <c r="H463" t="s">
        <v>688</v>
      </c>
      <c r="I463" t="s">
        <v>688</v>
      </c>
      <c r="J463" t="s">
        <v>688</v>
      </c>
      <c r="K463" t="s">
        <v>688</v>
      </c>
      <c r="L463" t="s">
        <v>688</v>
      </c>
      <c r="M463" t="s">
        <v>1505</v>
      </c>
      <c r="N463" t="s">
        <v>688</v>
      </c>
      <c r="O463" s="4">
        <v>1</v>
      </c>
      <c r="P463" t="s">
        <v>688</v>
      </c>
    </row>
    <row r="464" spans="2:16" ht="15">
      <c r="B464" s="1">
        <v>231</v>
      </c>
      <c r="C464" t="str">
        <f ca="1">IFERROR(__xludf.DUMMYFUNCTION(TRANSPOSE(ImportHTML("http://spending.data.al/sq/moneypower/view/id/231", "table", 0))),"*Kategoria*")</f>
        <v>*Kategoria*</v>
      </c>
      <c r="D464" t="s">
        <v>673</v>
      </c>
      <c r="E464" t="s">
        <v>674</v>
      </c>
      <c r="F464" t="s">
        <v>675</v>
      </c>
      <c r="G464" t="s">
        <v>676</v>
      </c>
      <c r="H464" t="s">
        <v>677</v>
      </c>
      <c r="I464" t="s">
        <v>678</v>
      </c>
      <c r="J464" t="s">
        <v>679</v>
      </c>
      <c r="K464" t="s">
        <v>680</v>
      </c>
      <c r="L464" t="s">
        <v>681</v>
      </c>
      <c r="M464" t="s">
        <v>682</v>
      </c>
      <c r="N464" t="s">
        <v>683</v>
      </c>
      <c r="O464" t="s">
        <v>684</v>
      </c>
      <c r="P464" t="s">
        <v>685</v>
      </c>
    </row>
    <row r="465" spans="2:16" ht="15">
      <c r="B465" s="7"/>
      <c r="C465" t="s">
        <v>686</v>
      </c>
      <c r="D465" t="s">
        <v>1506</v>
      </c>
      <c r="E465" t="s">
        <v>1486</v>
      </c>
      <c r="F465" t="s">
        <v>1507</v>
      </c>
      <c r="G465" t="s">
        <v>688</v>
      </c>
      <c r="H465" t="s">
        <v>688</v>
      </c>
      <c r="I465" t="s">
        <v>688</v>
      </c>
      <c r="J465" t="s">
        <v>688</v>
      </c>
      <c r="K465" t="s">
        <v>688</v>
      </c>
      <c r="L465" t="s">
        <v>688</v>
      </c>
      <c r="M465" t="s">
        <v>688</v>
      </c>
      <c r="N465" t="s">
        <v>688</v>
      </c>
      <c r="O465" s="4">
        <v>1.1299999999999999</v>
      </c>
      <c r="P465" t="s">
        <v>688</v>
      </c>
    </row>
    <row r="466" spans="2:16" ht="15">
      <c r="B466" s="1">
        <v>232</v>
      </c>
      <c r="C466" t="str">
        <f ca="1">IFERROR(__xludf.DUMMYFUNCTION(TRANSPOSE(ImportHTML("http://spending.data.al/sq/moneypower/view/id/232", "table", 0))),"*Kategoria*")</f>
        <v>*Kategoria*</v>
      </c>
      <c r="D466" t="s">
        <v>673</v>
      </c>
      <c r="E466" t="s">
        <v>674</v>
      </c>
      <c r="F466" t="s">
        <v>675</v>
      </c>
      <c r="G466" t="s">
        <v>676</v>
      </c>
      <c r="H466" t="s">
        <v>677</v>
      </c>
      <c r="I466" t="s">
        <v>678</v>
      </c>
      <c r="J466" t="s">
        <v>679</v>
      </c>
      <c r="K466" t="s">
        <v>680</v>
      </c>
      <c r="L466" t="s">
        <v>681</v>
      </c>
      <c r="M466" t="s">
        <v>682</v>
      </c>
      <c r="N466" t="s">
        <v>683</v>
      </c>
      <c r="O466" t="s">
        <v>684</v>
      </c>
      <c r="P466" t="s">
        <v>685</v>
      </c>
    </row>
    <row r="467" spans="2:16" ht="15">
      <c r="B467" s="7"/>
      <c r="C467" t="s">
        <v>686</v>
      </c>
      <c r="D467" t="s">
        <v>1508</v>
      </c>
      <c r="E467" t="s">
        <v>688</v>
      </c>
      <c r="F467" t="s">
        <v>688</v>
      </c>
      <c r="G467" t="s">
        <v>688</v>
      </c>
      <c r="H467" t="s">
        <v>688</v>
      </c>
      <c r="I467" t="s">
        <v>688</v>
      </c>
      <c r="J467" t="s">
        <v>688</v>
      </c>
      <c r="K467" t="s">
        <v>688</v>
      </c>
      <c r="L467" t="s">
        <v>688</v>
      </c>
      <c r="M467" t="s">
        <v>1509</v>
      </c>
      <c r="N467" t="s">
        <v>688</v>
      </c>
      <c r="P467" t="s">
        <v>1510</v>
      </c>
    </row>
    <row r="468" spans="2:16" ht="15">
      <c r="B468" s="1">
        <v>233</v>
      </c>
      <c r="C468" t="str">
        <f ca="1">IFERROR(__xludf.DUMMYFUNCTION(TRANSPOSE(ImportHTML("http://spending.data.al/sq/moneypower/view/id/233", "table", 0))),"*Kategoria*")</f>
        <v>*Kategoria*</v>
      </c>
      <c r="D468" t="s">
        <v>673</v>
      </c>
      <c r="E468" t="s">
        <v>674</v>
      </c>
      <c r="F468" t="s">
        <v>675</v>
      </c>
      <c r="G468" t="s">
        <v>676</v>
      </c>
      <c r="H468" t="s">
        <v>677</v>
      </c>
      <c r="I468" t="s">
        <v>678</v>
      </c>
      <c r="J468" t="s">
        <v>679</v>
      </c>
      <c r="K468" t="s">
        <v>680</v>
      </c>
      <c r="L468" t="s">
        <v>681</v>
      </c>
      <c r="M468" t="s">
        <v>682</v>
      </c>
      <c r="N468" t="s">
        <v>683</v>
      </c>
      <c r="O468" t="s">
        <v>684</v>
      </c>
      <c r="P468" t="s">
        <v>685</v>
      </c>
    </row>
    <row r="469" spans="2:16" ht="15">
      <c r="B469" s="7"/>
      <c r="C469" t="s">
        <v>686</v>
      </c>
      <c r="D469" t="s">
        <v>1511</v>
      </c>
      <c r="E469" t="s">
        <v>1486</v>
      </c>
      <c r="F469" t="s">
        <v>1512</v>
      </c>
      <c r="G469" t="s">
        <v>1513</v>
      </c>
      <c r="H469" t="s">
        <v>688</v>
      </c>
      <c r="I469" t="s">
        <v>688</v>
      </c>
      <c r="J469" t="s">
        <v>688</v>
      </c>
      <c r="K469" t="s">
        <v>688</v>
      </c>
      <c r="L469" t="s">
        <v>688</v>
      </c>
      <c r="M469" t="s">
        <v>1514</v>
      </c>
      <c r="N469" t="s">
        <v>688</v>
      </c>
      <c r="O469" s="4">
        <v>1.1399999999999999</v>
      </c>
      <c r="P469" t="s">
        <v>688</v>
      </c>
    </row>
    <row r="470" spans="2:16" ht="15">
      <c r="B470" s="1">
        <v>234</v>
      </c>
      <c r="C470" t="str">
        <f ca="1">IFERROR(__xludf.DUMMYFUNCTION(TRANSPOSE(ImportHTML("http://spending.data.al/sq/moneypower/view/id/234", "table", 0))),"*Kategoria*")</f>
        <v>*Kategoria*</v>
      </c>
      <c r="D470" t="s">
        <v>673</v>
      </c>
      <c r="E470" t="s">
        <v>674</v>
      </c>
      <c r="F470" t="s">
        <v>675</v>
      </c>
      <c r="G470" t="s">
        <v>676</v>
      </c>
      <c r="H470" t="s">
        <v>677</v>
      </c>
      <c r="I470" t="s">
        <v>678</v>
      </c>
      <c r="J470" t="s">
        <v>679</v>
      </c>
      <c r="K470" t="s">
        <v>680</v>
      </c>
      <c r="L470" t="s">
        <v>681</v>
      </c>
      <c r="M470" t="s">
        <v>682</v>
      </c>
      <c r="N470" t="s">
        <v>683</v>
      </c>
      <c r="O470" t="s">
        <v>684</v>
      </c>
      <c r="P470" t="s">
        <v>685</v>
      </c>
    </row>
    <row r="471" spans="2:16" ht="15">
      <c r="B471" s="7"/>
      <c r="C471" t="s">
        <v>686</v>
      </c>
      <c r="D471" t="s">
        <v>688</v>
      </c>
      <c r="E471" t="s">
        <v>688</v>
      </c>
      <c r="F471" t="s">
        <v>688</v>
      </c>
      <c r="G471" t="s">
        <v>688</v>
      </c>
      <c r="H471" t="s">
        <v>688</v>
      </c>
      <c r="I471" t="s">
        <v>688</v>
      </c>
      <c r="J471" t="s">
        <v>688</v>
      </c>
      <c r="K471" t="s">
        <v>688</v>
      </c>
      <c r="L471" t="s">
        <v>688</v>
      </c>
      <c r="M471" t="s">
        <v>688</v>
      </c>
      <c r="N471" t="s">
        <v>688</v>
      </c>
      <c r="O471" t="s">
        <v>707</v>
      </c>
      <c r="P471" t="s">
        <v>688</v>
      </c>
    </row>
    <row r="472" spans="2:16" ht="15">
      <c r="B472" s="1">
        <v>235</v>
      </c>
      <c r="C472" t="str">
        <f ca="1">IFERROR(__xludf.DUMMYFUNCTION(TRANSPOSE(ImportHTML("http://spending.data.al/sq/moneypower/view/id/235", "table", 0))),"*Kategoria*")</f>
        <v>*Kategoria*</v>
      </c>
      <c r="D472" t="s">
        <v>673</v>
      </c>
      <c r="E472" t="s">
        <v>674</v>
      </c>
      <c r="F472" t="s">
        <v>675</v>
      </c>
      <c r="G472" t="s">
        <v>676</v>
      </c>
      <c r="H472" t="s">
        <v>677</v>
      </c>
      <c r="I472" t="s">
        <v>678</v>
      </c>
      <c r="J472" t="s">
        <v>679</v>
      </c>
      <c r="K472" t="s">
        <v>680</v>
      </c>
      <c r="L472" t="s">
        <v>681</v>
      </c>
      <c r="M472" t="s">
        <v>682</v>
      </c>
      <c r="N472" t="s">
        <v>683</v>
      </c>
      <c r="O472" t="s">
        <v>684</v>
      </c>
      <c r="P472" t="s">
        <v>685</v>
      </c>
    </row>
    <row r="473" spans="2:16" ht="15">
      <c r="B473" s="7"/>
      <c r="C473" t="s">
        <v>686</v>
      </c>
      <c r="D473" t="s">
        <v>1515</v>
      </c>
      <c r="E473" t="s">
        <v>688</v>
      </c>
      <c r="F473" t="s">
        <v>1516</v>
      </c>
      <c r="G473" t="s">
        <v>1517</v>
      </c>
      <c r="H473" t="s">
        <v>688</v>
      </c>
      <c r="I473" t="s">
        <v>688</v>
      </c>
      <c r="J473" t="s">
        <v>688</v>
      </c>
      <c r="K473" t="s">
        <v>688</v>
      </c>
      <c r="L473" t="s">
        <v>688</v>
      </c>
      <c r="M473" t="s">
        <v>1518</v>
      </c>
      <c r="N473" t="s">
        <v>688</v>
      </c>
      <c r="O473" s="4">
        <v>1.36</v>
      </c>
      <c r="P473" t="s">
        <v>688</v>
      </c>
    </row>
    <row r="474" spans="2:16" ht="15">
      <c r="B474" s="1">
        <v>236</v>
      </c>
      <c r="C474" t="str">
        <f ca="1">IFERROR(__xludf.DUMMYFUNCTION(TRANSPOSE(ImportHTML("http://spending.data.al/sq/moneypower/view/id/236", "table", 0))),"*Kategoria*")</f>
        <v>*Kategoria*</v>
      </c>
      <c r="D474" t="s">
        <v>673</v>
      </c>
      <c r="E474" t="s">
        <v>674</v>
      </c>
      <c r="F474" t="s">
        <v>675</v>
      </c>
      <c r="G474" t="s">
        <v>676</v>
      </c>
      <c r="H474" t="s">
        <v>677</v>
      </c>
      <c r="I474" t="s">
        <v>678</v>
      </c>
      <c r="J474" t="s">
        <v>679</v>
      </c>
      <c r="K474" t="s">
        <v>680</v>
      </c>
      <c r="L474" t="s">
        <v>681</v>
      </c>
      <c r="M474" t="s">
        <v>682</v>
      </c>
      <c r="N474" t="s">
        <v>683</v>
      </c>
      <c r="O474" t="s">
        <v>684</v>
      </c>
      <c r="P474" t="s">
        <v>685</v>
      </c>
    </row>
    <row r="475" spans="2:16" ht="15">
      <c r="B475" s="7"/>
      <c r="C475" t="s">
        <v>686</v>
      </c>
      <c r="D475" t="s">
        <v>1519</v>
      </c>
      <c r="E475" t="s">
        <v>1520</v>
      </c>
      <c r="F475" t="s">
        <v>688</v>
      </c>
      <c r="G475" t="s">
        <v>688</v>
      </c>
      <c r="H475" t="s">
        <v>688</v>
      </c>
      <c r="I475" t="s">
        <v>1521</v>
      </c>
      <c r="J475" t="s">
        <v>688</v>
      </c>
      <c r="K475" t="s">
        <v>688</v>
      </c>
      <c r="L475" t="s">
        <v>688</v>
      </c>
      <c r="M475" t="s">
        <v>1522</v>
      </c>
      <c r="N475" t="s">
        <v>1523</v>
      </c>
      <c r="P475" t="s">
        <v>1524</v>
      </c>
    </row>
    <row r="476" spans="2:16" ht="15">
      <c r="B476" s="1">
        <v>237</v>
      </c>
      <c r="C476" t="str">
        <f ca="1">IFERROR(__xludf.DUMMYFUNCTION(TRANSPOSE(ImportHTML("http://spending.data.al/sq/moneypower/view/id/237", "table", 0))),"*Kategoria*")</f>
        <v>*Kategoria*</v>
      </c>
      <c r="D476" t="s">
        <v>673</v>
      </c>
      <c r="E476" t="s">
        <v>674</v>
      </c>
      <c r="F476" t="s">
        <v>675</v>
      </c>
      <c r="G476" t="s">
        <v>676</v>
      </c>
      <c r="H476" t="s">
        <v>677</v>
      </c>
      <c r="I476" t="s">
        <v>678</v>
      </c>
      <c r="J476" t="s">
        <v>679</v>
      </c>
      <c r="K476" t="s">
        <v>680</v>
      </c>
      <c r="L476" t="s">
        <v>681</v>
      </c>
      <c r="M476" t="s">
        <v>682</v>
      </c>
      <c r="N476" t="s">
        <v>683</v>
      </c>
      <c r="O476" t="s">
        <v>684</v>
      </c>
      <c r="P476" t="s">
        <v>685</v>
      </c>
    </row>
    <row r="477" spans="2:16" ht="15">
      <c r="B477" s="7"/>
      <c r="C477" t="s">
        <v>686</v>
      </c>
      <c r="D477" t="s">
        <v>1525</v>
      </c>
      <c r="E477" t="s">
        <v>1526</v>
      </c>
      <c r="F477" t="s">
        <v>688</v>
      </c>
      <c r="G477" t="s">
        <v>1527</v>
      </c>
      <c r="H477" t="s">
        <v>1528</v>
      </c>
      <c r="I477" t="s">
        <v>688</v>
      </c>
      <c r="J477" t="s">
        <v>688</v>
      </c>
      <c r="K477" t="s">
        <v>688</v>
      </c>
      <c r="L477" t="s">
        <v>688</v>
      </c>
      <c r="M477" t="s">
        <v>1529</v>
      </c>
      <c r="N477" t="s">
        <v>688</v>
      </c>
      <c r="P477" t="s">
        <v>1530</v>
      </c>
    </row>
    <row r="478" spans="2:16" ht="15">
      <c r="B478" s="1">
        <v>238</v>
      </c>
      <c r="C478" t="str">
        <f ca="1">IFERROR(__xludf.DUMMYFUNCTION(TRANSPOSE(ImportHTML("http://spending.data.al/sq/moneypower/view/id/238", "table", 0))),"*Kategoria*")</f>
        <v>*Kategoria*</v>
      </c>
      <c r="D478" t="s">
        <v>673</v>
      </c>
      <c r="E478" t="s">
        <v>674</v>
      </c>
      <c r="F478" t="s">
        <v>675</v>
      </c>
      <c r="G478" t="s">
        <v>676</v>
      </c>
      <c r="H478" t="s">
        <v>677</v>
      </c>
      <c r="I478" t="s">
        <v>678</v>
      </c>
      <c r="J478" t="s">
        <v>679</v>
      </c>
      <c r="K478" t="s">
        <v>680</v>
      </c>
      <c r="L478" t="s">
        <v>681</v>
      </c>
      <c r="M478" t="s">
        <v>682</v>
      </c>
      <c r="N478" t="s">
        <v>683</v>
      </c>
      <c r="O478" t="s">
        <v>684</v>
      </c>
      <c r="P478" t="s">
        <v>685</v>
      </c>
    </row>
    <row r="479" spans="2:16" ht="15">
      <c r="B479" s="7"/>
      <c r="C479" t="s">
        <v>686</v>
      </c>
      <c r="D479" t="s">
        <v>1531</v>
      </c>
      <c r="E479" t="s">
        <v>1532</v>
      </c>
      <c r="F479" t="s">
        <v>688</v>
      </c>
      <c r="G479" t="s">
        <v>688</v>
      </c>
      <c r="H479" t="s">
        <v>688</v>
      </c>
      <c r="I479" t="s">
        <v>688</v>
      </c>
      <c r="J479" t="s">
        <v>688</v>
      </c>
      <c r="K479" t="s">
        <v>688</v>
      </c>
      <c r="L479" t="s">
        <v>688</v>
      </c>
      <c r="M479" t="s">
        <v>1533</v>
      </c>
      <c r="N479" t="s">
        <v>688</v>
      </c>
      <c r="P479" t="s">
        <v>1534</v>
      </c>
    </row>
    <row r="480" spans="2:16" ht="15">
      <c r="B480" s="1">
        <v>239</v>
      </c>
      <c r="C480" t="str">
        <f ca="1">IFERROR(__xludf.DUMMYFUNCTION(TRANSPOSE(ImportHTML("http://spending.data.al/sq/moneypower/view/id/239", "table", 0))),"*Kategoria*")</f>
        <v>*Kategoria*</v>
      </c>
      <c r="D480" t="s">
        <v>673</v>
      </c>
      <c r="E480" t="s">
        <v>674</v>
      </c>
      <c r="F480" t="s">
        <v>675</v>
      </c>
      <c r="G480" t="s">
        <v>676</v>
      </c>
      <c r="H480" t="s">
        <v>677</v>
      </c>
      <c r="I480" t="s">
        <v>678</v>
      </c>
      <c r="J480" t="s">
        <v>679</v>
      </c>
      <c r="K480" t="s">
        <v>680</v>
      </c>
      <c r="L480" t="s">
        <v>681</v>
      </c>
      <c r="M480" t="s">
        <v>682</v>
      </c>
      <c r="N480" t="s">
        <v>683</v>
      </c>
      <c r="O480" t="s">
        <v>684</v>
      </c>
      <c r="P480" t="s">
        <v>685</v>
      </c>
    </row>
    <row r="481" spans="2:16" ht="15">
      <c r="B481" s="7"/>
      <c r="C481" t="s">
        <v>686</v>
      </c>
      <c r="D481" t="s">
        <v>1535</v>
      </c>
      <c r="E481" t="s">
        <v>688</v>
      </c>
      <c r="F481" t="s">
        <v>688</v>
      </c>
      <c r="G481" t="s">
        <v>688</v>
      </c>
      <c r="H481" t="s">
        <v>1536</v>
      </c>
      <c r="I481" t="s">
        <v>688</v>
      </c>
      <c r="J481" t="s">
        <v>688</v>
      </c>
      <c r="K481" t="s">
        <v>688</v>
      </c>
      <c r="L481" t="s">
        <v>688</v>
      </c>
      <c r="M481" t="s">
        <v>1537</v>
      </c>
      <c r="N481" t="s">
        <v>688</v>
      </c>
      <c r="P481" t="s">
        <v>1538</v>
      </c>
    </row>
    <row r="482" spans="2:16" ht="15">
      <c r="B482" s="1">
        <v>240</v>
      </c>
      <c r="C482" t="str">
        <f ca="1">IFERROR(__xludf.DUMMYFUNCTION(TRANSPOSE(ImportHTML("http://spending.data.al/sq/moneypower/view/id/240", "table", 0))),"*Kategoria*")</f>
        <v>*Kategoria*</v>
      </c>
      <c r="D482" t="s">
        <v>673</v>
      </c>
      <c r="E482" t="s">
        <v>674</v>
      </c>
      <c r="F482" t="s">
        <v>675</v>
      </c>
      <c r="G482" t="s">
        <v>676</v>
      </c>
      <c r="H482" t="s">
        <v>677</v>
      </c>
      <c r="I482" t="s">
        <v>678</v>
      </c>
      <c r="J482" t="s">
        <v>679</v>
      </c>
      <c r="K482" t="s">
        <v>680</v>
      </c>
      <c r="L482" t="s">
        <v>681</v>
      </c>
      <c r="M482" t="s">
        <v>682</v>
      </c>
      <c r="N482" t="s">
        <v>683</v>
      </c>
      <c r="O482" t="s">
        <v>684</v>
      </c>
      <c r="P482" t="s">
        <v>685</v>
      </c>
    </row>
    <row r="483" spans="2:16" ht="15">
      <c r="B483" s="7"/>
      <c r="C483" t="s">
        <v>686</v>
      </c>
      <c r="D483" t="s">
        <v>1539</v>
      </c>
      <c r="E483" t="s">
        <v>688</v>
      </c>
      <c r="F483" t="s">
        <v>688</v>
      </c>
      <c r="G483" t="s">
        <v>688</v>
      </c>
      <c r="H483" t="s">
        <v>688</v>
      </c>
      <c r="I483" t="s">
        <v>688</v>
      </c>
      <c r="J483" t="s">
        <v>688</v>
      </c>
      <c r="K483" t="s">
        <v>688</v>
      </c>
      <c r="L483" t="s">
        <v>688</v>
      </c>
      <c r="M483" t="s">
        <v>1540</v>
      </c>
      <c r="N483" t="s">
        <v>688</v>
      </c>
      <c r="P483" t="s">
        <v>1541</v>
      </c>
    </row>
    <row r="484" spans="2:16" ht="15">
      <c r="B484" s="1">
        <v>241</v>
      </c>
      <c r="C484" t="str">
        <f ca="1">IFERROR(__xludf.DUMMYFUNCTION(TRANSPOSE(ImportHTML("http://spending.data.al/sq/moneypower/view/id/241", "table", 0))),"*Kategoria*")</f>
        <v>*Kategoria*</v>
      </c>
      <c r="D484" t="s">
        <v>673</v>
      </c>
      <c r="E484" t="s">
        <v>674</v>
      </c>
      <c r="F484" t="s">
        <v>675</v>
      </c>
      <c r="G484" t="s">
        <v>676</v>
      </c>
      <c r="H484" t="s">
        <v>677</v>
      </c>
      <c r="I484" t="s">
        <v>678</v>
      </c>
      <c r="J484" t="s">
        <v>679</v>
      </c>
      <c r="K484" t="s">
        <v>680</v>
      </c>
      <c r="L484" t="s">
        <v>681</v>
      </c>
      <c r="M484" t="s">
        <v>682</v>
      </c>
      <c r="N484" t="s">
        <v>683</v>
      </c>
      <c r="O484" t="s">
        <v>684</v>
      </c>
      <c r="P484" t="s">
        <v>685</v>
      </c>
    </row>
    <row r="485" spans="2:16" ht="15">
      <c r="B485" s="7"/>
      <c r="C485" t="s">
        <v>686</v>
      </c>
      <c r="D485" t="s">
        <v>1542</v>
      </c>
      <c r="E485" t="s">
        <v>688</v>
      </c>
      <c r="F485" t="s">
        <v>688</v>
      </c>
      <c r="G485" t="s">
        <v>688</v>
      </c>
      <c r="H485" t="s">
        <v>688</v>
      </c>
      <c r="I485" t="s">
        <v>688</v>
      </c>
      <c r="J485" t="s">
        <v>688</v>
      </c>
      <c r="K485" t="s">
        <v>688</v>
      </c>
      <c r="L485" t="s">
        <v>688</v>
      </c>
      <c r="M485" t="s">
        <v>1543</v>
      </c>
      <c r="N485" t="s">
        <v>688</v>
      </c>
      <c r="P485" t="s">
        <v>1544</v>
      </c>
    </row>
    <row r="486" spans="2:16" ht="15">
      <c r="B486" s="1">
        <v>242</v>
      </c>
      <c r="C486" t="str">
        <f ca="1">IFERROR(__xludf.DUMMYFUNCTION(TRANSPOSE(ImportHTML("http://spending.data.al/sq/moneypower/view/id/242", "table", 0))),"*Kategoria*")</f>
        <v>*Kategoria*</v>
      </c>
      <c r="D486" t="s">
        <v>673</v>
      </c>
      <c r="E486" t="s">
        <v>674</v>
      </c>
      <c r="F486" t="s">
        <v>675</v>
      </c>
      <c r="G486" t="s">
        <v>676</v>
      </c>
      <c r="H486" t="s">
        <v>677</v>
      </c>
      <c r="I486" t="s">
        <v>678</v>
      </c>
      <c r="J486" t="s">
        <v>679</v>
      </c>
      <c r="K486" t="s">
        <v>680</v>
      </c>
      <c r="L486" t="s">
        <v>681</v>
      </c>
      <c r="M486" t="s">
        <v>682</v>
      </c>
      <c r="N486" t="s">
        <v>683</v>
      </c>
      <c r="O486" t="s">
        <v>684</v>
      </c>
      <c r="P486" t="s">
        <v>685</v>
      </c>
    </row>
    <row r="487" spans="2:16" ht="15">
      <c r="B487" s="7"/>
      <c r="C487" t="s">
        <v>686</v>
      </c>
      <c r="D487" t="s">
        <v>1545</v>
      </c>
      <c r="E487" t="s">
        <v>688</v>
      </c>
      <c r="F487" t="s">
        <v>688</v>
      </c>
      <c r="G487" t="s">
        <v>688</v>
      </c>
      <c r="H487" t="s">
        <v>688</v>
      </c>
      <c r="I487" t="s">
        <v>688</v>
      </c>
      <c r="J487" t="s">
        <v>688</v>
      </c>
      <c r="K487" t="s">
        <v>688</v>
      </c>
      <c r="L487" t="s">
        <v>688</v>
      </c>
      <c r="M487" t="s">
        <v>1546</v>
      </c>
      <c r="N487" t="s">
        <v>688</v>
      </c>
      <c r="P487" t="s">
        <v>1547</v>
      </c>
    </row>
    <row r="488" spans="2:16" ht="15">
      <c r="B488" s="1">
        <v>243</v>
      </c>
      <c r="C488" t="str">
        <f ca="1">IFERROR(__xludf.DUMMYFUNCTION(TRANSPOSE(ImportHTML("http://spending.data.al/sq/moneypower/view/id/243", "table", 0))),"*Kategoria*")</f>
        <v>*Kategoria*</v>
      </c>
      <c r="D488" t="s">
        <v>673</v>
      </c>
      <c r="E488" t="s">
        <v>674</v>
      </c>
      <c r="F488" t="s">
        <v>675</v>
      </c>
      <c r="G488" t="s">
        <v>676</v>
      </c>
      <c r="H488" t="s">
        <v>677</v>
      </c>
      <c r="I488" t="s">
        <v>678</v>
      </c>
      <c r="J488" t="s">
        <v>679</v>
      </c>
      <c r="K488" t="s">
        <v>680</v>
      </c>
      <c r="L488" t="s">
        <v>681</v>
      </c>
      <c r="M488" t="s">
        <v>682</v>
      </c>
      <c r="N488" t="s">
        <v>683</v>
      </c>
      <c r="O488" t="s">
        <v>684</v>
      </c>
      <c r="P488" t="s">
        <v>685</v>
      </c>
    </row>
    <row r="489" spans="2:16" ht="15">
      <c r="B489" s="7"/>
      <c r="C489" t="s">
        <v>686</v>
      </c>
      <c r="D489" t="s">
        <v>1545</v>
      </c>
      <c r="E489" t="s">
        <v>688</v>
      </c>
      <c r="F489" t="s">
        <v>688</v>
      </c>
      <c r="G489" t="s">
        <v>688</v>
      </c>
      <c r="H489" t="s">
        <v>688</v>
      </c>
      <c r="I489" t="s">
        <v>688</v>
      </c>
      <c r="J489" t="s">
        <v>688</v>
      </c>
      <c r="K489" t="s">
        <v>688</v>
      </c>
      <c r="L489" t="s">
        <v>688</v>
      </c>
      <c r="M489" t="s">
        <v>1548</v>
      </c>
      <c r="N489" t="s">
        <v>688</v>
      </c>
      <c r="P489" t="s">
        <v>1549</v>
      </c>
    </row>
    <row r="490" spans="2:16" ht="15">
      <c r="B490" s="1">
        <v>244</v>
      </c>
      <c r="C490" t="str">
        <f ca="1">IFERROR(__xludf.DUMMYFUNCTION(TRANSPOSE(ImportHTML("http://spending.data.al/sq/moneypower/view/id/244", "table", 0))),"*Kategoria*")</f>
        <v>*Kategoria*</v>
      </c>
      <c r="D490" t="s">
        <v>673</v>
      </c>
      <c r="E490" t="s">
        <v>674</v>
      </c>
      <c r="F490" t="s">
        <v>675</v>
      </c>
      <c r="G490" t="s">
        <v>676</v>
      </c>
      <c r="H490" t="s">
        <v>677</v>
      </c>
      <c r="I490" t="s">
        <v>678</v>
      </c>
      <c r="J490" t="s">
        <v>679</v>
      </c>
      <c r="K490" t="s">
        <v>680</v>
      </c>
      <c r="L490" t="s">
        <v>681</v>
      </c>
      <c r="M490" t="s">
        <v>682</v>
      </c>
      <c r="N490" t="s">
        <v>683</v>
      </c>
      <c r="O490" t="s">
        <v>684</v>
      </c>
      <c r="P490" t="s">
        <v>685</v>
      </c>
    </row>
    <row r="491" spans="2:16" ht="15">
      <c r="B491" s="7"/>
      <c r="C491" t="s">
        <v>686</v>
      </c>
      <c r="D491" t="s">
        <v>1550</v>
      </c>
      <c r="E491" t="s">
        <v>688</v>
      </c>
      <c r="F491" t="s">
        <v>688</v>
      </c>
      <c r="G491" t="s">
        <v>688</v>
      </c>
      <c r="H491" t="s">
        <v>1551</v>
      </c>
      <c r="I491" t="s">
        <v>688</v>
      </c>
      <c r="J491" t="s">
        <v>688</v>
      </c>
      <c r="K491" t="s">
        <v>688</v>
      </c>
      <c r="L491" t="s">
        <v>688</v>
      </c>
      <c r="M491" t="s">
        <v>1552</v>
      </c>
      <c r="N491" t="s">
        <v>688</v>
      </c>
      <c r="P491" t="s">
        <v>1553</v>
      </c>
    </row>
    <row r="492" spans="2:16" ht="15">
      <c r="B492" s="1">
        <v>245</v>
      </c>
      <c r="C492" t="str">
        <f ca="1">IFERROR(__xludf.DUMMYFUNCTION(TRANSPOSE(ImportHTML("http://spending.data.al/sq/moneypower/view/id/245", "table", 0))),"*Kategoria*")</f>
        <v>*Kategoria*</v>
      </c>
      <c r="D492" t="s">
        <v>673</v>
      </c>
      <c r="E492" t="s">
        <v>674</v>
      </c>
      <c r="F492" t="s">
        <v>675</v>
      </c>
      <c r="G492" t="s">
        <v>676</v>
      </c>
      <c r="H492" t="s">
        <v>677</v>
      </c>
      <c r="I492" t="s">
        <v>678</v>
      </c>
      <c r="J492" t="s">
        <v>679</v>
      </c>
      <c r="K492" t="s">
        <v>680</v>
      </c>
      <c r="L492" t="s">
        <v>681</v>
      </c>
      <c r="M492" t="s">
        <v>682</v>
      </c>
      <c r="N492" t="s">
        <v>683</v>
      </c>
      <c r="O492" t="s">
        <v>684</v>
      </c>
      <c r="P492" t="s">
        <v>685</v>
      </c>
    </row>
    <row r="493" spans="2:16" ht="15">
      <c r="B493" s="7"/>
      <c r="C493" t="s">
        <v>686</v>
      </c>
      <c r="D493" t="s">
        <v>1554</v>
      </c>
      <c r="E493" t="s">
        <v>688</v>
      </c>
      <c r="F493" t="s">
        <v>688</v>
      </c>
      <c r="G493" t="s">
        <v>688</v>
      </c>
      <c r="H493" t="s">
        <v>688</v>
      </c>
      <c r="I493" t="s">
        <v>688</v>
      </c>
      <c r="J493" t="s">
        <v>688</v>
      </c>
      <c r="K493" t="s">
        <v>688</v>
      </c>
      <c r="L493" t="s">
        <v>688</v>
      </c>
      <c r="M493" t="s">
        <v>1555</v>
      </c>
      <c r="N493" t="s">
        <v>688</v>
      </c>
      <c r="P493" t="s">
        <v>1556</v>
      </c>
    </row>
    <row r="494" spans="2:16" ht="15">
      <c r="B494" s="1">
        <v>246</v>
      </c>
      <c r="C494" t="str">
        <f ca="1">IFERROR(__xludf.DUMMYFUNCTION(TRANSPOSE(ImportHTML("http://spending.data.al/sq/moneypower/view/id/246", "table", 0))),"*Kategoria*")</f>
        <v>*Kategoria*</v>
      </c>
      <c r="D494" t="s">
        <v>673</v>
      </c>
      <c r="E494" t="s">
        <v>674</v>
      </c>
      <c r="F494" t="s">
        <v>675</v>
      </c>
      <c r="G494" t="s">
        <v>676</v>
      </c>
      <c r="H494" t="s">
        <v>677</v>
      </c>
      <c r="I494" t="s">
        <v>678</v>
      </c>
      <c r="J494" t="s">
        <v>679</v>
      </c>
      <c r="K494" t="s">
        <v>680</v>
      </c>
      <c r="L494" t="s">
        <v>681</v>
      </c>
      <c r="M494" t="s">
        <v>682</v>
      </c>
      <c r="N494" t="s">
        <v>683</v>
      </c>
      <c r="O494" t="s">
        <v>684</v>
      </c>
      <c r="P494" t="s">
        <v>685</v>
      </c>
    </row>
    <row r="495" spans="2:16" ht="15">
      <c r="B495" s="7"/>
      <c r="C495" t="s">
        <v>686</v>
      </c>
      <c r="D495" t="s">
        <v>1545</v>
      </c>
      <c r="E495" t="s">
        <v>688</v>
      </c>
      <c r="F495" t="s">
        <v>688</v>
      </c>
      <c r="G495" t="s">
        <v>688</v>
      </c>
      <c r="H495" t="s">
        <v>688</v>
      </c>
      <c r="I495" t="s">
        <v>688</v>
      </c>
      <c r="J495" t="s">
        <v>688</v>
      </c>
      <c r="K495" t="s">
        <v>688</v>
      </c>
      <c r="L495" t="s">
        <v>688</v>
      </c>
      <c r="M495" t="s">
        <v>1557</v>
      </c>
      <c r="N495" t="s">
        <v>688</v>
      </c>
      <c r="P495" t="s">
        <v>688</v>
      </c>
    </row>
    <row r="496" spans="2:16" ht="15">
      <c r="B496" s="1">
        <v>247</v>
      </c>
      <c r="C496" t="str">
        <f ca="1">IFERROR(__xludf.DUMMYFUNCTION(TRANSPOSE(ImportHTML("http://spending.data.al/sq/moneypower/view/id/247", "table", 0))),"*Kategoria*")</f>
        <v>*Kategoria*</v>
      </c>
      <c r="D496" t="s">
        <v>673</v>
      </c>
      <c r="E496" t="s">
        <v>674</v>
      </c>
      <c r="F496" t="s">
        <v>675</v>
      </c>
      <c r="G496" t="s">
        <v>676</v>
      </c>
      <c r="H496" t="s">
        <v>677</v>
      </c>
      <c r="I496" t="s">
        <v>678</v>
      </c>
      <c r="J496" t="s">
        <v>679</v>
      </c>
      <c r="K496" t="s">
        <v>680</v>
      </c>
      <c r="L496" t="s">
        <v>681</v>
      </c>
      <c r="M496" t="s">
        <v>682</v>
      </c>
      <c r="N496" t="s">
        <v>683</v>
      </c>
      <c r="O496" t="s">
        <v>684</v>
      </c>
      <c r="P496" t="s">
        <v>685</v>
      </c>
    </row>
    <row r="497" spans="2:16" ht="15">
      <c r="B497" s="7"/>
      <c r="C497" t="s">
        <v>686</v>
      </c>
      <c r="D497" t="s">
        <v>1558</v>
      </c>
      <c r="E497" t="s">
        <v>1520</v>
      </c>
      <c r="F497" t="s">
        <v>688</v>
      </c>
      <c r="G497" t="s">
        <v>688</v>
      </c>
      <c r="H497" t="s">
        <v>688</v>
      </c>
      <c r="I497" t="s">
        <v>688</v>
      </c>
      <c r="J497" t="s">
        <v>688</v>
      </c>
      <c r="K497" t="s">
        <v>688</v>
      </c>
      <c r="L497" t="s">
        <v>688</v>
      </c>
      <c r="M497" t="s">
        <v>1559</v>
      </c>
      <c r="N497" t="s">
        <v>688</v>
      </c>
      <c r="P497" t="s">
        <v>1560</v>
      </c>
    </row>
    <row r="498" spans="2:16" ht="15">
      <c r="B498" s="1">
        <v>248</v>
      </c>
      <c r="C498" t="str">
        <f ca="1">IFERROR(__xludf.DUMMYFUNCTION(TRANSPOSE(ImportHTML("http://spending.data.al/sq/moneypower/view/id/248", "table", 0))),"*Kategoria*")</f>
        <v>*Kategoria*</v>
      </c>
      <c r="D498" t="s">
        <v>673</v>
      </c>
      <c r="E498" t="s">
        <v>674</v>
      </c>
      <c r="F498" t="s">
        <v>675</v>
      </c>
      <c r="G498" t="s">
        <v>676</v>
      </c>
      <c r="H498" t="s">
        <v>677</v>
      </c>
      <c r="I498" t="s">
        <v>678</v>
      </c>
      <c r="J498" t="s">
        <v>679</v>
      </c>
      <c r="K498" t="s">
        <v>680</v>
      </c>
      <c r="L498" t="s">
        <v>681</v>
      </c>
      <c r="M498" t="s">
        <v>682</v>
      </c>
      <c r="N498" t="s">
        <v>683</v>
      </c>
      <c r="O498" t="s">
        <v>684</v>
      </c>
      <c r="P498" t="s">
        <v>685</v>
      </c>
    </row>
    <row r="499" spans="2:16" ht="15">
      <c r="B499" s="7"/>
      <c r="C499" t="s">
        <v>686</v>
      </c>
      <c r="D499" t="s">
        <v>1561</v>
      </c>
      <c r="E499" t="s">
        <v>688</v>
      </c>
      <c r="F499" t="s">
        <v>1562</v>
      </c>
      <c r="G499" t="s">
        <v>688</v>
      </c>
      <c r="H499" t="s">
        <v>1563</v>
      </c>
      <c r="I499" t="s">
        <v>688</v>
      </c>
      <c r="J499" t="s">
        <v>688</v>
      </c>
      <c r="K499" t="s">
        <v>688</v>
      </c>
      <c r="L499" t="s">
        <v>688</v>
      </c>
      <c r="M499" t="s">
        <v>1564</v>
      </c>
      <c r="N499" t="s">
        <v>688</v>
      </c>
      <c r="O499" s="4">
        <v>1.43</v>
      </c>
      <c r="P499" t="s">
        <v>1565</v>
      </c>
    </row>
    <row r="500" spans="2:16" ht="15">
      <c r="B500" s="1">
        <v>249</v>
      </c>
      <c r="C500" t="str">
        <f ca="1">IFERROR(__xludf.DUMMYFUNCTION(TRANSPOSE(ImportHTML("http://spending.data.al/sq/moneypower/view/id/249", "table", 0))),"*Kategoria*")</f>
        <v>*Kategoria*</v>
      </c>
      <c r="D500" t="s">
        <v>673</v>
      </c>
      <c r="E500" t="s">
        <v>674</v>
      </c>
      <c r="F500" t="s">
        <v>675</v>
      </c>
      <c r="G500" t="s">
        <v>676</v>
      </c>
      <c r="H500" t="s">
        <v>677</v>
      </c>
      <c r="I500" t="s">
        <v>678</v>
      </c>
      <c r="J500" t="s">
        <v>679</v>
      </c>
      <c r="K500" t="s">
        <v>680</v>
      </c>
      <c r="L500" t="s">
        <v>681</v>
      </c>
      <c r="M500" t="s">
        <v>682</v>
      </c>
      <c r="N500" t="s">
        <v>683</v>
      </c>
      <c r="O500" t="s">
        <v>684</v>
      </c>
      <c r="P500" t="s">
        <v>685</v>
      </c>
    </row>
    <row r="501" spans="2:16" ht="15">
      <c r="B501" s="7"/>
      <c r="C501" t="s">
        <v>686</v>
      </c>
      <c r="D501" t="s">
        <v>1566</v>
      </c>
      <c r="E501" t="s">
        <v>688</v>
      </c>
      <c r="F501" t="s">
        <v>688</v>
      </c>
      <c r="G501" t="s">
        <v>1567</v>
      </c>
      <c r="H501" t="s">
        <v>688</v>
      </c>
      <c r="I501" t="s">
        <v>688</v>
      </c>
      <c r="J501" t="s">
        <v>688</v>
      </c>
      <c r="K501" t="s">
        <v>688</v>
      </c>
      <c r="L501" t="s">
        <v>688</v>
      </c>
      <c r="M501" t="s">
        <v>1568</v>
      </c>
      <c r="N501" t="s">
        <v>688</v>
      </c>
      <c r="P501" t="s">
        <v>1569</v>
      </c>
    </row>
    <row r="502" spans="2:16" ht="15">
      <c r="B502" s="1">
        <v>250</v>
      </c>
      <c r="C502" t="str">
        <f ca="1">IFERROR(__xludf.DUMMYFUNCTION(TRANSPOSE(ImportHTML("http://spending.data.al/sq/moneypower/view/id/250", "table", 0))),"*Kategoria*")</f>
        <v>*Kategoria*</v>
      </c>
      <c r="D502" t="s">
        <v>673</v>
      </c>
      <c r="E502" t="s">
        <v>674</v>
      </c>
      <c r="F502" t="s">
        <v>675</v>
      </c>
      <c r="G502" t="s">
        <v>676</v>
      </c>
      <c r="H502" t="s">
        <v>677</v>
      </c>
      <c r="I502" t="s">
        <v>678</v>
      </c>
      <c r="J502" t="s">
        <v>679</v>
      </c>
      <c r="K502" t="s">
        <v>680</v>
      </c>
      <c r="L502" t="s">
        <v>681</v>
      </c>
      <c r="M502" t="s">
        <v>682</v>
      </c>
      <c r="N502" t="s">
        <v>683</v>
      </c>
      <c r="O502" t="s">
        <v>684</v>
      </c>
      <c r="P502" t="s">
        <v>685</v>
      </c>
    </row>
    <row r="503" spans="2:16" ht="15">
      <c r="B503" s="7"/>
      <c r="C503" t="s">
        <v>686</v>
      </c>
      <c r="D503" t="s">
        <v>1570</v>
      </c>
      <c r="E503" t="s">
        <v>688</v>
      </c>
      <c r="F503" t="s">
        <v>688</v>
      </c>
      <c r="G503" t="s">
        <v>1571</v>
      </c>
      <c r="H503" t="s">
        <v>688</v>
      </c>
      <c r="I503" t="s">
        <v>688</v>
      </c>
      <c r="J503" t="s">
        <v>688</v>
      </c>
      <c r="K503" t="s">
        <v>688</v>
      </c>
      <c r="L503" t="s">
        <v>688</v>
      </c>
      <c r="M503" t="s">
        <v>1572</v>
      </c>
      <c r="N503" t="s">
        <v>688</v>
      </c>
      <c r="P503" t="s">
        <v>1573</v>
      </c>
    </row>
    <row r="504" spans="2:16" ht="15">
      <c r="B504" s="1">
        <v>251</v>
      </c>
      <c r="C504" t="str">
        <f ca="1">IFERROR(__xludf.DUMMYFUNCTION(TRANSPOSE(ImportHTML("http://spending.data.al/sq/moneypower/view/id/251", "table", 0))),"*Kategoria*")</f>
        <v>*Kategoria*</v>
      </c>
      <c r="D504" t="s">
        <v>673</v>
      </c>
      <c r="E504" t="s">
        <v>674</v>
      </c>
      <c r="F504" t="s">
        <v>675</v>
      </c>
      <c r="G504" t="s">
        <v>676</v>
      </c>
      <c r="H504" t="s">
        <v>677</v>
      </c>
      <c r="I504" t="s">
        <v>678</v>
      </c>
      <c r="J504" t="s">
        <v>679</v>
      </c>
      <c r="K504" t="s">
        <v>680</v>
      </c>
      <c r="L504" t="s">
        <v>681</v>
      </c>
      <c r="M504" t="s">
        <v>682</v>
      </c>
      <c r="N504" t="s">
        <v>683</v>
      </c>
      <c r="O504" t="s">
        <v>684</v>
      </c>
      <c r="P504" t="s">
        <v>685</v>
      </c>
    </row>
    <row r="505" spans="2:16" ht="15">
      <c r="B505" s="7"/>
      <c r="C505" t="s">
        <v>686</v>
      </c>
      <c r="D505" t="s">
        <v>1574</v>
      </c>
      <c r="E505" t="s">
        <v>688</v>
      </c>
      <c r="F505" t="s">
        <v>688</v>
      </c>
      <c r="G505" t="s">
        <v>688</v>
      </c>
      <c r="H505" t="s">
        <v>688</v>
      </c>
      <c r="I505" t="s">
        <v>688</v>
      </c>
      <c r="J505" t="s">
        <v>688</v>
      </c>
      <c r="K505" t="s">
        <v>688</v>
      </c>
      <c r="L505" t="s">
        <v>688</v>
      </c>
      <c r="M505" t="s">
        <v>1575</v>
      </c>
      <c r="N505" t="s">
        <v>688</v>
      </c>
      <c r="P505" t="s">
        <v>1576</v>
      </c>
    </row>
    <row r="506" spans="2:16" ht="15">
      <c r="B506" s="1">
        <v>252</v>
      </c>
      <c r="C506" t="str">
        <f ca="1">IFERROR(__xludf.DUMMYFUNCTION(TRANSPOSE(ImportHTML("http://spending.data.al/sq/moneypower/view/id/252", "table", 0))),"*Kategoria*")</f>
        <v>*Kategoria*</v>
      </c>
      <c r="D506" t="s">
        <v>673</v>
      </c>
      <c r="E506" t="s">
        <v>674</v>
      </c>
      <c r="F506" t="s">
        <v>675</v>
      </c>
      <c r="G506" t="s">
        <v>676</v>
      </c>
      <c r="H506" t="s">
        <v>677</v>
      </c>
      <c r="I506" t="s">
        <v>678</v>
      </c>
      <c r="J506" t="s">
        <v>679</v>
      </c>
      <c r="K506" t="s">
        <v>680</v>
      </c>
      <c r="L506" t="s">
        <v>681</v>
      </c>
      <c r="M506" t="s">
        <v>682</v>
      </c>
      <c r="N506" t="s">
        <v>683</v>
      </c>
      <c r="O506" t="s">
        <v>684</v>
      </c>
      <c r="P506" t="s">
        <v>685</v>
      </c>
    </row>
    <row r="507" spans="2:16" ht="15">
      <c r="B507" s="7"/>
      <c r="C507" t="s">
        <v>686</v>
      </c>
      <c r="D507" t="s">
        <v>1577</v>
      </c>
      <c r="E507" t="s">
        <v>688</v>
      </c>
      <c r="F507" t="s">
        <v>688</v>
      </c>
      <c r="G507" t="s">
        <v>688</v>
      </c>
      <c r="H507" t="s">
        <v>688</v>
      </c>
      <c r="I507" t="s">
        <v>688</v>
      </c>
      <c r="J507" t="s">
        <v>688</v>
      </c>
      <c r="K507" t="s">
        <v>688</v>
      </c>
      <c r="L507" t="s">
        <v>688</v>
      </c>
      <c r="M507" t="s">
        <v>688</v>
      </c>
      <c r="N507" t="s">
        <v>688</v>
      </c>
      <c r="P507" t="s">
        <v>1578</v>
      </c>
    </row>
    <row r="508" spans="2:16" ht="15">
      <c r="B508" s="1">
        <v>253</v>
      </c>
      <c r="C508" t="str">
        <f ca="1">IFERROR(__xludf.DUMMYFUNCTION(TRANSPOSE(ImportHTML("http://spending.data.al/sq/moneypower/view/id/253", "table", 0))),"*Kategoria*")</f>
        <v>*Kategoria*</v>
      </c>
      <c r="D508" t="s">
        <v>673</v>
      </c>
      <c r="E508" t="s">
        <v>674</v>
      </c>
      <c r="F508" t="s">
        <v>675</v>
      </c>
      <c r="G508" t="s">
        <v>676</v>
      </c>
      <c r="H508" t="s">
        <v>677</v>
      </c>
      <c r="I508" t="s">
        <v>678</v>
      </c>
      <c r="J508" t="s">
        <v>679</v>
      </c>
      <c r="K508" t="s">
        <v>680</v>
      </c>
      <c r="L508" t="s">
        <v>681</v>
      </c>
      <c r="M508" t="s">
        <v>682</v>
      </c>
      <c r="N508" t="s">
        <v>683</v>
      </c>
      <c r="O508" t="s">
        <v>684</v>
      </c>
      <c r="P508" t="s">
        <v>685</v>
      </c>
    </row>
    <row r="509" spans="2:16" ht="15">
      <c r="B509" s="7"/>
      <c r="C509" t="s">
        <v>686</v>
      </c>
      <c r="D509" t="s">
        <v>1579</v>
      </c>
      <c r="E509" t="s">
        <v>688</v>
      </c>
      <c r="F509" t="s">
        <v>688</v>
      </c>
      <c r="G509" t="s">
        <v>688</v>
      </c>
      <c r="H509" t="s">
        <v>688</v>
      </c>
      <c r="I509" t="s">
        <v>688</v>
      </c>
      <c r="J509" t="s">
        <v>688</v>
      </c>
      <c r="K509" t="s">
        <v>688</v>
      </c>
      <c r="L509" t="s">
        <v>688</v>
      </c>
      <c r="M509" t="s">
        <v>1580</v>
      </c>
      <c r="N509" t="s">
        <v>688</v>
      </c>
      <c r="P509" t="s">
        <v>1581</v>
      </c>
    </row>
    <row r="510" spans="2:16" ht="15">
      <c r="B510" s="1">
        <v>254</v>
      </c>
      <c r="C510" t="str">
        <f ca="1">IFERROR(__xludf.DUMMYFUNCTION(TRANSPOSE(ImportHTML("http://spending.data.al/sq/moneypower/view/id/254", "table", 0))),"*Kategoria*")</f>
        <v>*Kategoria*</v>
      </c>
      <c r="D510" t="s">
        <v>673</v>
      </c>
      <c r="E510" t="s">
        <v>674</v>
      </c>
      <c r="F510" t="s">
        <v>675</v>
      </c>
      <c r="G510" t="s">
        <v>676</v>
      </c>
      <c r="H510" t="s">
        <v>677</v>
      </c>
      <c r="I510" t="s">
        <v>678</v>
      </c>
      <c r="J510" t="s">
        <v>679</v>
      </c>
      <c r="K510" t="s">
        <v>680</v>
      </c>
      <c r="L510" t="s">
        <v>681</v>
      </c>
      <c r="M510" t="s">
        <v>682</v>
      </c>
      <c r="N510" t="s">
        <v>683</v>
      </c>
      <c r="O510" t="s">
        <v>684</v>
      </c>
      <c r="P510" t="s">
        <v>685</v>
      </c>
    </row>
    <row r="511" spans="2:16" ht="15">
      <c r="B511" s="7"/>
      <c r="C511" t="s">
        <v>686</v>
      </c>
      <c r="D511" t="s">
        <v>1582</v>
      </c>
      <c r="E511" t="s">
        <v>688</v>
      </c>
      <c r="F511" t="s">
        <v>688</v>
      </c>
      <c r="G511" t="s">
        <v>1583</v>
      </c>
      <c r="H511" t="s">
        <v>688</v>
      </c>
      <c r="I511" t="s">
        <v>688</v>
      </c>
      <c r="J511" t="s">
        <v>688</v>
      </c>
      <c r="K511" t="s">
        <v>688</v>
      </c>
      <c r="L511" t="s">
        <v>688</v>
      </c>
      <c r="N511" t="s">
        <v>688</v>
      </c>
      <c r="P511" t="s">
        <v>1584</v>
      </c>
    </row>
    <row r="512" spans="2:16" ht="15">
      <c r="B512" s="1">
        <v>255</v>
      </c>
      <c r="C512" t="str">
        <f ca="1">IFERROR(__xludf.DUMMYFUNCTION(TRANSPOSE(ImportHTML("http://spending.data.al/sq/moneypower/view/id/255", "table", 0))),"*Kategoria*")</f>
        <v>*Kategoria*</v>
      </c>
      <c r="D512" t="s">
        <v>673</v>
      </c>
      <c r="E512" t="s">
        <v>674</v>
      </c>
      <c r="F512" t="s">
        <v>675</v>
      </c>
      <c r="G512" t="s">
        <v>676</v>
      </c>
      <c r="H512" t="s">
        <v>677</v>
      </c>
      <c r="I512" t="s">
        <v>678</v>
      </c>
      <c r="J512" t="s">
        <v>679</v>
      </c>
      <c r="K512" t="s">
        <v>680</v>
      </c>
      <c r="L512" t="s">
        <v>681</v>
      </c>
      <c r="M512" t="s">
        <v>682</v>
      </c>
      <c r="N512" t="s">
        <v>683</v>
      </c>
      <c r="O512" t="s">
        <v>684</v>
      </c>
      <c r="P512" t="s">
        <v>685</v>
      </c>
    </row>
    <row r="513" spans="2:16" ht="15">
      <c r="B513" s="7"/>
      <c r="C513" t="s">
        <v>686</v>
      </c>
      <c r="D513" t="s">
        <v>1585</v>
      </c>
      <c r="E513" t="s">
        <v>688</v>
      </c>
      <c r="F513" t="s">
        <v>688</v>
      </c>
      <c r="G513" t="s">
        <v>688</v>
      </c>
      <c r="H513" t="s">
        <v>1586</v>
      </c>
      <c r="I513" t="s">
        <v>688</v>
      </c>
      <c r="J513" t="s">
        <v>688</v>
      </c>
      <c r="K513" t="s">
        <v>688</v>
      </c>
      <c r="L513" t="s">
        <v>688</v>
      </c>
      <c r="M513" t="s">
        <v>1587</v>
      </c>
      <c r="N513" t="s">
        <v>688</v>
      </c>
      <c r="P513" t="s">
        <v>1588</v>
      </c>
    </row>
    <row r="514" spans="2:16" ht="15">
      <c r="B514" s="1">
        <v>256</v>
      </c>
      <c r="C514" t="str">
        <f ca="1">IFERROR(__xludf.DUMMYFUNCTION(TRANSPOSE(ImportHTML("http://spending.data.al/sq/moneypower/view/id/256", "table", 0))),"*Kategoria*")</f>
        <v>*Kategoria*</v>
      </c>
      <c r="D514" t="s">
        <v>673</v>
      </c>
      <c r="E514" t="s">
        <v>674</v>
      </c>
      <c r="F514" t="s">
        <v>675</v>
      </c>
      <c r="G514" t="s">
        <v>676</v>
      </c>
      <c r="H514" t="s">
        <v>677</v>
      </c>
      <c r="I514" t="s">
        <v>678</v>
      </c>
      <c r="J514" t="s">
        <v>679</v>
      </c>
      <c r="K514" t="s">
        <v>680</v>
      </c>
      <c r="L514" t="s">
        <v>681</v>
      </c>
      <c r="M514" t="s">
        <v>682</v>
      </c>
      <c r="N514" t="s">
        <v>683</v>
      </c>
      <c r="O514" t="s">
        <v>684</v>
      </c>
      <c r="P514" t="s">
        <v>685</v>
      </c>
    </row>
    <row r="515" spans="2:16" ht="15">
      <c r="B515" s="7"/>
      <c r="C515" t="s">
        <v>686</v>
      </c>
      <c r="D515" t="s">
        <v>1589</v>
      </c>
      <c r="E515" t="s">
        <v>688</v>
      </c>
      <c r="F515" t="s">
        <v>688</v>
      </c>
      <c r="G515" t="s">
        <v>1590</v>
      </c>
      <c r="H515" t="s">
        <v>688</v>
      </c>
      <c r="I515" t="s">
        <v>688</v>
      </c>
      <c r="J515" t="s">
        <v>688</v>
      </c>
      <c r="K515" t="s">
        <v>688</v>
      </c>
      <c r="L515" t="s">
        <v>688</v>
      </c>
      <c r="M515" t="s">
        <v>1591</v>
      </c>
      <c r="N515" t="s">
        <v>688</v>
      </c>
      <c r="P515" t="s">
        <v>1592</v>
      </c>
    </row>
    <row r="516" spans="2:16" ht="15">
      <c r="B516" s="1">
        <v>257</v>
      </c>
      <c r="C516" t="str">
        <f ca="1">IFERROR(__xludf.DUMMYFUNCTION(TRANSPOSE(ImportHTML("http://spending.data.al/sq/moneypower/view/id/257", "table", 0))),"*Kategoria*")</f>
        <v>*Kategoria*</v>
      </c>
      <c r="D516" t="s">
        <v>673</v>
      </c>
      <c r="E516" t="s">
        <v>674</v>
      </c>
      <c r="F516" t="s">
        <v>675</v>
      </c>
      <c r="G516" t="s">
        <v>676</v>
      </c>
      <c r="H516" t="s">
        <v>677</v>
      </c>
      <c r="I516" t="s">
        <v>678</v>
      </c>
      <c r="J516" t="s">
        <v>679</v>
      </c>
      <c r="K516" t="s">
        <v>680</v>
      </c>
      <c r="L516" t="s">
        <v>681</v>
      </c>
      <c r="M516" t="s">
        <v>682</v>
      </c>
      <c r="N516" t="s">
        <v>683</v>
      </c>
      <c r="O516" t="s">
        <v>684</v>
      </c>
      <c r="P516" t="s">
        <v>685</v>
      </c>
    </row>
    <row r="517" spans="2:16" ht="15">
      <c r="B517" s="7"/>
      <c r="C517" t="s">
        <v>686</v>
      </c>
      <c r="D517" t="s">
        <v>1593</v>
      </c>
      <c r="E517" t="s">
        <v>688</v>
      </c>
      <c r="F517" t="s">
        <v>688</v>
      </c>
      <c r="G517" t="s">
        <v>688</v>
      </c>
      <c r="H517" t="s">
        <v>688</v>
      </c>
      <c r="I517" t="s">
        <v>688</v>
      </c>
      <c r="J517" t="s">
        <v>688</v>
      </c>
      <c r="K517" t="s">
        <v>688</v>
      </c>
      <c r="L517" t="s">
        <v>688</v>
      </c>
      <c r="M517" t="s">
        <v>688</v>
      </c>
      <c r="N517" t="s">
        <v>688</v>
      </c>
      <c r="P517" t="s">
        <v>1594</v>
      </c>
    </row>
    <row r="518" spans="2:16" ht="15">
      <c r="B518" s="1">
        <v>258</v>
      </c>
      <c r="C518" t="str">
        <f ca="1">IFERROR(__xludf.DUMMYFUNCTION(TRANSPOSE(ImportHTML("http://spending.data.al/sq/moneypower/view/id/258", "table", 0))),"*Kategoria*")</f>
        <v>*Kategoria*</v>
      </c>
      <c r="D518" t="s">
        <v>673</v>
      </c>
      <c r="E518" t="s">
        <v>674</v>
      </c>
      <c r="F518" t="s">
        <v>675</v>
      </c>
      <c r="G518" t="s">
        <v>676</v>
      </c>
      <c r="H518" t="s">
        <v>677</v>
      </c>
      <c r="I518" t="s">
        <v>678</v>
      </c>
      <c r="J518" t="s">
        <v>679</v>
      </c>
      <c r="K518" t="s">
        <v>680</v>
      </c>
      <c r="L518" t="s">
        <v>681</v>
      </c>
      <c r="M518" t="s">
        <v>682</v>
      </c>
      <c r="N518" t="s">
        <v>683</v>
      </c>
      <c r="O518" t="s">
        <v>684</v>
      </c>
      <c r="P518" t="s">
        <v>685</v>
      </c>
    </row>
    <row r="519" spans="2:16" ht="15">
      <c r="B519" s="7"/>
      <c r="C519" t="s">
        <v>686</v>
      </c>
      <c r="D519" t="s">
        <v>1595</v>
      </c>
      <c r="E519" t="s">
        <v>1596</v>
      </c>
      <c r="F519" t="s">
        <v>688</v>
      </c>
      <c r="G519" t="s">
        <v>688</v>
      </c>
      <c r="H519" t="s">
        <v>688</v>
      </c>
      <c r="I519" t="s">
        <v>688</v>
      </c>
      <c r="J519" t="s">
        <v>688</v>
      </c>
      <c r="K519" t="s">
        <v>688</v>
      </c>
      <c r="L519" t="s">
        <v>688</v>
      </c>
      <c r="M519" t="s">
        <v>1597</v>
      </c>
      <c r="N519" t="s">
        <v>688</v>
      </c>
      <c r="P519" t="s">
        <v>1598</v>
      </c>
    </row>
    <row r="520" spans="2:16" ht="15">
      <c r="B520" s="1">
        <v>259</v>
      </c>
      <c r="C520" t="str">
        <f ca="1">IFERROR(__xludf.DUMMYFUNCTION(TRANSPOSE(ImportHTML("http://spending.data.al/sq/moneypower/view/id/259", "table", 0))),"*Kategoria*")</f>
        <v>*Kategoria*</v>
      </c>
      <c r="D520" t="s">
        <v>673</v>
      </c>
      <c r="E520" t="s">
        <v>674</v>
      </c>
      <c r="F520" t="s">
        <v>675</v>
      </c>
      <c r="G520" t="s">
        <v>676</v>
      </c>
      <c r="H520" t="s">
        <v>677</v>
      </c>
      <c r="I520" t="s">
        <v>678</v>
      </c>
      <c r="J520" t="s">
        <v>679</v>
      </c>
      <c r="K520" t="s">
        <v>680</v>
      </c>
      <c r="L520" t="s">
        <v>681</v>
      </c>
      <c r="M520" t="s">
        <v>682</v>
      </c>
      <c r="N520" t="s">
        <v>683</v>
      </c>
      <c r="O520" t="s">
        <v>684</v>
      </c>
      <c r="P520" t="s">
        <v>685</v>
      </c>
    </row>
    <row r="521" spans="2:16" ht="15">
      <c r="B521" s="7"/>
      <c r="C521" t="s">
        <v>686</v>
      </c>
      <c r="D521" t="s">
        <v>1599</v>
      </c>
      <c r="E521" t="s">
        <v>688</v>
      </c>
      <c r="F521" t="s">
        <v>688</v>
      </c>
      <c r="G521" t="s">
        <v>688</v>
      </c>
      <c r="H521" t="s">
        <v>688</v>
      </c>
      <c r="I521" t="s">
        <v>688</v>
      </c>
      <c r="J521" t="s">
        <v>688</v>
      </c>
      <c r="K521" t="s">
        <v>688</v>
      </c>
      <c r="L521" t="s">
        <v>688</v>
      </c>
      <c r="M521" t="s">
        <v>1600</v>
      </c>
      <c r="N521" t="s">
        <v>688</v>
      </c>
      <c r="P521" t="s">
        <v>1601</v>
      </c>
    </row>
    <row r="522" spans="2:16" ht="15">
      <c r="B522" s="1">
        <v>260</v>
      </c>
      <c r="C522" t="str">
        <f ca="1">IFERROR(__xludf.DUMMYFUNCTION(TRANSPOSE(ImportHTML("http://spending.data.al/sq/moneypower/view/id/260", "table", 0))),"*Kategoria*")</f>
        <v>*Kategoria*</v>
      </c>
      <c r="D522" t="s">
        <v>673</v>
      </c>
      <c r="E522" t="s">
        <v>674</v>
      </c>
      <c r="F522" t="s">
        <v>675</v>
      </c>
      <c r="G522" t="s">
        <v>676</v>
      </c>
      <c r="H522" t="s">
        <v>677</v>
      </c>
      <c r="I522" t="s">
        <v>678</v>
      </c>
      <c r="J522" t="s">
        <v>679</v>
      </c>
      <c r="K522" t="s">
        <v>680</v>
      </c>
      <c r="L522" t="s">
        <v>681</v>
      </c>
      <c r="M522" t="s">
        <v>682</v>
      </c>
      <c r="N522" t="s">
        <v>683</v>
      </c>
      <c r="O522" t="s">
        <v>684</v>
      </c>
      <c r="P522" t="s">
        <v>685</v>
      </c>
    </row>
    <row r="523" spans="2:16" ht="15">
      <c r="B523" s="7"/>
      <c r="C523" t="s">
        <v>686</v>
      </c>
      <c r="D523" t="s">
        <v>1602</v>
      </c>
      <c r="E523" t="s">
        <v>688</v>
      </c>
      <c r="F523" t="s">
        <v>688</v>
      </c>
      <c r="G523" t="s">
        <v>688</v>
      </c>
      <c r="H523" t="s">
        <v>688</v>
      </c>
      <c r="I523" t="s">
        <v>688</v>
      </c>
      <c r="J523" t="s">
        <v>688</v>
      </c>
      <c r="K523" t="s">
        <v>688</v>
      </c>
      <c r="L523" t="s">
        <v>688</v>
      </c>
      <c r="M523" t="s">
        <v>1603</v>
      </c>
      <c r="N523" t="s">
        <v>688</v>
      </c>
      <c r="P523" t="s">
        <v>1604</v>
      </c>
    </row>
    <row r="524" spans="2:16" ht="15">
      <c r="B524" s="1">
        <v>261</v>
      </c>
      <c r="C524" t="str">
        <f ca="1">IFERROR(__xludf.DUMMYFUNCTION(TRANSPOSE(ImportHTML("http://spending.data.al/sq/moneypower/view/id/261", "table", 0))),"*Kategoria*")</f>
        <v>*Kategoria*</v>
      </c>
      <c r="D524" t="s">
        <v>673</v>
      </c>
      <c r="E524" t="s">
        <v>674</v>
      </c>
      <c r="F524" t="s">
        <v>675</v>
      </c>
      <c r="G524" t="s">
        <v>676</v>
      </c>
      <c r="H524" t="s">
        <v>677</v>
      </c>
      <c r="I524" t="s">
        <v>678</v>
      </c>
      <c r="J524" t="s">
        <v>679</v>
      </c>
      <c r="K524" t="s">
        <v>680</v>
      </c>
      <c r="L524" t="s">
        <v>681</v>
      </c>
      <c r="M524" t="s">
        <v>682</v>
      </c>
      <c r="N524" t="s">
        <v>683</v>
      </c>
      <c r="O524" t="s">
        <v>684</v>
      </c>
      <c r="P524" t="s">
        <v>685</v>
      </c>
    </row>
    <row r="525" spans="2:16" ht="15">
      <c r="B525" s="7"/>
      <c r="C525" t="s">
        <v>686</v>
      </c>
      <c r="D525" t="s">
        <v>1605</v>
      </c>
      <c r="E525" t="s">
        <v>688</v>
      </c>
      <c r="F525" t="s">
        <v>688</v>
      </c>
      <c r="G525" t="s">
        <v>688</v>
      </c>
      <c r="H525" t="s">
        <v>688</v>
      </c>
      <c r="I525" t="s">
        <v>688</v>
      </c>
      <c r="J525" t="s">
        <v>688</v>
      </c>
      <c r="K525" t="s">
        <v>688</v>
      </c>
      <c r="L525" t="s">
        <v>688</v>
      </c>
      <c r="M525" t="s">
        <v>688</v>
      </c>
      <c r="N525" t="s">
        <v>688</v>
      </c>
      <c r="P525" t="s">
        <v>1606</v>
      </c>
    </row>
    <row r="526" spans="2:16" ht="15">
      <c r="B526" s="1">
        <v>262</v>
      </c>
      <c r="C526" t="str">
        <f ca="1">IFERROR(__xludf.DUMMYFUNCTION(TRANSPOSE(ImportHTML("http://spending.data.al/sq/moneypower/view/id/262", "table", 0))),"*Kategoria*")</f>
        <v>*Kategoria*</v>
      </c>
      <c r="D526" t="s">
        <v>673</v>
      </c>
      <c r="E526" t="s">
        <v>674</v>
      </c>
      <c r="F526" t="s">
        <v>675</v>
      </c>
      <c r="G526" t="s">
        <v>676</v>
      </c>
      <c r="H526" t="s">
        <v>677</v>
      </c>
      <c r="I526" t="s">
        <v>678</v>
      </c>
      <c r="J526" t="s">
        <v>679</v>
      </c>
      <c r="K526" t="s">
        <v>680</v>
      </c>
      <c r="L526" t="s">
        <v>681</v>
      </c>
      <c r="M526" t="s">
        <v>682</v>
      </c>
      <c r="N526" t="s">
        <v>683</v>
      </c>
      <c r="O526" t="s">
        <v>684</v>
      </c>
      <c r="P526" t="s">
        <v>685</v>
      </c>
    </row>
    <row r="527" spans="2:16" ht="15">
      <c r="B527" s="7"/>
      <c r="C527" t="s">
        <v>686</v>
      </c>
      <c r="D527" t="s">
        <v>1607</v>
      </c>
      <c r="E527" t="s">
        <v>688</v>
      </c>
      <c r="F527" t="s">
        <v>688</v>
      </c>
      <c r="G527" t="s">
        <v>688</v>
      </c>
      <c r="H527" t="s">
        <v>1608</v>
      </c>
      <c r="I527" t="s">
        <v>688</v>
      </c>
      <c r="J527" t="s">
        <v>688</v>
      </c>
      <c r="K527" t="s">
        <v>688</v>
      </c>
      <c r="L527" t="s">
        <v>688</v>
      </c>
      <c r="M527" t="s">
        <v>1609</v>
      </c>
      <c r="N527" t="s">
        <v>1610</v>
      </c>
      <c r="P527" t="s">
        <v>1611</v>
      </c>
    </row>
    <row r="528" spans="2:16" ht="15">
      <c r="B528" s="1">
        <v>263</v>
      </c>
      <c r="C528" t="str">
        <f ca="1">IFERROR(__xludf.DUMMYFUNCTION(TRANSPOSE(ImportHTML("http://spending.data.al/sq/moneypower/view/id/263", "table", 0))),"*Kategoria*")</f>
        <v>*Kategoria*</v>
      </c>
      <c r="D528" t="s">
        <v>673</v>
      </c>
      <c r="E528" t="s">
        <v>674</v>
      </c>
      <c r="F528" t="s">
        <v>675</v>
      </c>
      <c r="G528" t="s">
        <v>676</v>
      </c>
      <c r="H528" t="s">
        <v>677</v>
      </c>
      <c r="I528" t="s">
        <v>678</v>
      </c>
      <c r="J528" t="s">
        <v>679</v>
      </c>
      <c r="K528" t="s">
        <v>680</v>
      </c>
      <c r="L528" t="s">
        <v>681</v>
      </c>
      <c r="M528" t="s">
        <v>682</v>
      </c>
      <c r="N528" t="s">
        <v>683</v>
      </c>
      <c r="O528" t="s">
        <v>684</v>
      </c>
      <c r="P528" t="s">
        <v>685</v>
      </c>
    </row>
    <row r="529" spans="2:16" ht="15">
      <c r="B529" s="7"/>
      <c r="C529" t="s">
        <v>686</v>
      </c>
      <c r="D529" t="s">
        <v>1612</v>
      </c>
      <c r="E529" t="s">
        <v>688</v>
      </c>
      <c r="F529" t="s">
        <v>688</v>
      </c>
      <c r="G529" t="s">
        <v>688</v>
      </c>
      <c r="H529" t="s">
        <v>688</v>
      </c>
      <c r="I529" t="s">
        <v>688</v>
      </c>
      <c r="J529" t="s">
        <v>688</v>
      </c>
      <c r="K529" t="s">
        <v>688</v>
      </c>
      <c r="L529" t="s">
        <v>688</v>
      </c>
      <c r="M529" t="s">
        <v>1613</v>
      </c>
      <c r="N529" t="s">
        <v>688</v>
      </c>
      <c r="P529" t="s">
        <v>1614</v>
      </c>
    </row>
    <row r="530" spans="2:16" ht="15">
      <c r="B530" s="1">
        <v>264</v>
      </c>
      <c r="C530" t="str">
        <f ca="1">IFERROR(__xludf.DUMMYFUNCTION(TRANSPOSE(ImportHTML("http://spending.data.al/sq/moneypower/view/id/264", "table", 0))),"*Kategoria*")</f>
        <v>*Kategoria*</v>
      </c>
      <c r="D530" t="s">
        <v>673</v>
      </c>
      <c r="E530" t="s">
        <v>674</v>
      </c>
      <c r="F530" t="s">
        <v>675</v>
      </c>
      <c r="G530" t="s">
        <v>676</v>
      </c>
      <c r="H530" t="s">
        <v>677</v>
      </c>
      <c r="I530" t="s">
        <v>678</v>
      </c>
      <c r="J530" t="s">
        <v>679</v>
      </c>
      <c r="K530" t="s">
        <v>680</v>
      </c>
      <c r="L530" t="s">
        <v>681</v>
      </c>
      <c r="M530" t="s">
        <v>682</v>
      </c>
      <c r="N530" t="s">
        <v>683</v>
      </c>
      <c r="O530" t="s">
        <v>684</v>
      </c>
      <c r="P530" t="s">
        <v>685</v>
      </c>
    </row>
    <row r="531" spans="2:16" ht="15">
      <c r="B531" s="7"/>
      <c r="C531" t="s">
        <v>686</v>
      </c>
      <c r="D531" t="s">
        <v>1615</v>
      </c>
      <c r="E531" t="s">
        <v>688</v>
      </c>
      <c r="F531" t="s">
        <v>688</v>
      </c>
      <c r="G531" t="s">
        <v>688</v>
      </c>
      <c r="H531" t="s">
        <v>688</v>
      </c>
      <c r="I531" t="s">
        <v>688</v>
      </c>
      <c r="J531" t="s">
        <v>688</v>
      </c>
      <c r="K531" t="s">
        <v>688</v>
      </c>
      <c r="L531" t="s">
        <v>688</v>
      </c>
      <c r="M531" t="s">
        <v>1616</v>
      </c>
      <c r="N531" t="s">
        <v>688</v>
      </c>
      <c r="P531" t="s">
        <v>1617</v>
      </c>
    </row>
    <row r="532" spans="2:16" ht="15">
      <c r="B532" s="1">
        <v>265</v>
      </c>
      <c r="C532" t="str">
        <f ca="1">IFERROR(__xludf.DUMMYFUNCTION(TRANSPOSE(ImportHTML("http://spending.data.al/sq/moneypower/view/id/265", "table", 0))),"*Kategoria*")</f>
        <v>*Kategoria*</v>
      </c>
      <c r="D532" t="s">
        <v>673</v>
      </c>
      <c r="E532" t="s">
        <v>674</v>
      </c>
      <c r="F532" t="s">
        <v>675</v>
      </c>
      <c r="G532" t="s">
        <v>676</v>
      </c>
      <c r="H532" t="s">
        <v>677</v>
      </c>
      <c r="I532" t="s">
        <v>678</v>
      </c>
      <c r="J532" t="s">
        <v>679</v>
      </c>
      <c r="K532" t="s">
        <v>680</v>
      </c>
      <c r="L532" t="s">
        <v>681</v>
      </c>
      <c r="M532" t="s">
        <v>682</v>
      </c>
      <c r="N532" t="s">
        <v>683</v>
      </c>
      <c r="O532" t="s">
        <v>684</v>
      </c>
      <c r="P532" t="s">
        <v>685</v>
      </c>
    </row>
    <row r="533" spans="2:16" ht="15">
      <c r="B533" s="7"/>
      <c r="C533" t="s">
        <v>686</v>
      </c>
      <c r="D533" t="s">
        <v>1618</v>
      </c>
      <c r="E533" t="s">
        <v>688</v>
      </c>
      <c r="F533" t="s">
        <v>688</v>
      </c>
      <c r="G533" t="s">
        <v>1619</v>
      </c>
      <c r="H533" t="s">
        <v>688</v>
      </c>
      <c r="I533" t="s">
        <v>688</v>
      </c>
      <c r="J533" t="s">
        <v>688</v>
      </c>
      <c r="K533" t="s">
        <v>688</v>
      </c>
      <c r="L533" t="s">
        <v>688</v>
      </c>
      <c r="M533" t="s">
        <v>1620</v>
      </c>
      <c r="N533" t="s">
        <v>688</v>
      </c>
      <c r="P533" t="s">
        <v>1621</v>
      </c>
    </row>
    <row r="534" spans="2:16" ht="15">
      <c r="B534" s="1">
        <v>266</v>
      </c>
      <c r="C534" t="str">
        <f ca="1">IFERROR(__xludf.DUMMYFUNCTION(TRANSPOSE(ImportHTML("http://spending.data.al/sq/moneypower/view/id/266", "table", 0))),"*Kategoria*")</f>
        <v>*Kategoria*</v>
      </c>
      <c r="D534" t="s">
        <v>673</v>
      </c>
      <c r="E534" t="s">
        <v>674</v>
      </c>
      <c r="F534" t="s">
        <v>675</v>
      </c>
      <c r="G534" t="s">
        <v>676</v>
      </c>
      <c r="H534" t="s">
        <v>677</v>
      </c>
      <c r="I534" t="s">
        <v>678</v>
      </c>
      <c r="J534" t="s">
        <v>679</v>
      </c>
      <c r="K534" t="s">
        <v>680</v>
      </c>
      <c r="L534" t="s">
        <v>681</v>
      </c>
      <c r="M534" t="s">
        <v>682</v>
      </c>
      <c r="N534" t="s">
        <v>683</v>
      </c>
      <c r="O534" t="s">
        <v>684</v>
      </c>
      <c r="P534" t="s">
        <v>685</v>
      </c>
    </row>
    <row r="535" spans="2:16" ht="15">
      <c r="B535" s="7"/>
      <c r="C535" t="s">
        <v>686</v>
      </c>
      <c r="D535" t="s">
        <v>1622</v>
      </c>
      <c r="E535" t="s">
        <v>688</v>
      </c>
      <c r="F535" t="s">
        <v>688</v>
      </c>
      <c r="G535" t="s">
        <v>1623</v>
      </c>
      <c r="H535" t="s">
        <v>1624</v>
      </c>
      <c r="I535" t="s">
        <v>688</v>
      </c>
      <c r="J535" t="s">
        <v>688</v>
      </c>
      <c r="K535" t="s">
        <v>688</v>
      </c>
      <c r="L535" t="s">
        <v>688</v>
      </c>
      <c r="M535" t="s">
        <v>1625</v>
      </c>
      <c r="N535" t="s">
        <v>688</v>
      </c>
      <c r="P535" t="s">
        <v>1626</v>
      </c>
    </row>
    <row r="536" spans="2:16" ht="15">
      <c r="B536" s="1">
        <v>267</v>
      </c>
      <c r="C536" t="str">
        <f ca="1">IFERROR(__xludf.DUMMYFUNCTION(TRANSPOSE(ImportHTML("http://spending.data.al/sq/moneypower/view/id/267", "table", 0))),"*Kategoria*")</f>
        <v>*Kategoria*</v>
      </c>
      <c r="D536" t="s">
        <v>673</v>
      </c>
      <c r="E536" t="s">
        <v>674</v>
      </c>
      <c r="F536" t="s">
        <v>675</v>
      </c>
      <c r="G536" t="s">
        <v>676</v>
      </c>
      <c r="H536" t="s">
        <v>677</v>
      </c>
      <c r="I536" t="s">
        <v>678</v>
      </c>
      <c r="J536" t="s">
        <v>679</v>
      </c>
      <c r="K536" t="s">
        <v>680</v>
      </c>
      <c r="L536" t="s">
        <v>681</v>
      </c>
      <c r="M536" t="s">
        <v>682</v>
      </c>
      <c r="N536" t="s">
        <v>683</v>
      </c>
      <c r="O536" t="s">
        <v>684</v>
      </c>
      <c r="P536" t="s">
        <v>685</v>
      </c>
    </row>
    <row r="537" spans="2:16" ht="15">
      <c r="B537" s="7"/>
      <c r="C537" t="s">
        <v>686</v>
      </c>
      <c r="D537" t="s">
        <v>1627</v>
      </c>
      <c r="E537" t="s">
        <v>688</v>
      </c>
      <c r="F537" t="s">
        <v>688</v>
      </c>
      <c r="G537" t="s">
        <v>688</v>
      </c>
      <c r="H537" t="s">
        <v>1628</v>
      </c>
      <c r="I537" t="s">
        <v>688</v>
      </c>
      <c r="J537" t="s">
        <v>688</v>
      </c>
      <c r="K537" t="s">
        <v>688</v>
      </c>
      <c r="L537" t="s">
        <v>688</v>
      </c>
      <c r="M537" t="s">
        <v>1629</v>
      </c>
      <c r="N537" t="s">
        <v>688</v>
      </c>
      <c r="P537" t="s">
        <v>1630</v>
      </c>
    </row>
    <row r="538" spans="2:16" ht="15">
      <c r="B538" s="1">
        <v>268</v>
      </c>
      <c r="C538" t="str">
        <f ca="1">IFERROR(__xludf.DUMMYFUNCTION(TRANSPOSE(ImportHTML("http://spending.data.al/sq/moneypower/view/id/268", "table", 0))),"*Kategoria*")</f>
        <v>*Kategoria*</v>
      </c>
      <c r="D538" t="s">
        <v>673</v>
      </c>
      <c r="E538" t="s">
        <v>674</v>
      </c>
      <c r="F538" t="s">
        <v>675</v>
      </c>
      <c r="G538" t="s">
        <v>676</v>
      </c>
      <c r="H538" t="s">
        <v>677</v>
      </c>
      <c r="I538" t="s">
        <v>678</v>
      </c>
      <c r="J538" t="s">
        <v>679</v>
      </c>
      <c r="K538" t="s">
        <v>680</v>
      </c>
      <c r="L538" t="s">
        <v>681</v>
      </c>
      <c r="M538" t="s">
        <v>682</v>
      </c>
      <c r="N538" t="s">
        <v>683</v>
      </c>
      <c r="O538" t="s">
        <v>684</v>
      </c>
      <c r="P538" t="s">
        <v>685</v>
      </c>
    </row>
    <row r="539" spans="2:16" ht="15">
      <c r="B539" s="7"/>
      <c r="C539" t="s">
        <v>686</v>
      </c>
      <c r="D539" t="s">
        <v>1631</v>
      </c>
      <c r="E539" t="s">
        <v>1632</v>
      </c>
      <c r="F539" t="s">
        <v>688</v>
      </c>
      <c r="G539" t="s">
        <v>688</v>
      </c>
      <c r="H539" t="s">
        <v>688</v>
      </c>
      <c r="I539" t="s">
        <v>688</v>
      </c>
      <c r="J539" t="s">
        <v>688</v>
      </c>
      <c r="K539" t="s">
        <v>688</v>
      </c>
      <c r="L539" t="s">
        <v>688</v>
      </c>
      <c r="M539" t="s">
        <v>1633</v>
      </c>
      <c r="N539" t="s">
        <v>688</v>
      </c>
      <c r="P539" t="s">
        <v>1634</v>
      </c>
    </row>
    <row r="540" spans="2:16" ht="15">
      <c r="B540" s="1">
        <v>269</v>
      </c>
      <c r="C540" t="str">
        <f ca="1">IFERROR(__xludf.DUMMYFUNCTION(TRANSPOSE(ImportHTML("http://spending.data.al/sq/moneypower/view/id/269", "table", 0))),"*Kategoria*")</f>
        <v>*Kategoria*</v>
      </c>
      <c r="D540" t="s">
        <v>673</v>
      </c>
      <c r="E540" t="s">
        <v>674</v>
      </c>
      <c r="F540" t="s">
        <v>675</v>
      </c>
      <c r="G540" t="s">
        <v>676</v>
      </c>
      <c r="H540" t="s">
        <v>677</v>
      </c>
      <c r="I540" t="s">
        <v>678</v>
      </c>
      <c r="J540" t="s">
        <v>679</v>
      </c>
      <c r="K540" t="s">
        <v>680</v>
      </c>
      <c r="L540" t="s">
        <v>681</v>
      </c>
      <c r="M540" t="s">
        <v>682</v>
      </c>
      <c r="N540" t="s">
        <v>683</v>
      </c>
      <c r="O540" t="s">
        <v>684</v>
      </c>
      <c r="P540" t="s">
        <v>685</v>
      </c>
    </row>
    <row r="541" spans="2:16" ht="15">
      <c r="B541" s="7"/>
      <c r="C541" t="s">
        <v>686</v>
      </c>
      <c r="D541" t="s">
        <v>1635</v>
      </c>
      <c r="E541" t="s">
        <v>688</v>
      </c>
      <c r="F541" t="s">
        <v>688</v>
      </c>
      <c r="G541" t="s">
        <v>688</v>
      </c>
      <c r="H541" t="s">
        <v>1636</v>
      </c>
      <c r="I541" t="s">
        <v>688</v>
      </c>
      <c r="J541" t="s">
        <v>688</v>
      </c>
      <c r="K541" t="s">
        <v>688</v>
      </c>
      <c r="L541" t="s">
        <v>688</v>
      </c>
      <c r="M541" t="s">
        <v>1637</v>
      </c>
      <c r="N541" t="s">
        <v>688</v>
      </c>
      <c r="P541" t="s">
        <v>1638</v>
      </c>
    </row>
    <row r="542" spans="2:16" ht="15">
      <c r="B542" s="1">
        <v>270</v>
      </c>
      <c r="C542" t="str">
        <f ca="1">IFERROR(__xludf.DUMMYFUNCTION(TRANSPOSE(ImportHTML("http://spending.data.al/sq/moneypower/view/id/270", "table", 0))),"*Kategoria*")</f>
        <v>*Kategoria*</v>
      </c>
      <c r="D542" t="s">
        <v>673</v>
      </c>
      <c r="E542" t="s">
        <v>674</v>
      </c>
      <c r="F542" t="s">
        <v>675</v>
      </c>
      <c r="G542" t="s">
        <v>676</v>
      </c>
      <c r="H542" t="s">
        <v>677</v>
      </c>
      <c r="I542" t="s">
        <v>678</v>
      </c>
      <c r="J542" t="s">
        <v>679</v>
      </c>
      <c r="K542" t="s">
        <v>680</v>
      </c>
      <c r="L542" t="s">
        <v>681</v>
      </c>
      <c r="M542" t="s">
        <v>682</v>
      </c>
      <c r="N542" t="s">
        <v>683</v>
      </c>
      <c r="O542" t="s">
        <v>684</v>
      </c>
      <c r="P542" t="s">
        <v>685</v>
      </c>
    </row>
    <row r="543" spans="2:16" ht="15">
      <c r="B543" s="7"/>
      <c r="C543" t="s">
        <v>686</v>
      </c>
      <c r="D543" t="s">
        <v>1639</v>
      </c>
      <c r="E543" t="s">
        <v>688</v>
      </c>
      <c r="F543" t="s">
        <v>688</v>
      </c>
      <c r="G543" t="s">
        <v>688</v>
      </c>
      <c r="H543" t="s">
        <v>688</v>
      </c>
      <c r="I543" t="s">
        <v>1640</v>
      </c>
      <c r="J543" t="s">
        <v>688</v>
      </c>
      <c r="K543" t="s">
        <v>688</v>
      </c>
      <c r="L543" t="s">
        <v>688</v>
      </c>
      <c r="M543" t="s">
        <v>1641</v>
      </c>
      <c r="N543" t="s">
        <v>688</v>
      </c>
      <c r="P543" t="s">
        <v>1642</v>
      </c>
    </row>
    <row r="544" spans="2:16" ht="15">
      <c r="B544" s="1">
        <v>271</v>
      </c>
      <c r="C544" t="str">
        <f ca="1">IFERROR(__xludf.DUMMYFUNCTION(TRANSPOSE(ImportHTML("http://spending.data.al/sq/moneypower/view/id/271", "table", 0))),"*Kategoria*")</f>
        <v>*Kategoria*</v>
      </c>
      <c r="D544" t="s">
        <v>673</v>
      </c>
      <c r="E544" t="s">
        <v>674</v>
      </c>
      <c r="F544" t="s">
        <v>675</v>
      </c>
      <c r="G544" t="s">
        <v>676</v>
      </c>
      <c r="H544" t="s">
        <v>677</v>
      </c>
      <c r="I544" t="s">
        <v>678</v>
      </c>
      <c r="J544" t="s">
        <v>679</v>
      </c>
      <c r="K544" t="s">
        <v>680</v>
      </c>
      <c r="L544" t="s">
        <v>681</v>
      </c>
      <c r="M544" t="s">
        <v>682</v>
      </c>
      <c r="N544" t="s">
        <v>683</v>
      </c>
      <c r="O544" t="s">
        <v>684</v>
      </c>
      <c r="P544" t="s">
        <v>685</v>
      </c>
    </row>
    <row r="545" spans="2:16" ht="15">
      <c r="B545" s="7"/>
      <c r="C545" t="s">
        <v>686</v>
      </c>
      <c r="D545" t="s">
        <v>1643</v>
      </c>
      <c r="E545" t="s">
        <v>688</v>
      </c>
      <c r="F545" t="s">
        <v>688</v>
      </c>
      <c r="G545" t="s">
        <v>1644</v>
      </c>
      <c r="I545" t="s">
        <v>688</v>
      </c>
      <c r="J545" t="s">
        <v>688</v>
      </c>
      <c r="K545" t="s">
        <v>1645</v>
      </c>
      <c r="L545" t="s">
        <v>688</v>
      </c>
      <c r="M545" t="s">
        <v>1646</v>
      </c>
      <c r="N545" t="s">
        <v>688</v>
      </c>
      <c r="P545" t="s">
        <v>1647</v>
      </c>
    </row>
    <row r="546" spans="2:16" ht="15">
      <c r="B546" s="1">
        <v>272</v>
      </c>
      <c r="C546" t="str">
        <f ca="1">IFERROR(__xludf.DUMMYFUNCTION(TRANSPOSE(ImportHTML("http://spending.data.al/sq/moneypower/view/id/272", "table", 0))),"*Kategoria*")</f>
        <v>*Kategoria*</v>
      </c>
      <c r="D546" t="s">
        <v>673</v>
      </c>
      <c r="E546" t="s">
        <v>674</v>
      </c>
      <c r="F546" t="s">
        <v>675</v>
      </c>
      <c r="G546" t="s">
        <v>676</v>
      </c>
      <c r="H546" t="s">
        <v>677</v>
      </c>
      <c r="I546" t="s">
        <v>678</v>
      </c>
      <c r="J546" t="s">
        <v>679</v>
      </c>
      <c r="K546" t="s">
        <v>680</v>
      </c>
      <c r="L546" t="s">
        <v>681</v>
      </c>
      <c r="M546" t="s">
        <v>682</v>
      </c>
      <c r="N546" t="s">
        <v>683</v>
      </c>
      <c r="O546" t="s">
        <v>684</v>
      </c>
      <c r="P546" t="s">
        <v>685</v>
      </c>
    </row>
    <row r="547" spans="2:16" ht="15">
      <c r="B547" s="7"/>
      <c r="C547" t="s">
        <v>686</v>
      </c>
      <c r="D547" t="s">
        <v>1648</v>
      </c>
      <c r="E547" t="s">
        <v>688</v>
      </c>
      <c r="F547" t="s">
        <v>688</v>
      </c>
      <c r="G547" t="s">
        <v>688</v>
      </c>
      <c r="H547" t="s">
        <v>688</v>
      </c>
      <c r="I547" t="s">
        <v>688</v>
      </c>
      <c r="J547" t="s">
        <v>688</v>
      </c>
      <c r="K547" t="s">
        <v>688</v>
      </c>
      <c r="L547" t="s">
        <v>688</v>
      </c>
      <c r="M547" t="s">
        <v>1649</v>
      </c>
      <c r="N547" t="s">
        <v>688</v>
      </c>
      <c r="P547" t="s">
        <v>1650</v>
      </c>
    </row>
    <row r="548" spans="2:16" ht="15">
      <c r="B548" s="1">
        <v>273</v>
      </c>
      <c r="C548" t="str">
        <f ca="1">IFERROR(__xludf.DUMMYFUNCTION(TRANSPOSE(ImportHTML("http://spending.data.al/sq/moneypower/view/id/273", "table", 0))),"*Kategoria*")</f>
        <v>*Kategoria*</v>
      </c>
      <c r="D548" t="s">
        <v>673</v>
      </c>
      <c r="E548" t="s">
        <v>674</v>
      </c>
      <c r="F548" t="s">
        <v>675</v>
      </c>
      <c r="G548" t="s">
        <v>676</v>
      </c>
      <c r="H548" t="s">
        <v>677</v>
      </c>
      <c r="I548" t="s">
        <v>678</v>
      </c>
      <c r="J548" t="s">
        <v>679</v>
      </c>
      <c r="K548" t="s">
        <v>680</v>
      </c>
      <c r="L548" t="s">
        <v>681</v>
      </c>
      <c r="M548" t="s">
        <v>682</v>
      </c>
      <c r="N548" t="s">
        <v>683</v>
      </c>
      <c r="O548" t="s">
        <v>684</v>
      </c>
      <c r="P548" t="s">
        <v>685</v>
      </c>
    </row>
    <row r="549" spans="2:16" ht="15">
      <c r="B549" s="7"/>
      <c r="C549" t="s">
        <v>686</v>
      </c>
      <c r="D549" t="s">
        <v>1651</v>
      </c>
      <c r="E549" t="s">
        <v>1652</v>
      </c>
      <c r="F549" t="s">
        <v>688</v>
      </c>
      <c r="G549" t="s">
        <v>688</v>
      </c>
      <c r="H549" t="s">
        <v>1653</v>
      </c>
      <c r="I549" t="s">
        <v>688</v>
      </c>
      <c r="J549" t="s">
        <v>688</v>
      </c>
      <c r="K549" t="s">
        <v>688</v>
      </c>
      <c r="L549" t="s">
        <v>688</v>
      </c>
      <c r="M549" t="s">
        <v>1654</v>
      </c>
      <c r="N549" t="s">
        <v>688</v>
      </c>
      <c r="P549" t="s">
        <v>1655</v>
      </c>
    </row>
    <row r="550" spans="2:16" ht="15">
      <c r="B550" s="1">
        <v>274</v>
      </c>
      <c r="C550" t="str">
        <f ca="1">IFERROR(__xludf.DUMMYFUNCTION(TRANSPOSE(ImportHTML("http://spending.data.al/sq/moneypower/view/id/274", "table", 0))),"*Kategoria*")</f>
        <v>*Kategoria*</v>
      </c>
      <c r="D550" t="s">
        <v>673</v>
      </c>
      <c r="E550" t="s">
        <v>674</v>
      </c>
      <c r="F550" t="s">
        <v>675</v>
      </c>
      <c r="G550" t="s">
        <v>676</v>
      </c>
      <c r="H550" t="s">
        <v>677</v>
      </c>
      <c r="I550" t="s">
        <v>678</v>
      </c>
      <c r="J550" t="s">
        <v>679</v>
      </c>
      <c r="K550" t="s">
        <v>680</v>
      </c>
      <c r="L550" t="s">
        <v>681</v>
      </c>
      <c r="M550" t="s">
        <v>682</v>
      </c>
      <c r="N550" t="s">
        <v>683</v>
      </c>
      <c r="O550" t="s">
        <v>684</v>
      </c>
      <c r="P550" t="s">
        <v>685</v>
      </c>
    </row>
    <row r="551" spans="2:16" ht="15">
      <c r="B551" s="7"/>
      <c r="C551" t="s">
        <v>686</v>
      </c>
      <c r="D551" t="s">
        <v>1656</v>
      </c>
      <c r="E551" t="s">
        <v>688</v>
      </c>
      <c r="F551" t="s">
        <v>688</v>
      </c>
      <c r="G551" t="s">
        <v>688</v>
      </c>
      <c r="H551" t="s">
        <v>688</v>
      </c>
      <c r="I551" t="s">
        <v>688</v>
      </c>
      <c r="J551" t="s">
        <v>688</v>
      </c>
      <c r="K551" t="s">
        <v>688</v>
      </c>
      <c r="L551" t="s">
        <v>688</v>
      </c>
      <c r="M551" t="s">
        <v>1657</v>
      </c>
      <c r="N551" t="s">
        <v>688</v>
      </c>
      <c r="P551" t="s">
        <v>1658</v>
      </c>
    </row>
    <row r="552" spans="2:16" ht="15">
      <c r="B552" s="1">
        <v>275</v>
      </c>
      <c r="C552" t="str">
        <f ca="1">IFERROR(__xludf.DUMMYFUNCTION(TRANSPOSE(ImportHTML("http://spending.data.al/sq/moneypower/view/id/275", "table", 0))),"*Kategoria*")</f>
        <v>*Kategoria*</v>
      </c>
      <c r="D552" t="s">
        <v>673</v>
      </c>
      <c r="E552" t="s">
        <v>674</v>
      </c>
      <c r="F552" t="s">
        <v>675</v>
      </c>
      <c r="G552" t="s">
        <v>676</v>
      </c>
      <c r="H552" t="s">
        <v>677</v>
      </c>
      <c r="I552" t="s">
        <v>678</v>
      </c>
      <c r="J552" t="s">
        <v>679</v>
      </c>
      <c r="K552" t="s">
        <v>680</v>
      </c>
      <c r="L552" t="s">
        <v>681</v>
      </c>
      <c r="M552" t="s">
        <v>682</v>
      </c>
      <c r="N552" t="s">
        <v>683</v>
      </c>
      <c r="O552" t="s">
        <v>684</v>
      </c>
      <c r="P552" t="s">
        <v>685</v>
      </c>
    </row>
    <row r="553" spans="2:16" ht="15">
      <c r="B553" s="7"/>
      <c r="C553" t="s">
        <v>686</v>
      </c>
      <c r="D553" t="s">
        <v>1659</v>
      </c>
      <c r="E553" t="s">
        <v>688</v>
      </c>
      <c r="F553" t="s">
        <v>688</v>
      </c>
      <c r="G553" t="s">
        <v>688</v>
      </c>
      <c r="H553" t="s">
        <v>688</v>
      </c>
      <c r="I553" t="s">
        <v>688</v>
      </c>
      <c r="J553" t="s">
        <v>688</v>
      </c>
      <c r="K553" t="s">
        <v>688</v>
      </c>
      <c r="L553" t="s">
        <v>688</v>
      </c>
      <c r="M553" t="s">
        <v>1660</v>
      </c>
      <c r="N553" t="s">
        <v>688</v>
      </c>
      <c r="P553" t="s">
        <v>1661</v>
      </c>
    </row>
    <row r="554" spans="2:16" ht="15">
      <c r="B554" s="1">
        <v>276</v>
      </c>
      <c r="C554" t="str">
        <f ca="1">IFERROR(__xludf.DUMMYFUNCTION(TRANSPOSE(ImportHTML("http://spending.data.al/sq/moneypower/view/id/276", "table", 0))),"*Kategoria*")</f>
        <v>*Kategoria*</v>
      </c>
      <c r="D554" t="s">
        <v>673</v>
      </c>
      <c r="E554" t="s">
        <v>674</v>
      </c>
      <c r="F554" t="s">
        <v>675</v>
      </c>
      <c r="G554" t="s">
        <v>676</v>
      </c>
      <c r="H554" t="s">
        <v>677</v>
      </c>
      <c r="I554" t="s">
        <v>678</v>
      </c>
      <c r="J554" t="s">
        <v>679</v>
      </c>
      <c r="K554" t="s">
        <v>680</v>
      </c>
      <c r="L554" t="s">
        <v>681</v>
      </c>
      <c r="M554" t="s">
        <v>682</v>
      </c>
      <c r="N554" t="s">
        <v>683</v>
      </c>
      <c r="O554" t="s">
        <v>684</v>
      </c>
      <c r="P554" t="s">
        <v>685</v>
      </c>
    </row>
    <row r="555" spans="2:16" ht="15">
      <c r="B555" s="7"/>
      <c r="C555" t="s">
        <v>686</v>
      </c>
      <c r="D555" t="s">
        <v>1662</v>
      </c>
      <c r="E555" t="s">
        <v>688</v>
      </c>
      <c r="F555" t="s">
        <v>1663</v>
      </c>
      <c r="G555" t="s">
        <v>1664</v>
      </c>
      <c r="H555" t="s">
        <v>1665</v>
      </c>
      <c r="I555" t="s">
        <v>688</v>
      </c>
      <c r="J555" t="s">
        <v>688</v>
      </c>
      <c r="K555" t="s">
        <v>688</v>
      </c>
      <c r="L555" t="s">
        <v>688</v>
      </c>
      <c r="M555" t="s">
        <v>1666</v>
      </c>
      <c r="N555" t="s">
        <v>1667</v>
      </c>
      <c r="P555" t="s">
        <v>1668</v>
      </c>
    </row>
    <row r="556" spans="2:16" ht="15">
      <c r="B556" s="1">
        <v>277</v>
      </c>
      <c r="C556" t="str">
        <f ca="1">IFERROR(__xludf.DUMMYFUNCTION(TRANSPOSE(ImportHTML("http://spending.data.al/sq/moneypower/view/id/277", "table", 0))),"*Kategoria*")</f>
        <v>*Kategoria*</v>
      </c>
      <c r="D556" t="s">
        <v>673</v>
      </c>
      <c r="E556" t="s">
        <v>674</v>
      </c>
      <c r="F556" t="s">
        <v>675</v>
      </c>
      <c r="G556" t="s">
        <v>676</v>
      </c>
      <c r="H556" t="s">
        <v>677</v>
      </c>
      <c r="I556" t="s">
        <v>678</v>
      </c>
      <c r="J556" t="s">
        <v>679</v>
      </c>
      <c r="K556" t="s">
        <v>680</v>
      </c>
      <c r="L556" t="s">
        <v>681</v>
      </c>
      <c r="M556" t="s">
        <v>682</v>
      </c>
      <c r="N556" t="s">
        <v>683</v>
      </c>
      <c r="O556" t="s">
        <v>684</v>
      </c>
      <c r="P556" t="s">
        <v>685</v>
      </c>
    </row>
    <row r="557" spans="2:16" ht="15">
      <c r="B557" s="7"/>
      <c r="C557" t="s">
        <v>686</v>
      </c>
      <c r="D557" t="s">
        <v>1669</v>
      </c>
      <c r="E557" t="s">
        <v>688</v>
      </c>
      <c r="F557" t="s">
        <v>688</v>
      </c>
      <c r="G557" t="s">
        <v>688</v>
      </c>
      <c r="H557" t="s">
        <v>688</v>
      </c>
      <c r="I557" t="s">
        <v>1670</v>
      </c>
      <c r="J557" t="s">
        <v>688</v>
      </c>
      <c r="K557" t="s">
        <v>688</v>
      </c>
      <c r="L557" t="s">
        <v>688</v>
      </c>
      <c r="M557" t="s">
        <v>688</v>
      </c>
      <c r="N557" t="s">
        <v>688</v>
      </c>
      <c r="P557" t="s">
        <v>1671</v>
      </c>
    </row>
    <row r="558" spans="2:16" ht="15">
      <c r="B558" s="1">
        <v>278</v>
      </c>
      <c r="C558" t="str">
        <f ca="1">IFERROR(__xludf.DUMMYFUNCTION(TRANSPOSE(ImportHTML("http://spending.data.al/sq/moneypower/view/id/278", "table", 0))),"*Kategoria*")</f>
        <v>*Kategoria*</v>
      </c>
      <c r="D558" t="s">
        <v>673</v>
      </c>
      <c r="E558" t="s">
        <v>674</v>
      </c>
      <c r="F558" t="s">
        <v>675</v>
      </c>
      <c r="G558" t="s">
        <v>676</v>
      </c>
      <c r="H558" t="s">
        <v>677</v>
      </c>
      <c r="I558" t="s">
        <v>678</v>
      </c>
      <c r="J558" t="s">
        <v>679</v>
      </c>
      <c r="K558" t="s">
        <v>680</v>
      </c>
      <c r="L558" t="s">
        <v>681</v>
      </c>
      <c r="M558" t="s">
        <v>682</v>
      </c>
      <c r="N558" t="s">
        <v>683</v>
      </c>
      <c r="O558" t="s">
        <v>684</v>
      </c>
      <c r="P558" t="s">
        <v>685</v>
      </c>
    </row>
    <row r="559" spans="2:16" ht="15">
      <c r="B559" s="7"/>
      <c r="C559" t="s">
        <v>686</v>
      </c>
      <c r="D559" t="s">
        <v>1672</v>
      </c>
      <c r="E559" t="s">
        <v>688</v>
      </c>
      <c r="F559" t="s">
        <v>688</v>
      </c>
      <c r="G559" t="s">
        <v>688</v>
      </c>
      <c r="H559" t="s">
        <v>1673</v>
      </c>
      <c r="I559" t="s">
        <v>688</v>
      </c>
      <c r="J559" t="s">
        <v>688</v>
      </c>
      <c r="K559" t="s">
        <v>688</v>
      </c>
      <c r="L559" t="s">
        <v>688</v>
      </c>
      <c r="M559" t="s">
        <v>1674</v>
      </c>
      <c r="N559" t="s">
        <v>688</v>
      </c>
      <c r="P559" t="s">
        <v>1675</v>
      </c>
    </row>
    <row r="560" spans="2:16" ht="15">
      <c r="B560" s="1">
        <v>279</v>
      </c>
      <c r="C560" t="str">
        <f ca="1">IFERROR(__xludf.DUMMYFUNCTION(TRANSPOSE(ImportHTML("http://spending.data.al/sq/moneypower/view/id/279", "table", 0))),"*Kategoria*")</f>
        <v>*Kategoria*</v>
      </c>
      <c r="D560" t="s">
        <v>673</v>
      </c>
      <c r="E560" t="s">
        <v>674</v>
      </c>
      <c r="F560" t="s">
        <v>675</v>
      </c>
      <c r="G560" t="s">
        <v>676</v>
      </c>
      <c r="H560" t="s">
        <v>677</v>
      </c>
      <c r="I560" t="s">
        <v>678</v>
      </c>
      <c r="J560" t="s">
        <v>679</v>
      </c>
      <c r="K560" t="s">
        <v>680</v>
      </c>
      <c r="L560" t="s">
        <v>681</v>
      </c>
      <c r="M560" t="s">
        <v>682</v>
      </c>
      <c r="N560" t="s">
        <v>683</v>
      </c>
      <c r="O560" t="s">
        <v>684</v>
      </c>
      <c r="P560" t="s">
        <v>685</v>
      </c>
    </row>
    <row r="561" spans="2:16" ht="15">
      <c r="B561" s="7"/>
      <c r="C561" t="s">
        <v>686</v>
      </c>
      <c r="D561" t="s">
        <v>1676</v>
      </c>
      <c r="E561" t="s">
        <v>688</v>
      </c>
      <c r="F561" t="s">
        <v>688</v>
      </c>
      <c r="G561" t="s">
        <v>688</v>
      </c>
      <c r="H561" t="s">
        <v>688</v>
      </c>
      <c r="I561" t="s">
        <v>688</v>
      </c>
      <c r="J561" t="s">
        <v>688</v>
      </c>
      <c r="K561" t="s">
        <v>688</v>
      </c>
      <c r="L561" t="s">
        <v>688</v>
      </c>
      <c r="M561" t="s">
        <v>1677</v>
      </c>
      <c r="N561" t="s">
        <v>688</v>
      </c>
      <c r="P561" t="s">
        <v>1678</v>
      </c>
    </row>
    <row r="562" spans="2:16" ht="15">
      <c r="B562" s="1">
        <v>280</v>
      </c>
      <c r="C562" t="str">
        <f ca="1">IFERROR(__xludf.DUMMYFUNCTION(TRANSPOSE(ImportHTML("http://spending.data.al/sq/moneypower/view/id/280", "table", 0))),"*Kategoria*")</f>
        <v>*Kategoria*</v>
      </c>
      <c r="D562" t="s">
        <v>673</v>
      </c>
      <c r="E562" t="s">
        <v>674</v>
      </c>
      <c r="F562" t="s">
        <v>675</v>
      </c>
      <c r="G562" t="s">
        <v>676</v>
      </c>
      <c r="H562" t="s">
        <v>677</v>
      </c>
      <c r="I562" t="s">
        <v>678</v>
      </c>
      <c r="J562" t="s">
        <v>679</v>
      </c>
      <c r="K562" t="s">
        <v>680</v>
      </c>
      <c r="L562" t="s">
        <v>681</v>
      </c>
      <c r="M562" t="s">
        <v>682</v>
      </c>
      <c r="N562" t="s">
        <v>683</v>
      </c>
      <c r="O562" t="s">
        <v>684</v>
      </c>
      <c r="P562" t="s">
        <v>685</v>
      </c>
    </row>
    <row r="563" spans="2:16" ht="15">
      <c r="B563" s="7"/>
      <c r="C563" t="s">
        <v>686</v>
      </c>
      <c r="D563" t="s">
        <v>1679</v>
      </c>
      <c r="E563" t="s">
        <v>688</v>
      </c>
      <c r="F563" t="s">
        <v>688</v>
      </c>
      <c r="G563" t="s">
        <v>688</v>
      </c>
      <c r="H563" t="s">
        <v>688</v>
      </c>
      <c r="I563" t="s">
        <v>688</v>
      </c>
      <c r="J563" t="s">
        <v>688</v>
      </c>
      <c r="K563" t="s">
        <v>688</v>
      </c>
      <c r="L563" t="s">
        <v>688</v>
      </c>
      <c r="M563" t="s">
        <v>688</v>
      </c>
      <c r="N563" t="s">
        <v>688</v>
      </c>
      <c r="P563" t="s">
        <v>688</v>
      </c>
    </row>
    <row r="564" spans="2:16" ht="15">
      <c r="B564" s="1">
        <v>281</v>
      </c>
      <c r="C564" t="str">
        <f ca="1">IFERROR(__xludf.DUMMYFUNCTION(TRANSPOSE(ImportHTML("http://spending.data.al/sq/moneypower/view/id/281", "table", 0))),"*Kategoria*")</f>
        <v>*Kategoria*</v>
      </c>
      <c r="D564" t="s">
        <v>673</v>
      </c>
      <c r="E564" t="s">
        <v>674</v>
      </c>
      <c r="F564" t="s">
        <v>675</v>
      </c>
      <c r="G564" t="s">
        <v>676</v>
      </c>
      <c r="H564" t="s">
        <v>677</v>
      </c>
      <c r="I564" t="s">
        <v>678</v>
      </c>
      <c r="J564" t="s">
        <v>679</v>
      </c>
      <c r="K564" t="s">
        <v>680</v>
      </c>
      <c r="L564" t="s">
        <v>681</v>
      </c>
      <c r="M564" t="s">
        <v>682</v>
      </c>
      <c r="N564" t="s">
        <v>683</v>
      </c>
      <c r="O564" t="s">
        <v>684</v>
      </c>
      <c r="P564" t="s">
        <v>685</v>
      </c>
    </row>
    <row r="565" spans="2:16" ht="15">
      <c r="B565" s="7"/>
      <c r="C565" t="s">
        <v>686</v>
      </c>
      <c r="D565" t="s">
        <v>1680</v>
      </c>
      <c r="E565" t="s">
        <v>688</v>
      </c>
      <c r="F565" t="s">
        <v>688</v>
      </c>
      <c r="G565" t="s">
        <v>688</v>
      </c>
      <c r="H565" t="s">
        <v>688</v>
      </c>
      <c r="I565" t="s">
        <v>688</v>
      </c>
      <c r="J565" t="s">
        <v>688</v>
      </c>
      <c r="K565" t="s">
        <v>688</v>
      </c>
      <c r="L565" t="s">
        <v>688</v>
      </c>
      <c r="M565" t="s">
        <v>1681</v>
      </c>
      <c r="N565" t="s">
        <v>688</v>
      </c>
      <c r="P565" t="s">
        <v>1682</v>
      </c>
    </row>
    <row r="566" spans="2:16" ht="15">
      <c r="B566" s="1">
        <v>282</v>
      </c>
      <c r="C566" t="str">
        <f ca="1">IFERROR(__xludf.DUMMYFUNCTION(TRANSPOSE(ImportHTML("http://spending.data.al/sq/moneypower/view/id/282", "table", 0))),"*Kategoria*")</f>
        <v>*Kategoria*</v>
      </c>
      <c r="D566" t="s">
        <v>673</v>
      </c>
      <c r="E566" t="s">
        <v>674</v>
      </c>
      <c r="F566" t="s">
        <v>675</v>
      </c>
      <c r="G566" t="s">
        <v>676</v>
      </c>
      <c r="H566" t="s">
        <v>677</v>
      </c>
      <c r="I566" t="s">
        <v>678</v>
      </c>
      <c r="J566" t="s">
        <v>679</v>
      </c>
      <c r="K566" t="s">
        <v>680</v>
      </c>
      <c r="L566" t="s">
        <v>681</v>
      </c>
      <c r="M566" t="s">
        <v>682</v>
      </c>
      <c r="N566" t="s">
        <v>683</v>
      </c>
      <c r="O566" t="s">
        <v>684</v>
      </c>
      <c r="P566" t="s">
        <v>685</v>
      </c>
    </row>
    <row r="567" spans="2:16" ht="15">
      <c r="B567" s="7"/>
      <c r="C567" t="s">
        <v>686</v>
      </c>
      <c r="D567" t="s">
        <v>1683</v>
      </c>
      <c r="E567" t="s">
        <v>1684</v>
      </c>
      <c r="F567" t="s">
        <v>1685</v>
      </c>
      <c r="G567" t="s">
        <v>688</v>
      </c>
      <c r="H567" t="s">
        <v>688</v>
      </c>
      <c r="I567" t="s">
        <v>688</v>
      </c>
      <c r="J567" t="s">
        <v>688</v>
      </c>
      <c r="K567" t="s">
        <v>688</v>
      </c>
      <c r="L567" t="s">
        <v>688</v>
      </c>
      <c r="M567" t="s">
        <v>1686</v>
      </c>
      <c r="N567" t="s">
        <v>688</v>
      </c>
      <c r="P567" t="s">
        <v>1687</v>
      </c>
    </row>
    <row r="568" spans="2:16" ht="15">
      <c r="B568" s="1">
        <v>283</v>
      </c>
      <c r="C568" t="str">
        <f ca="1">IFERROR(__xludf.DUMMYFUNCTION(TRANSPOSE(ImportHTML("http://spending.data.al/sq/moneypower/view/id/283", "table", 0))),"*Kategoria*")</f>
        <v>*Kategoria*</v>
      </c>
      <c r="D568" t="s">
        <v>673</v>
      </c>
      <c r="E568" t="s">
        <v>674</v>
      </c>
      <c r="F568" t="s">
        <v>675</v>
      </c>
      <c r="G568" t="s">
        <v>676</v>
      </c>
      <c r="H568" t="s">
        <v>677</v>
      </c>
      <c r="I568" t="s">
        <v>678</v>
      </c>
      <c r="J568" t="s">
        <v>679</v>
      </c>
      <c r="K568" t="s">
        <v>680</v>
      </c>
      <c r="L568" t="s">
        <v>681</v>
      </c>
      <c r="M568" t="s">
        <v>682</v>
      </c>
      <c r="N568" t="s">
        <v>683</v>
      </c>
      <c r="O568" t="s">
        <v>684</v>
      </c>
      <c r="P568" t="s">
        <v>685</v>
      </c>
    </row>
    <row r="569" spans="2:16" ht="15">
      <c r="B569" s="7"/>
      <c r="C569" t="s">
        <v>686</v>
      </c>
      <c r="D569" t="s">
        <v>688</v>
      </c>
      <c r="E569" t="s">
        <v>688</v>
      </c>
      <c r="F569" t="s">
        <v>688</v>
      </c>
      <c r="G569" t="s">
        <v>688</v>
      </c>
      <c r="H569" t="s">
        <v>688</v>
      </c>
      <c r="I569" t="s">
        <v>688</v>
      </c>
      <c r="J569" t="s">
        <v>688</v>
      </c>
      <c r="K569" t="s">
        <v>688</v>
      </c>
      <c r="L569" t="s">
        <v>688</v>
      </c>
      <c r="M569" t="s">
        <v>688</v>
      </c>
      <c r="N569" t="s">
        <v>688</v>
      </c>
      <c r="P569" t="s">
        <v>1688</v>
      </c>
    </row>
    <row r="570" spans="2:16" ht="15">
      <c r="B570" s="1">
        <v>284</v>
      </c>
      <c r="C570" t="str">
        <f ca="1">IFERROR(__xludf.DUMMYFUNCTION(TRANSPOSE(ImportHTML("http://spending.data.al/sq/moneypower/view/id/284", "table", 0))),"*Kategoria*")</f>
        <v>*Kategoria*</v>
      </c>
      <c r="D570" t="s">
        <v>673</v>
      </c>
      <c r="E570" t="s">
        <v>674</v>
      </c>
      <c r="F570" t="s">
        <v>675</v>
      </c>
      <c r="G570" t="s">
        <v>676</v>
      </c>
      <c r="H570" t="s">
        <v>677</v>
      </c>
      <c r="I570" t="s">
        <v>678</v>
      </c>
      <c r="J570" t="s">
        <v>679</v>
      </c>
      <c r="K570" t="s">
        <v>680</v>
      </c>
      <c r="L570" t="s">
        <v>681</v>
      </c>
      <c r="M570" t="s">
        <v>682</v>
      </c>
      <c r="N570" t="s">
        <v>683</v>
      </c>
      <c r="O570" t="s">
        <v>684</v>
      </c>
      <c r="P570" t="s">
        <v>685</v>
      </c>
    </row>
    <row r="571" spans="2:16" ht="15">
      <c r="B571" s="7"/>
      <c r="C571" t="s">
        <v>686</v>
      </c>
      <c r="D571" t="s">
        <v>1689</v>
      </c>
      <c r="E571" t="s">
        <v>688</v>
      </c>
      <c r="F571" t="s">
        <v>688</v>
      </c>
      <c r="G571" t="s">
        <v>688</v>
      </c>
      <c r="H571" t="s">
        <v>688</v>
      </c>
      <c r="I571" t="s">
        <v>688</v>
      </c>
      <c r="J571" t="s">
        <v>688</v>
      </c>
      <c r="K571" t="s">
        <v>688</v>
      </c>
      <c r="L571" t="s">
        <v>688</v>
      </c>
      <c r="M571" t="s">
        <v>1690</v>
      </c>
      <c r="N571" t="s">
        <v>688</v>
      </c>
      <c r="P571" t="s">
        <v>1691</v>
      </c>
    </row>
    <row r="572" spans="2:16" ht="15">
      <c r="B572" s="1">
        <v>285</v>
      </c>
      <c r="C572" t="str">
        <f ca="1">IFERROR(__xludf.DUMMYFUNCTION(TRANSPOSE(ImportHTML("http://spending.data.al/sq/moneypower/view/id/285", "table", 0))),"*Kategoria*")</f>
        <v>*Kategoria*</v>
      </c>
      <c r="D572" t="s">
        <v>673</v>
      </c>
      <c r="E572" t="s">
        <v>674</v>
      </c>
      <c r="F572" t="s">
        <v>675</v>
      </c>
      <c r="G572" t="s">
        <v>676</v>
      </c>
      <c r="H572" t="s">
        <v>677</v>
      </c>
      <c r="I572" t="s">
        <v>678</v>
      </c>
      <c r="J572" t="s">
        <v>679</v>
      </c>
      <c r="K572" t="s">
        <v>680</v>
      </c>
      <c r="L572" t="s">
        <v>681</v>
      </c>
      <c r="M572" t="s">
        <v>682</v>
      </c>
      <c r="N572" t="s">
        <v>683</v>
      </c>
      <c r="O572" t="s">
        <v>684</v>
      </c>
      <c r="P572" t="s">
        <v>685</v>
      </c>
    </row>
    <row r="573" spans="2:16" ht="15">
      <c r="B573" s="7"/>
      <c r="C573" t="s">
        <v>686</v>
      </c>
      <c r="D573" t="s">
        <v>1692</v>
      </c>
      <c r="E573" t="s">
        <v>688</v>
      </c>
      <c r="F573" t="s">
        <v>688</v>
      </c>
      <c r="G573" t="s">
        <v>688</v>
      </c>
      <c r="H573" t="s">
        <v>1693</v>
      </c>
      <c r="I573" t="s">
        <v>688</v>
      </c>
      <c r="J573" t="s">
        <v>688</v>
      </c>
      <c r="K573" t="s">
        <v>1694</v>
      </c>
      <c r="L573" t="s">
        <v>688</v>
      </c>
      <c r="M573" t="s">
        <v>1695</v>
      </c>
      <c r="N573" t="s">
        <v>688</v>
      </c>
      <c r="P573" t="s">
        <v>1696</v>
      </c>
    </row>
    <row r="574" spans="2:16" ht="15">
      <c r="B574" s="1">
        <v>286</v>
      </c>
      <c r="C574" t="str">
        <f ca="1">IFERROR(__xludf.DUMMYFUNCTION(TRANSPOSE(ImportHTML("http://spending.data.al/sq/moneypower/view/id/286", "table", 0))),"*Kategoria*")</f>
        <v>*Kategoria*</v>
      </c>
      <c r="D574" t="s">
        <v>673</v>
      </c>
      <c r="E574" t="s">
        <v>674</v>
      </c>
      <c r="F574" t="s">
        <v>675</v>
      </c>
      <c r="G574" t="s">
        <v>676</v>
      </c>
      <c r="H574" t="s">
        <v>677</v>
      </c>
      <c r="I574" t="s">
        <v>678</v>
      </c>
      <c r="J574" t="s">
        <v>679</v>
      </c>
      <c r="K574" t="s">
        <v>680</v>
      </c>
      <c r="L574" t="s">
        <v>681</v>
      </c>
      <c r="M574" t="s">
        <v>682</v>
      </c>
      <c r="N574" t="s">
        <v>683</v>
      </c>
      <c r="O574" t="s">
        <v>684</v>
      </c>
      <c r="P574" t="s">
        <v>685</v>
      </c>
    </row>
    <row r="575" spans="2:16" ht="15">
      <c r="B575" s="7"/>
      <c r="C575" t="s">
        <v>686</v>
      </c>
      <c r="D575" t="s">
        <v>1697</v>
      </c>
      <c r="E575" t="s">
        <v>688</v>
      </c>
      <c r="F575" t="s">
        <v>688</v>
      </c>
      <c r="G575" t="s">
        <v>688</v>
      </c>
      <c r="H575" t="s">
        <v>688</v>
      </c>
      <c r="I575" t="s">
        <v>688</v>
      </c>
      <c r="J575" t="s">
        <v>688</v>
      </c>
      <c r="K575" t="s">
        <v>688</v>
      </c>
      <c r="L575" t="s">
        <v>688</v>
      </c>
      <c r="M575" t="s">
        <v>1698</v>
      </c>
      <c r="N575" t="s">
        <v>688</v>
      </c>
      <c r="P575" t="s">
        <v>1699</v>
      </c>
    </row>
    <row r="576" spans="2:16" ht="15">
      <c r="B576" s="1">
        <v>287</v>
      </c>
      <c r="C576" t="str">
        <f ca="1">IFERROR(__xludf.DUMMYFUNCTION(TRANSPOSE(ImportHTML("http://spending.data.al/sq/moneypower/view/id/287", "table", 0))),"*Kategoria*")</f>
        <v>*Kategoria*</v>
      </c>
      <c r="D576" t="s">
        <v>673</v>
      </c>
      <c r="E576" t="s">
        <v>674</v>
      </c>
      <c r="F576" t="s">
        <v>675</v>
      </c>
      <c r="G576" t="s">
        <v>676</v>
      </c>
      <c r="H576" t="s">
        <v>677</v>
      </c>
      <c r="I576" t="s">
        <v>678</v>
      </c>
      <c r="J576" t="s">
        <v>679</v>
      </c>
      <c r="K576" t="s">
        <v>680</v>
      </c>
      <c r="L576" t="s">
        <v>681</v>
      </c>
      <c r="M576" t="s">
        <v>682</v>
      </c>
      <c r="N576" t="s">
        <v>683</v>
      </c>
      <c r="O576" t="s">
        <v>684</v>
      </c>
      <c r="P576" t="s">
        <v>685</v>
      </c>
    </row>
    <row r="577" spans="2:16" ht="15">
      <c r="B577" s="7"/>
      <c r="C577" t="s">
        <v>686</v>
      </c>
      <c r="D577" t="s">
        <v>1700</v>
      </c>
      <c r="E577" t="s">
        <v>688</v>
      </c>
      <c r="F577" t="s">
        <v>688</v>
      </c>
      <c r="G577" t="s">
        <v>688</v>
      </c>
      <c r="H577" t="s">
        <v>688</v>
      </c>
      <c r="I577" t="s">
        <v>688</v>
      </c>
      <c r="J577" t="s">
        <v>688</v>
      </c>
      <c r="K577" t="s">
        <v>688</v>
      </c>
      <c r="L577" t="s">
        <v>688</v>
      </c>
      <c r="M577" t="s">
        <v>1701</v>
      </c>
      <c r="N577" t="s">
        <v>688</v>
      </c>
      <c r="P577" t="s">
        <v>1702</v>
      </c>
    </row>
    <row r="578" spans="2:16" ht="15">
      <c r="B578" s="1">
        <v>288</v>
      </c>
      <c r="C578" t="str">
        <f ca="1">IFERROR(__xludf.DUMMYFUNCTION(TRANSPOSE(ImportHTML("http://spending.data.al/sq/moneypower/view/id/288", "table", 0))),"*Kategoria*")</f>
        <v>*Kategoria*</v>
      </c>
      <c r="D578" t="s">
        <v>673</v>
      </c>
      <c r="E578" t="s">
        <v>674</v>
      </c>
      <c r="F578" t="s">
        <v>675</v>
      </c>
      <c r="G578" t="s">
        <v>676</v>
      </c>
      <c r="H578" t="s">
        <v>677</v>
      </c>
      <c r="I578" t="s">
        <v>678</v>
      </c>
      <c r="J578" t="s">
        <v>679</v>
      </c>
      <c r="K578" t="s">
        <v>680</v>
      </c>
      <c r="L578" t="s">
        <v>681</v>
      </c>
      <c r="M578" t="s">
        <v>682</v>
      </c>
      <c r="N578" t="s">
        <v>683</v>
      </c>
      <c r="O578" t="s">
        <v>684</v>
      </c>
      <c r="P578" t="s">
        <v>685</v>
      </c>
    </row>
    <row r="579" spans="2:16" ht="15">
      <c r="B579" s="7"/>
      <c r="C579" t="s">
        <v>686</v>
      </c>
      <c r="D579" t="s">
        <v>1703</v>
      </c>
      <c r="E579" t="s">
        <v>688</v>
      </c>
      <c r="F579" t="s">
        <v>688</v>
      </c>
      <c r="G579" t="s">
        <v>688</v>
      </c>
      <c r="H579" t="s">
        <v>688</v>
      </c>
      <c r="I579" t="s">
        <v>688</v>
      </c>
      <c r="J579" t="s">
        <v>688</v>
      </c>
      <c r="K579" t="s">
        <v>688</v>
      </c>
      <c r="L579" t="s">
        <v>688</v>
      </c>
      <c r="M579" t="s">
        <v>1704</v>
      </c>
      <c r="N579" t="s">
        <v>688</v>
      </c>
      <c r="P579" t="s">
        <v>1705</v>
      </c>
    </row>
    <row r="580" spans="2:16" ht="15">
      <c r="B580" s="1">
        <v>289</v>
      </c>
      <c r="C580" t="str">
        <f ca="1">IFERROR(__xludf.DUMMYFUNCTION(TRANSPOSE(ImportHTML("http://spending.data.al/sq/moneypower/view/id/289", "table", 0))),"*Kategoria*")</f>
        <v>*Kategoria*</v>
      </c>
      <c r="D580" t="s">
        <v>673</v>
      </c>
      <c r="E580" t="s">
        <v>674</v>
      </c>
      <c r="F580" t="s">
        <v>675</v>
      </c>
      <c r="G580" t="s">
        <v>676</v>
      </c>
      <c r="H580" t="s">
        <v>677</v>
      </c>
      <c r="I580" t="s">
        <v>678</v>
      </c>
      <c r="J580" t="s">
        <v>679</v>
      </c>
      <c r="K580" t="s">
        <v>680</v>
      </c>
      <c r="L580" t="s">
        <v>681</v>
      </c>
      <c r="M580" t="s">
        <v>682</v>
      </c>
      <c r="N580" t="s">
        <v>683</v>
      </c>
      <c r="O580" t="s">
        <v>684</v>
      </c>
      <c r="P580" t="s">
        <v>685</v>
      </c>
    </row>
    <row r="581" spans="2:16" ht="15">
      <c r="B581" s="7"/>
      <c r="C581" t="s">
        <v>686</v>
      </c>
      <c r="D581" t="s">
        <v>1706</v>
      </c>
      <c r="E581" t="s">
        <v>688</v>
      </c>
      <c r="F581" t="s">
        <v>688</v>
      </c>
      <c r="G581" t="s">
        <v>1707</v>
      </c>
      <c r="H581" t="s">
        <v>688</v>
      </c>
      <c r="I581" t="s">
        <v>688</v>
      </c>
      <c r="J581" t="s">
        <v>688</v>
      </c>
      <c r="K581" t="s">
        <v>688</v>
      </c>
      <c r="L581" t="s">
        <v>688</v>
      </c>
      <c r="M581" t="s">
        <v>1708</v>
      </c>
      <c r="N581" t="s">
        <v>688</v>
      </c>
      <c r="P581" t="s">
        <v>1709</v>
      </c>
    </row>
    <row r="582" spans="2:16" ht="15">
      <c r="B582" s="1">
        <v>290</v>
      </c>
      <c r="C582" t="str">
        <f ca="1">IFERROR(__xludf.DUMMYFUNCTION(TRANSPOSE(ImportHTML("http://spending.data.al/sq/moneypower/view/id/290", "table", 0))),"*Kategoria*")</f>
        <v>*Kategoria*</v>
      </c>
      <c r="D582" t="s">
        <v>673</v>
      </c>
      <c r="E582" t="s">
        <v>674</v>
      </c>
      <c r="F582" t="s">
        <v>675</v>
      </c>
      <c r="G582" t="s">
        <v>676</v>
      </c>
      <c r="H582" t="s">
        <v>677</v>
      </c>
      <c r="I582" t="s">
        <v>678</v>
      </c>
      <c r="J582" t="s">
        <v>679</v>
      </c>
      <c r="K582" t="s">
        <v>680</v>
      </c>
      <c r="L582" t="s">
        <v>681</v>
      </c>
      <c r="M582" t="s">
        <v>682</v>
      </c>
      <c r="N582" t="s">
        <v>683</v>
      </c>
      <c r="O582" t="s">
        <v>684</v>
      </c>
      <c r="P582" t="s">
        <v>685</v>
      </c>
    </row>
    <row r="583" spans="2:16" ht="15">
      <c r="B583" s="7"/>
      <c r="C583" t="s">
        <v>686</v>
      </c>
      <c r="D583" t="s">
        <v>1710</v>
      </c>
      <c r="E583" t="s">
        <v>688</v>
      </c>
      <c r="F583" t="s">
        <v>688</v>
      </c>
      <c r="G583" t="s">
        <v>688</v>
      </c>
      <c r="H583" t="s">
        <v>688</v>
      </c>
      <c r="I583" t="s">
        <v>688</v>
      </c>
      <c r="J583" t="s">
        <v>688</v>
      </c>
      <c r="K583" t="s">
        <v>688</v>
      </c>
      <c r="L583" t="s">
        <v>688</v>
      </c>
      <c r="M583" t="s">
        <v>1711</v>
      </c>
      <c r="N583" t="s">
        <v>688</v>
      </c>
      <c r="P583" t="s">
        <v>1712</v>
      </c>
    </row>
    <row r="584" spans="2:16" ht="15">
      <c r="B584" s="1">
        <v>291</v>
      </c>
      <c r="C584" t="str">
        <f ca="1">IFERROR(__xludf.DUMMYFUNCTION(TRANSPOSE(ImportHTML("http://spending.data.al/sq/moneypower/view/id/291", "table", 0))),"*Kategoria*")</f>
        <v>*Kategoria*</v>
      </c>
      <c r="D584" t="s">
        <v>673</v>
      </c>
      <c r="E584" t="s">
        <v>674</v>
      </c>
      <c r="F584" t="s">
        <v>675</v>
      </c>
      <c r="G584" t="s">
        <v>676</v>
      </c>
      <c r="H584" t="s">
        <v>677</v>
      </c>
      <c r="I584" t="s">
        <v>678</v>
      </c>
      <c r="J584" t="s">
        <v>679</v>
      </c>
      <c r="K584" t="s">
        <v>680</v>
      </c>
      <c r="L584" t="s">
        <v>681</v>
      </c>
      <c r="M584" t="s">
        <v>682</v>
      </c>
      <c r="N584" t="s">
        <v>683</v>
      </c>
      <c r="O584" t="s">
        <v>684</v>
      </c>
      <c r="P584" t="s">
        <v>685</v>
      </c>
    </row>
    <row r="585" spans="2:16" ht="15">
      <c r="B585" s="7"/>
      <c r="C585" t="s">
        <v>686</v>
      </c>
      <c r="D585" t="s">
        <v>1713</v>
      </c>
      <c r="E585" t="s">
        <v>688</v>
      </c>
      <c r="F585" t="s">
        <v>688</v>
      </c>
      <c r="G585" t="s">
        <v>1714</v>
      </c>
      <c r="H585" t="s">
        <v>688</v>
      </c>
      <c r="I585" t="s">
        <v>688</v>
      </c>
      <c r="J585" t="s">
        <v>688</v>
      </c>
      <c r="K585" t="s">
        <v>688</v>
      </c>
      <c r="L585" t="s">
        <v>688</v>
      </c>
      <c r="M585" t="s">
        <v>1715</v>
      </c>
      <c r="N585" t="s">
        <v>688</v>
      </c>
      <c r="P585" t="s">
        <v>1716</v>
      </c>
    </row>
    <row r="586" spans="2:16" ht="15">
      <c r="B586" s="1">
        <v>292</v>
      </c>
      <c r="C586" t="str">
        <f ca="1">IFERROR(__xludf.DUMMYFUNCTION(TRANSPOSE(ImportHTML("http://spending.data.al/sq/moneypower/view/id/292", "table", 0))),"*Kategoria*")</f>
        <v>*Kategoria*</v>
      </c>
      <c r="D586" t="s">
        <v>673</v>
      </c>
      <c r="E586" t="s">
        <v>674</v>
      </c>
      <c r="F586" t="s">
        <v>675</v>
      </c>
      <c r="G586" t="s">
        <v>676</v>
      </c>
      <c r="H586" t="s">
        <v>677</v>
      </c>
      <c r="I586" t="s">
        <v>678</v>
      </c>
      <c r="J586" t="s">
        <v>679</v>
      </c>
      <c r="K586" t="s">
        <v>680</v>
      </c>
      <c r="L586" t="s">
        <v>681</v>
      </c>
      <c r="M586" t="s">
        <v>682</v>
      </c>
      <c r="N586" t="s">
        <v>683</v>
      </c>
      <c r="O586" t="s">
        <v>684</v>
      </c>
      <c r="P586" t="s">
        <v>685</v>
      </c>
    </row>
    <row r="587" spans="2:16" ht="15">
      <c r="B587" s="7"/>
      <c r="C587" t="s">
        <v>686</v>
      </c>
      <c r="D587" t="s">
        <v>1717</v>
      </c>
      <c r="E587" t="s">
        <v>688</v>
      </c>
      <c r="F587" t="s">
        <v>688</v>
      </c>
      <c r="G587" t="s">
        <v>688</v>
      </c>
      <c r="H587" t="s">
        <v>1718</v>
      </c>
      <c r="I587" t="s">
        <v>688</v>
      </c>
      <c r="J587" t="s">
        <v>688</v>
      </c>
      <c r="K587" t="s">
        <v>688</v>
      </c>
      <c r="L587" t="s">
        <v>688</v>
      </c>
      <c r="M587" t="s">
        <v>1719</v>
      </c>
      <c r="N587" t="s">
        <v>688</v>
      </c>
      <c r="P587" t="s">
        <v>1720</v>
      </c>
    </row>
    <row r="588" spans="2:16" ht="15">
      <c r="B588" s="1">
        <v>293</v>
      </c>
      <c r="C588" t="str">
        <f ca="1">IFERROR(__xludf.DUMMYFUNCTION(TRANSPOSE(ImportHTML("http://spending.data.al/sq/moneypower/view/id/293", "table", 0))),"*Kategoria*")</f>
        <v>*Kategoria*</v>
      </c>
      <c r="D588" t="s">
        <v>673</v>
      </c>
      <c r="E588" t="s">
        <v>674</v>
      </c>
      <c r="F588" t="s">
        <v>675</v>
      </c>
      <c r="G588" t="s">
        <v>676</v>
      </c>
      <c r="H588" t="s">
        <v>677</v>
      </c>
      <c r="I588" t="s">
        <v>678</v>
      </c>
      <c r="J588" t="s">
        <v>679</v>
      </c>
      <c r="K588" t="s">
        <v>680</v>
      </c>
      <c r="L588" t="s">
        <v>681</v>
      </c>
      <c r="M588" t="s">
        <v>682</v>
      </c>
      <c r="N588" t="s">
        <v>683</v>
      </c>
      <c r="O588" t="s">
        <v>684</v>
      </c>
      <c r="P588" t="s">
        <v>685</v>
      </c>
    </row>
    <row r="589" spans="2:16" ht="15">
      <c r="B589" s="7"/>
      <c r="C589" t="s">
        <v>686</v>
      </c>
      <c r="D589" t="s">
        <v>1721</v>
      </c>
      <c r="E589" t="s">
        <v>1722</v>
      </c>
      <c r="F589" t="s">
        <v>688</v>
      </c>
      <c r="G589" t="s">
        <v>688</v>
      </c>
      <c r="H589" t="s">
        <v>688</v>
      </c>
      <c r="I589" t="s">
        <v>688</v>
      </c>
      <c r="J589" t="s">
        <v>688</v>
      </c>
      <c r="K589" t="s">
        <v>688</v>
      </c>
      <c r="L589" t="s">
        <v>688</v>
      </c>
      <c r="M589" t="s">
        <v>1723</v>
      </c>
      <c r="N589" t="s">
        <v>688</v>
      </c>
      <c r="P589" t="s">
        <v>1724</v>
      </c>
    </row>
    <row r="590" spans="2:16" ht="15">
      <c r="B590" s="1">
        <v>294</v>
      </c>
      <c r="C590" t="str">
        <f ca="1">IFERROR(__xludf.DUMMYFUNCTION(TRANSPOSE(ImportHTML("http://spending.data.al/sq/moneypower/view/id/294", "table", 0))),"*Kategoria*")</f>
        <v>*Kategoria*</v>
      </c>
      <c r="D590" t="s">
        <v>673</v>
      </c>
      <c r="E590" t="s">
        <v>674</v>
      </c>
      <c r="F590" t="s">
        <v>675</v>
      </c>
      <c r="G590" t="s">
        <v>676</v>
      </c>
      <c r="H590" t="s">
        <v>677</v>
      </c>
      <c r="I590" t="s">
        <v>678</v>
      </c>
      <c r="J590" t="s">
        <v>679</v>
      </c>
      <c r="K590" t="s">
        <v>680</v>
      </c>
      <c r="L590" t="s">
        <v>681</v>
      </c>
      <c r="M590" t="s">
        <v>682</v>
      </c>
      <c r="N590" t="s">
        <v>683</v>
      </c>
      <c r="O590" t="s">
        <v>684</v>
      </c>
      <c r="P590" t="s">
        <v>685</v>
      </c>
    </row>
    <row r="591" spans="2:16" ht="15">
      <c r="B591" s="7"/>
      <c r="C591" t="s">
        <v>686</v>
      </c>
      <c r="D591" t="s">
        <v>1725</v>
      </c>
      <c r="E591" t="s">
        <v>688</v>
      </c>
      <c r="F591" t="s">
        <v>688</v>
      </c>
      <c r="G591" t="s">
        <v>688</v>
      </c>
      <c r="H591" t="s">
        <v>688</v>
      </c>
      <c r="I591" t="s">
        <v>688</v>
      </c>
      <c r="J591" t="s">
        <v>688</v>
      </c>
      <c r="K591" t="s">
        <v>688</v>
      </c>
      <c r="L591" t="s">
        <v>688</v>
      </c>
      <c r="M591" t="s">
        <v>1726</v>
      </c>
      <c r="N591" t="s">
        <v>688</v>
      </c>
      <c r="P591" t="s">
        <v>1727</v>
      </c>
    </row>
    <row r="592" spans="2:16" ht="15">
      <c r="B592" s="1">
        <v>295</v>
      </c>
      <c r="C592" t="str">
        <f ca="1">IFERROR(__xludf.DUMMYFUNCTION(TRANSPOSE(ImportHTML("http://spending.data.al/sq/moneypower/view/id/295", "table", 0))),"*Kategoria*")</f>
        <v>*Kategoria*</v>
      </c>
      <c r="D592" t="s">
        <v>673</v>
      </c>
      <c r="E592" t="s">
        <v>674</v>
      </c>
      <c r="F592" t="s">
        <v>675</v>
      </c>
      <c r="G592" t="s">
        <v>676</v>
      </c>
      <c r="H592" t="s">
        <v>677</v>
      </c>
      <c r="I592" t="s">
        <v>678</v>
      </c>
      <c r="J592" t="s">
        <v>679</v>
      </c>
      <c r="K592" t="s">
        <v>680</v>
      </c>
      <c r="L592" t="s">
        <v>681</v>
      </c>
      <c r="M592" t="s">
        <v>682</v>
      </c>
      <c r="N592" t="s">
        <v>683</v>
      </c>
      <c r="O592" t="s">
        <v>684</v>
      </c>
      <c r="P592" t="s">
        <v>685</v>
      </c>
    </row>
    <row r="593" spans="2:16" ht="15">
      <c r="B593" s="7"/>
      <c r="C593" t="s">
        <v>686</v>
      </c>
      <c r="D593" t="s">
        <v>1728</v>
      </c>
      <c r="E593" t="s">
        <v>688</v>
      </c>
      <c r="F593" t="s">
        <v>688</v>
      </c>
      <c r="G593" t="s">
        <v>688</v>
      </c>
      <c r="H593" t="s">
        <v>688</v>
      </c>
      <c r="I593" t="s">
        <v>688</v>
      </c>
      <c r="J593" t="s">
        <v>688</v>
      </c>
      <c r="K593" t="s">
        <v>688</v>
      </c>
      <c r="L593" t="s">
        <v>688</v>
      </c>
      <c r="M593" t="s">
        <v>1729</v>
      </c>
      <c r="N593" t="s">
        <v>688</v>
      </c>
      <c r="P593" t="s">
        <v>1730</v>
      </c>
    </row>
    <row r="594" spans="2:16" ht="15">
      <c r="B594" s="1">
        <v>296</v>
      </c>
      <c r="C594" t="str">
        <f ca="1">IFERROR(__xludf.DUMMYFUNCTION(TRANSPOSE(ImportHTML("http://spending.data.al/sq/moneypower/view/id/296", "table", 0))),"*Kategoria*")</f>
        <v>*Kategoria*</v>
      </c>
      <c r="D594" t="s">
        <v>673</v>
      </c>
      <c r="E594" t="s">
        <v>674</v>
      </c>
      <c r="F594" t="s">
        <v>675</v>
      </c>
      <c r="G594" t="s">
        <v>676</v>
      </c>
      <c r="H594" t="s">
        <v>677</v>
      </c>
      <c r="I594" t="s">
        <v>678</v>
      </c>
      <c r="J594" t="s">
        <v>679</v>
      </c>
      <c r="K594" t="s">
        <v>680</v>
      </c>
      <c r="L594" t="s">
        <v>681</v>
      </c>
      <c r="M594" t="s">
        <v>682</v>
      </c>
      <c r="N594" t="s">
        <v>683</v>
      </c>
      <c r="O594" t="s">
        <v>684</v>
      </c>
      <c r="P594" t="s">
        <v>685</v>
      </c>
    </row>
    <row r="595" spans="2:16" ht="15">
      <c r="B595" s="7"/>
      <c r="C595" t="s">
        <v>686</v>
      </c>
      <c r="D595" t="s">
        <v>1731</v>
      </c>
      <c r="E595" t="s">
        <v>688</v>
      </c>
      <c r="F595" t="s">
        <v>688</v>
      </c>
      <c r="G595" t="s">
        <v>688</v>
      </c>
      <c r="H595" t="s">
        <v>688</v>
      </c>
      <c r="I595" t="s">
        <v>688</v>
      </c>
      <c r="J595" t="s">
        <v>688</v>
      </c>
      <c r="K595" t="s">
        <v>688</v>
      </c>
      <c r="L595" t="s">
        <v>688</v>
      </c>
      <c r="M595" t="s">
        <v>1732</v>
      </c>
      <c r="N595" t="s">
        <v>688</v>
      </c>
      <c r="O595" s="4">
        <v>1</v>
      </c>
      <c r="P595" t="s">
        <v>1733</v>
      </c>
    </row>
    <row r="596" spans="2:16" ht="15">
      <c r="B596" s="1">
        <v>297</v>
      </c>
      <c r="C596" t="str">
        <f ca="1">IFERROR(__xludf.DUMMYFUNCTION(TRANSPOSE(ImportHTML("http://spending.data.al/sq/moneypower/view/id/297", "table", 0))),"*Kategoria*")</f>
        <v>*Kategoria*</v>
      </c>
      <c r="D596" t="s">
        <v>673</v>
      </c>
      <c r="E596" t="s">
        <v>674</v>
      </c>
      <c r="F596" t="s">
        <v>675</v>
      </c>
      <c r="G596" t="s">
        <v>676</v>
      </c>
      <c r="H596" t="s">
        <v>677</v>
      </c>
      <c r="I596" t="s">
        <v>678</v>
      </c>
      <c r="J596" t="s">
        <v>679</v>
      </c>
      <c r="K596" t="s">
        <v>680</v>
      </c>
      <c r="L596" t="s">
        <v>681</v>
      </c>
      <c r="M596" t="s">
        <v>682</v>
      </c>
      <c r="N596" t="s">
        <v>683</v>
      </c>
      <c r="O596" t="s">
        <v>684</v>
      </c>
      <c r="P596" t="s">
        <v>685</v>
      </c>
    </row>
    <row r="597" spans="2:16" ht="15">
      <c r="B597" s="7"/>
      <c r="C597" t="s">
        <v>686</v>
      </c>
      <c r="D597" t="s">
        <v>1734</v>
      </c>
      <c r="E597" t="s">
        <v>688</v>
      </c>
      <c r="F597" t="s">
        <v>688</v>
      </c>
      <c r="G597" t="s">
        <v>688</v>
      </c>
      <c r="H597" t="s">
        <v>688</v>
      </c>
      <c r="I597" t="s">
        <v>688</v>
      </c>
      <c r="J597" t="s">
        <v>688</v>
      </c>
      <c r="K597" t="s">
        <v>688</v>
      </c>
      <c r="L597" t="s">
        <v>688</v>
      </c>
      <c r="M597" t="s">
        <v>1735</v>
      </c>
      <c r="N597" t="s">
        <v>688</v>
      </c>
      <c r="P597" t="s">
        <v>1736</v>
      </c>
    </row>
    <row r="598" spans="2:16" ht="15">
      <c r="B598" s="1">
        <v>298</v>
      </c>
      <c r="C598" t="str">
        <f ca="1">IFERROR(__xludf.DUMMYFUNCTION(TRANSPOSE(ImportHTML("http://spending.data.al/sq/moneypower/view/id/298", "table", 0))),"*Kategoria*")</f>
        <v>*Kategoria*</v>
      </c>
      <c r="D598" t="s">
        <v>673</v>
      </c>
      <c r="E598" t="s">
        <v>674</v>
      </c>
      <c r="F598" t="s">
        <v>675</v>
      </c>
      <c r="G598" t="s">
        <v>676</v>
      </c>
      <c r="H598" t="s">
        <v>677</v>
      </c>
      <c r="I598" t="s">
        <v>678</v>
      </c>
      <c r="J598" t="s">
        <v>679</v>
      </c>
      <c r="K598" t="s">
        <v>680</v>
      </c>
      <c r="L598" t="s">
        <v>681</v>
      </c>
      <c r="M598" t="s">
        <v>682</v>
      </c>
      <c r="N598" t="s">
        <v>683</v>
      </c>
      <c r="O598" t="s">
        <v>684</v>
      </c>
      <c r="P598" t="s">
        <v>685</v>
      </c>
    </row>
    <row r="599" spans="2:16" ht="15">
      <c r="B599" s="7"/>
      <c r="C599" t="s">
        <v>686</v>
      </c>
      <c r="D599" t="s">
        <v>1737</v>
      </c>
      <c r="E599" t="s">
        <v>688</v>
      </c>
      <c r="F599" t="s">
        <v>688</v>
      </c>
      <c r="G599" t="s">
        <v>688</v>
      </c>
      <c r="H599" t="s">
        <v>688</v>
      </c>
      <c r="I599" t="s">
        <v>688</v>
      </c>
      <c r="J599" t="s">
        <v>688</v>
      </c>
      <c r="K599" t="s">
        <v>688</v>
      </c>
      <c r="L599" t="s">
        <v>688</v>
      </c>
      <c r="M599" t="s">
        <v>1738</v>
      </c>
      <c r="N599" t="s">
        <v>688</v>
      </c>
      <c r="P599" t="s">
        <v>1739</v>
      </c>
    </row>
    <row r="600" spans="2:16" ht="15">
      <c r="B600" s="1">
        <v>299</v>
      </c>
      <c r="C600" t="str">
        <f ca="1">IFERROR(__xludf.DUMMYFUNCTION(TRANSPOSE(ImportHTML("http://spending.data.al/sq/moneypower/view/id/299", "table", 0))),"*Kategoria*")</f>
        <v>*Kategoria*</v>
      </c>
      <c r="D600" t="s">
        <v>673</v>
      </c>
      <c r="E600" t="s">
        <v>674</v>
      </c>
      <c r="F600" t="s">
        <v>675</v>
      </c>
      <c r="G600" t="s">
        <v>676</v>
      </c>
      <c r="H600" t="s">
        <v>677</v>
      </c>
      <c r="I600" t="s">
        <v>678</v>
      </c>
      <c r="J600" t="s">
        <v>679</v>
      </c>
      <c r="K600" t="s">
        <v>680</v>
      </c>
      <c r="L600" t="s">
        <v>681</v>
      </c>
      <c r="M600" t="s">
        <v>682</v>
      </c>
      <c r="N600" t="s">
        <v>683</v>
      </c>
      <c r="O600" t="s">
        <v>684</v>
      </c>
      <c r="P600" t="s">
        <v>685</v>
      </c>
    </row>
    <row r="601" spans="2:16" ht="15">
      <c r="B601" s="7"/>
      <c r="C601" t="s">
        <v>686</v>
      </c>
      <c r="D601" t="s">
        <v>1740</v>
      </c>
      <c r="E601" t="s">
        <v>688</v>
      </c>
      <c r="F601" t="s">
        <v>688</v>
      </c>
      <c r="G601" t="s">
        <v>688</v>
      </c>
      <c r="H601" t="s">
        <v>688</v>
      </c>
      <c r="I601" t="s">
        <v>688</v>
      </c>
      <c r="J601" t="s">
        <v>688</v>
      </c>
      <c r="K601" t="s">
        <v>688</v>
      </c>
      <c r="L601" t="s">
        <v>688</v>
      </c>
      <c r="M601" t="s">
        <v>1741</v>
      </c>
      <c r="N601" t="s">
        <v>688</v>
      </c>
      <c r="P601" t="s">
        <v>688</v>
      </c>
    </row>
    <row r="602" spans="2:16" ht="15">
      <c r="B602" s="1">
        <v>300</v>
      </c>
      <c r="C602" t="str">
        <f ca="1">IFERROR(__xludf.DUMMYFUNCTION(TRANSPOSE(ImportHTML("http://spending.data.al/sq/moneypower/view/id/300", "table", 0))),"*Kategoria*")</f>
        <v>*Kategoria*</v>
      </c>
      <c r="D602" t="s">
        <v>673</v>
      </c>
      <c r="E602" t="s">
        <v>674</v>
      </c>
      <c r="F602" t="s">
        <v>675</v>
      </c>
      <c r="G602" t="s">
        <v>676</v>
      </c>
      <c r="H602" t="s">
        <v>677</v>
      </c>
      <c r="I602" t="s">
        <v>678</v>
      </c>
      <c r="J602" t="s">
        <v>679</v>
      </c>
      <c r="K602" t="s">
        <v>680</v>
      </c>
      <c r="L602" t="s">
        <v>681</v>
      </c>
      <c r="M602" t="s">
        <v>682</v>
      </c>
      <c r="N602" t="s">
        <v>683</v>
      </c>
      <c r="O602" t="s">
        <v>684</v>
      </c>
      <c r="P602" t="s">
        <v>685</v>
      </c>
    </row>
    <row r="603" spans="2:16" ht="15">
      <c r="B603" s="7"/>
      <c r="C603" t="s">
        <v>686</v>
      </c>
      <c r="D603" t="s">
        <v>1742</v>
      </c>
      <c r="E603" t="s">
        <v>688</v>
      </c>
      <c r="F603" t="s">
        <v>688</v>
      </c>
      <c r="G603" t="s">
        <v>688</v>
      </c>
      <c r="H603" t="s">
        <v>688</v>
      </c>
      <c r="I603" t="s">
        <v>688</v>
      </c>
      <c r="J603" t="s">
        <v>688</v>
      </c>
      <c r="K603" t="s">
        <v>688</v>
      </c>
      <c r="L603" t="s">
        <v>688</v>
      </c>
      <c r="M603" t="s">
        <v>1743</v>
      </c>
      <c r="N603" t="s">
        <v>688</v>
      </c>
      <c r="P603" t="s">
        <v>1744</v>
      </c>
    </row>
    <row r="604" spans="2:16" ht="15">
      <c r="B604" s="1">
        <v>301</v>
      </c>
      <c r="C604" t="str">
        <f ca="1">IFERROR(__xludf.DUMMYFUNCTION(TRANSPOSE(ImportHTML("http://spending.data.al/sq/moneypower/view/id/301", "table", 0))),"*Kategoria*")</f>
        <v>*Kategoria*</v>
      </c>
      <c r="D604" t="s">
        <v>673</v>
      </c>
      <c r="E604" t="s">
        <v>674</v>
      </c>
      <c r="F604" t="s">
        <v>675</v>
      </c>
      <c r="G604" t="s">
        <v>676</v>
      </c>
      <c r="H604" t="s">
        <v>677</v>
      </c>
      <c r="I604" t="s">
        <v>678</v>
      </c>
      <c r="J604" t="s">
        <v>679</v>
      </c>
      <c r="K604" t="s">
        <v>680</v>
      </c>
      <c r="L604" t="s">
        <v>681</v>
      </c>
      <c r="M604" t="s">
        <v>682</v>
      </c>
      <c r="N604" t="s">
        <v>683</v>
      </c>
      <c r="O604" t="s">
        <v>684</v>
      </c>
      <c r="P604" t="s">
        <v>685</v>
      </c>
    </row>
    <row r="605" spans="2:16" ht="15">
      <c r="B605" s="7"/>
      <c r="C605" t="s">
        <v>686</v>
      </c>
      <c r="D605" t="s">
        <v>1745</v>
      </c>
      <c r="E605" t="s">
        <v>688</v>
      </c>
      <c r="F605" t="s">
        <v>688</v>
      </c>
      <c r="G605" t="s">
        <v>688</v>
      </c>
      <c r="H605" t="s">
        <v>688</v>
      </c>
      <c r="I605" t="s">
        <v>688</v>
      </c>
      <c r="J605" t="s">
        <v>688</v>
      </c>
      <c r="K605" t="s">
        <v>688</v>
      </c>
      <c r="L605" t="s">
        <v>688</v>
      </c>
      <c r="M605" t="s">
        <v>688</v>
      </c>
      <c r="N605" t="s">
        <v>688</v>
      </c>
      <c r="P605" t="s">
        <v>688</v>
      </c>
    </row>
    <row r="606" spans="2:16" ht="15">
      <c r="B606" s="1">
        <v>302</v>
      </c>
      <c r="C606" t="str">
        <f ca="1">IFERROR(__xludf.DUMMYFUNCTION(TRANSPOSE(ImportHTML("http://spending.data.al/sq/moneypower/view/id/302", "table", 0))),"*Kategoria*")</f>
        <v>*Kategoria*</v>
      </c>
      <c r="D606" t="s">
        <v>673</v>
      </c>
      <c r="E606" t="s">
        <v>674</v>
      </c>
      <c r="F606" t="s">
        <v>675</v>
      </c>
      <c r="G606" t="s">
        <v>676</v>
      </c>
      <c r="H606" t="s">
        <v>677</v>
      </c>
      <c r="I606" t="s">
        <v>678</v>
      </c>
      <c r="J606" t="s">
        <v>679</v>
      </c>
      <c r="K606" t="s">
        <v>680</v>
      </c>
      <c r="L606" t="s">
        <v>681</v>
      </c>
      <c r="M606" t="s">
        <v>682</v>
      </c>
      <c r="N606" t="s">
        <v>683</v>
      </c>
      <c r="O606" t="s">
        <v>684</v>
      </c>
      <c r="P606" t="s">
        <v>685</v>
      </c>
    </row>
    <row r="607" spans="2:16" ht="15">
      <c r="B607" s="7"/>
      <c r="C607" t="s">
        <v>686</v>
      </c>
      <c r="D607" t="s">
        <v>1746</v>
      </c>
      <c r="E607" t="s">
        <v>688</v>
      </c>
      <c r="F607" t="s">
        <v>688</v>
      </c>
      <c r="G607" t="s">
        <v>688</v>
      </c>
      <c r="H607" t="s">
        <v>688</v>
      </c>
      <c r="I607" t="s">
        <v>688</v>
      </c>
      <c r="J607" t="s">
        <v>688</v>
      </c>
      <c r="K607" t="s">
        <v>688</v>
      </c>
      <c r="L607" t="s">
        <v>688</v>
      </c>
      <c r="M607" t="s">
        <v>688</v>
      </c>
      <c r="N607" t="s">
        <v>688</v>
      </c>
      <c r="P607" t="s">
        <v>688</v>
      </c>
    </row>
    <row r="608" spans="2:16" ht="15">
      <c r="B608" s="1">
        <v>303</v>
      </c>
      <c r="C608" t="str">
        <f ca="1">IFERROR(__xludf.DUMMYFUNCTION(TRANSPOSE(ImportHTML("http://spending.data.al/sq/moneypower/view/id/303", "table", 0))),"*Kategoria*")</f>
        <v>*Kategoria*</v>
      </c>
      <c r="D608" t="s">
        <v>673</v>
      </c>
      <c r="E608" t="s">
        <v>674</v>
      </c>
      <c r="F608" t="s">
        <v>675</v>
      </c>
      <c r="G608" t="s">
        <v>676</v>
      </c>
      <c r="H608" t="s">
        <v>677</v>
      </c>
      <c r="I608" t="s">
        <v>678</v>
      </c>
      <c r="J608" t="s">
        <v>679</v>
      </c>
      <c r="K608" t="s">
        <v>680</v>
      </c>
      <c r="L608" t="s">
        <v>681</v>
      </c>
      <c r="M608" t="s">
        <v>682</v>
      </c>
      <c r="N608" t="s">
        <v>683</v>
      </c>
      <c r="O608" t="s">
        <v>684</v>
      </c>
      <c r="P608" t="s">
        <v>685</v>
      </c>
    </row>
    <row r="609" spans="2:16" ht="15">
      <c r="B609" s="7"/>
      <c r="C609" t="s">
        <v>686</v>
      </c>
      <c r="D609" t="s">
        <v>1747</v>
      </c>
      <c r="E609" t="s">
        <v>688</v>
      </c>
      <c r="F609" t="s">
        <v>688</v>
      </c>
      <c r="G609" t="s">
        <v>688</v>
      </c>
      <c r="H609" t="s">
        <v>688</v>
      </c>
      <c r="I609" t="s">
        <v>688</v>
      </c>
      <c r="J609" t="s">
        <v>688</v>
      </c>
      <c r="K609" t="s">
        <v>688</v>
      </c>
      <c r="L609" t="s">
        <v>688</v>
      </c>
      <c r="M609" t="s">
        <v>1748</v>
      </c>
      <c r="N609" t="s">
        <v>688</v>
      </c>
      <c r="P609" t="s">
        <v>1749</v>
      </c>
    </row>
    <row r="610" spans="2:16" ht="15">
      <c r="B610" s="1">
        <v>304</v>
      </c>
      <c r="C610" t="str">
        <f ca="1">IFERROR(__xludf.DUMMYFUNCTION(TRANSPOSE(ImportHTML("http://spending.data.al/sq/moneypower/view/id/304", "table", 0))),"*Kategoria*")</f>
        <v>*Kategoria*</v>
      </c>
      <c r="D610" t="s">
        <v>673</v>
      </c>
      <c r="E610" t="s">
        <v>674</v>
      </c>
      <c r="F610" t="s">
        <v>675</v>
      </c>
      <c r="G610" t="s">
        <v>676</v>
      </c>
      <c r="H610" t="s">
        <v>677</v>
      </c>
      <c r="I610" t="s">
        <v>678</v>
      </c>
      <c r="J610" t="s">
        <v>679</v>
      </c>
      <c r="K610" t="s">
        <v>680</v>
      </c>
      <c r="L610" t="s">
        <v>681</v>
      </c>
      <c r="M610" t="s">
        <v>682</v>
      </c>
      <c r="N610" t="s">
        <v>683</v>
      </c>
      <c r="O610" t="s">
        <v>684</v>
      </c>
      <c r="P610" t="s">
        <v>685</v>
      </c>
    </row>
    <row r="611" spans="2:16" ht="15">
      <c r="B611" s="7"/>
      <c r="C611" t="s">
        <v>686</v>
      </c>
      <c r="D611" t="s">
        <v>1750</v>
      </c>
      <c r="E611" t="s">
        <v>688</v>
      </c>
      <c r="F611" t="s">
        <v>688</v>
      </c>
      <c r="G611" t="s">
        <v>688</v>
      </c>
      <c r="H611" t="s">
        <v>1751</v>
      </c>
      <c r="I611" t="s">
        <v>688</v>
      </c>
      <c r="J611" t="s">
        <v>688</v>
      </c>
      <c r="K611" t="s">
        <v>688</v>
      </c>
      <c r="L611" t="s">
        <v>688</v>
      </c>
      <c r="M611" t="s">
        <v>688</v>
      </c>
      <c r="N611" t="s">
        <v>688</v>
      </c>
      <c r="P611" t="s">
        <v>1752</v>
      </c>
    </row>
    <row r="612" spans="2:16" ht="15">
      <c r="B612" s="1">
        <v>305</v>
      </c>
      <c r="C612" t="str">
        <f ca="1">IFERROR(__xludf.DUMMYFUNCTION(TRANSPOSE(ImportHTML("http://spending.data.al/sq/moneypower/view/id/305", "table", 0))),"*Kategoria*")</f>
        <v>*Kategoria*</v>
      </c>
      <c r="D612" t="s">
        <v>673</v>
      </c>
      <c r="E612" t="s">
        <v>674</v>
      </c>
      <c r="F612" t="s">
        <v>675</v>
      </c>
      <c r="G612" t="s">
        <v>676</v>
      </c>
      <c r="H612" t="s">
        <v>677</v>
      </c>
      <c r="I612" t="s">
        <v>678</v>
      </c>
      <c r="J612" t="s">
        <v>679</v>
      </c>
      <c r="K612" t="s">
        <v>680</v>
      </c>
      <c r="L612" t="s">
        <v>681</v>
      </c>
      <c r="M612" t="s">
        <v>682</v>
      </c>
      <c r="N612" t="s">
        <v>683</v>
      </c>
      <c r="O612" t="s">
        <v>684</v>
      </c>
      <c r="P612" t="s">
        <v>685</v>
      </c>
    </row>
    <row r="613" spans="2:16" ht="15">
      <c r="B613" s="7"/>
      <c r="C613" t="s">
        <v>686</v>
      </c>
      <c r="D613" t="s">
        <v>1753</v>
      </c>
      <c r="E613" t="s">
        <v>688</v>
      </c>
      <c r="F613" t="s">
        <v>688</v>
      </c>
      <c r="G613" t="s">
        <v>688</v>
      </c>
      <c r="H613" t="s">
        <v>688</v>
      </c>
      <c r="I613" t="s">
        <v>688</v>
      </c>
      <c r="J613" t="s">
        <v>688</v>
      </c>
      <c r="K613" t="s">
        <v>688</v>
      </c>
      <c r="L613" t="s">
        <v>688</v>
      </c>
      <c r="M613" t="s">
        <v>1754</v>
      </c>
      <c r="N613" t="s">
        <v>688</v>
      </c>
      <c r="P613" t="s">
        <v>1755</v>
      </c>
    </row>
    <row r="614" spans="2:16" ht="15">
      <c r="B614" s="1">
        <v>306</v>
      </c>
      <c r="C614" t="str">
        <f ca="1">IFERROR(__xludf.DUMMYFUNCTION(TRANSPOSE(ImportHTML("http://spending.data.al/sq/moneypower/view/id/306", "table", 0))),"*Kategoria*")</f>
        <v>*Kategoria*</v>
      </c>
      <c r="D614" t="s">
        <v>673</v>
      </c>
      <c r="E614" t="s">
        <v>674</v>
      </c>
      <c r="F614" t="s">
        <v>675</v>
      </c>
      <c r="G614" t="s">
        <v>676</v>
      </c>
      <c r="H614" t="s">
        <v>677</v>
      </c>
      <c r="I614" t="s">
        <v>678</v>
      </c>
      <c r="J614" t="s">
        <v>679</v>
      </c>
      <c r="K614" t="s">
        <v>680</v>
      </c>
      <c r="L614" t="s">
        <v>681</v>
      </c>
      <c r="M614" t="s">
        <v>682</v>
      </c>
      <c r="N614" t="s">
        <v>683</v>
      </c>
      <c r="O614" t="s">
        <v>684</v>
      </c>
      <c r="P614" t="s">
        <v>685</v>
      </c>
    </row>
    <row r="615" spans="2:16" ht="15">
      <c r="B615" s="7"/>
      <c r="C615" t="s">
        <v>686</v>
      </c>
      <c r="D615" t="s">
        <v>1756</v>
      </c>
      <c r="E615" t="s">
        <v>688</v>
      </c>
      <c r="F615" t="s">
        <v>688</v>
      </c>
      <c r="G615" t="s">
        <v>688</v>
      </c>
      <c r="H615" t="s">
        <v>1757</v>
      </c>
      <c r="I615" t="s">
        <v>688</v>
      </c>
      <c r="J615" t="s">
        <v>688</v>
      </c>
      <c r="K615" t="s">
        <v>688</v>
      </c>
      <c r="L615" t="s">
        <v>688</v>
      </c>
      <c r="M615" t="s">
        <v>1758</v>
      </c>
      <c r="N615" t="s">
        <v>688</v>
      </c>
      <c r="P615" t="s">
        <v>1759</v>
      </c>
    </row>
    <row r="616" spans="2:16" ht="15">
      <c r="B616" s="1">
        <v>307</v>
      </c>
      <c r="C616" t="str">
        <f ca="1">IFERROR(__xludf.DUMMYFUNCTION(TRANSPOSE(ImportHTML("http://spending.data.al/sq/moneypower/view/id/307", "table", 0))),"*Kategoria*")</f>
        <v>*Kategoria*</v>
      </c>
      <c r="D616" t="s">
        <v>673</v>
      </c>
      <c r="E616" t="s">
        <v>674</v>
      </c>
      <c r="F616" t="s">
        <v>675</v>
      </c>
      <c r="G616" t="s">
        <v>676</v>
      </c>
      <c r="H616" t="s">
        <v>677</v>
      </c>
      <c r="I616" t="s">
        <v>678</v>
      </c>
      <c r="J616" t="s">
        <v>679</v>
      </c>
      <c r="K616" t="s">
        <v>680</v>
      </c>
      <c r="L616" t="s">
        <v>681</v>
      </c>
      <c r="M616" t="s">
        <v>682</v>
      </c>
      <c r="N616" t="s">
        <v>683</v>
      </c>
      <c r="O616" t="s">
        <v>684</v>
      </c>
      <c r="P616" t="s">
        <v>685</v>
      </c>
    </row>
    <row r="617" spans="2:16" ht="15">
      <c r="B617" s="7"/>
      <c r="C617" t="s">
        <v>686</v>
      </c>
      <c r="D617" t="s">
        <v>1760</v>
      </c>
      <c r="E617" t="s">
        <v>688</v>
      </c>
      <c r="F617" t="s">
        <v>688</v>
      </c>
      <c r="G617" t="s">
        <v>1761</v>
      </c>
      <c r="H617" t="s">
        <v>688</v>
      </c>
      <c r="I617" t="s">
        <v>688</v>
      </c>
      <c r="J617" t="s">
        <v>688</v>
      </c>
      <c r="K617" t="s">
        <v>688</v>
      </c>
      <c r="L617" t="s">
        <v>688</v>
      </c>
      <c r="M617" t="s">
        <v>1762</v>
      </c>
      <c r="N617" t="s">
        <v>688</v>
      </c>
      <c r="P617" t="s">
        <v>1763</v>
      </c>
    </row>
    <row r="618" spans="2:16" ht="15">
      <c r="B618" s="1">
        <v>308</v>
      </c>
      <c r="C618" t="str">
        <f ca="1">IFERROR(__xludf.DUMMYFUNCTION(TRANSPOSE(ImportHTML("http://spending.data.al/sq/moneypower/view/id/308", "table", 0))),"*Kategoria*")</f>
        <v>*Kategoria*</v>
      </c>
      <c r="D618" t="s">
        <v>673</v>
      </c>
      <c r="E618" t="s">
        <v>674</v>
      </c>
      <c r="F618" t="s">
        <v>675</v>
      </c>
      <c r="G618" t="s">
        <v>676</v>
      </c>
      <c r="H618" t="s">
        <v>677</v>
      </c>
      <c r="I618" t="s">
        <v>678</v>
      </c>
      <c r="J618" t="s">
        <v>679</v>
      </c>
      <c r="K618" t="s">
        <v>680</v>
      </c>
      <c r="L618" t="s">
        <v>681</v>
      </c>
      <c r="M618" t="s">
        <v>682</v>
      </c>
      <c r="N618" t="s">
        <v>683</v>
      </c>
      <c r="O618" t="s">
        <v>684</v>
      </c>
      <c r="P618" t="s">
        <v>685</v>
      </c>
    </row>
    <row r="619" spans="2:16" ht="15">
      <c r="B619" s="7"/>
      <c r="C619" t="s">
        <v>686</v>
      </c>
      <c r="D619" t="s">
        <v>1764</v>
      </c>
      <c r="E619" t="s">
        <v>688</v>
      </c>
      <c r="F619" t="s">
        <v>688</v>
      </c>
      <c r="G619" t="s">
        <v>688</v>
      </c>
      <c r="H619" t="s">
        <v>688</v>
      </c>
      <c r="I619" t="s">
        <v>688</v>
      </c>
      <c r="J619" t="s">
        <v>688</v>
      </c>
      <c r="K619" t="s">
        <v>688</v>
      </c>
      <c r="L619" t="s">
        <v>688</v>
      </c>
      <c r="M619" t="s">
        <v>688</v>
      </c>
      <c r="N619" t="s">
        <v>688</v>
      </c>
      <c r="P619" t="s">
        <v>1765</v>
      </c>
    </row>
    <row r="620" spans="2:16" ht="15">
      <c r="B620" s="1">
        <v>309</v>
      </c>
      <c r="C620" t="str">
        <f ca="1">IFERROR(__xludf.DUMMYFUNCTION(TRANSPOSE(ImportHTML("http://spending.data.al/sq/moneypower/view/id/309", "table", 0))),"*Kategoria*")</f>
        <v>*Kategoria*</v>
      </c>
      <c r="D620" t="s">
        <v>673</v>
      </c>
      <c r="E620" t="s">
        <v>674</v>
      </c>
      <c r="F620" t="s">
        <v>675</v>
      </c>
      <c r="G620" t="s">
        <v>676</v>
      </c>
      <c r="H620" t="s">
        <v>677</v>
      </c>
      <c r="I620" t="s">
        <v>678</v>
      </c>
      <c r="J620" t="s">
        <v>679</v>
      </c>
      <c r="K620" t="s">
        <v>680</v>
      </c>
      <c r="L620" t="s">
        <v>681</v>
      </c>
      <c r="M620" t="s">
        <v>682</v>
      </c>
      <c r="N620" t="s">
        <v>683</v>
      </c>
      <c r="O620" t="s">
        <v>684</v>
      </c>
      <c r="P620" t="s">
        <v>685</v>
      </c>
    </row>
    <row r="621" spans="2:16" ht="15">
      <c r="B621" s="7"/>
      <c r="C621" t="s">
        <v>686</v>
      </c>
      <c r="D621" t="s">
        <v>1766</v>
      </c>
      <c r="E621" t="s">
        <v>688</v>
      </c>
      <c r="F621" t="s">
        <v>688</v>
      </c>
      <c r="G621" t="s">
        <v>688</v>
      </c>
      <c r="H621" t="s">
        <v>1767</v>
      </c>
      <c r="I621" t="s">
        <v>688</v>
      </c>
      <c r="J621" t="s">
        <v>688</v>
      </c>
      <c r="K621" t="s">
        <v>688</v>
      </c>
      <c r="L621" t="s">
        <v>688</v>
      </c>
      <c r="M621" t="s">
        <v>1768</v>
      </c>
      <c r="N621" t="s">
        <v>688</v>
      </c>
      <c r="P621" t="s">
        <v>1769</v>
      </c>
    </row>
    <row r="622" spans="2:16" ht="15">
      <c r="B622" s="1">
        <v>310</v>
      </c>
      <c r="C622" t="str">
        <f ca="1">IFERROR(__xludf.DUMMYFUNCTION(TRANSPOSE(ImportHTML("http://spending.data.al/sq/moneypower/view/id/310", "table", 0))),"*Kategoria*")</f>
        <v>*Kategoria*</v>
      </c>
      <c r="D622" t="s">
        <v>673</v>
      </c>
      <c r="E622" t="s">
        <v>674</v>
      </c>
      <c r="F622" t="s">
        <v>675</v>
      </c>
      <c r="G622" t="s">
        <v>676</v>
      </c>
      <c r="H622" t="s">
        <v>677</v>
      </c>
      <c r="I622" t="s">
        <v>678</v>
      </c>
      <c r="J622" t="s">
        <v>679</v>
      </c>
      <c r="K622" t="s">
        <v>680</v>
      </c>
      <c r="L622" t="s">
        <v>681</v>
      </c>
      <c r="M622" t="s">
        <v>682</v>
      </c>
      <c r="N622" t="s">
        <v>683</v>
      </c>
      <c r="O622" t="s">
        <v>684</v>
      </c>
      <c r="P622" t="s">
        <v>685</v>
      </c>
    </row>
    <row r="623" spans="2:16" ht="15">
      <c r="B623" s="7"/>
      <c r="C623" t="s">
        <v>686</v>
      </c>
      <c r="D623" t="s">
        <v>1770</v>
      </c>
      <c r="E623" t="s">
        <v>688</v>
      </c>
      <c r="F623" t="s">
        <v>688</v>
      </c>
      <c r="G623" t="s">
        <v>688</v>
      </c>
      <c r="H623" t="s">
        <v>688</v>
      </c>
      <c r="I623" t="s">
        <v>688</v>
      </c>
      <c r="J623" t="s">
        <v>688</v>
      </c>
      <c r="K623" t="s">
        <v>688</v>
      </c>
      <c r="L623" t="s">
        <v>688</v>
      </c>
      <c r="M623" t="s">
        <v>1771</v>
      </c>
      <c r="N623" t="s">
        <v>688</v>
      </c>
      <c r="P623" t="s">
        <v>1772</v>
      </c>
    </row>
    <row r="624" spans="2:16" ht="15">
      <c r="B624" s="1">
        <v>311</v>
      </c>
      <c r="C624" t="str">
        <f ca="1">IFERROR(__xludf.DUMMYFUNCTION(TRANSPOSE(ImportHTML("http://spending.data.al/sq/moneypower/view/id/311", "table", 0))),"*Kategoria*")</f>
        <v>*Kategoria*</v>
      </c>
      <c r="D624" t="s">
        <v>673</v>
      </c>
      <c r="E624" t="s">
        <v>674</v>
      </c>
      <c r="F624" t="s">
        <v>675</v>
      </c>
      <c r="G624" t="s">
        <v>676</v>
      </c>
      <c r="H624" t="s">
        <v>677</v>
      </c>
      <c r="I624" t="s">
        <v>678</v>
      </c>
      <c r="J624" t="s">
        <v>679</v>
      </c>
      <c r="K624" t="s">
        <v>680</v>
      </c>
      <c r="L624" t="s">
        <v>681</v>
      </c>
      <c r="M624" t="s">
        <v>682</v>
      </c>
      <c r="N624" t="s">
        <v>683</v>
      </c>
      <c r="O624" t="s">
        <v>684</v>
      </c>
      <c r="P624" t="s">
        <v>685</v>
      </c>
    </row>
    <row r="625" spans="2:16" ht="15">
      <c r="B625" s="7"/>
      <c r="C625" t="s">
        <v>686</v>
      </c>
      <c r="D625" t="s">
        <v>1773</v>
      </c>
      <c r="E625" t="s">
        <v>688</v>
      </c>
      <c r="F625" t="s">
        <v>688</v>
      </c>
      <c r="G625" t="s">
        <v>688</v>
      </c>
      <c r="H625" t="s">
        <v>688</v>
      </c>
      <c r="I625" t="s">
        <v>688</v>
      </c>
      <c r="J625" t="s">
        <v>688</v>
      </c>
      <c r="K625" t="s">
        <v>688</v>
      </c>
      <c r="L625" t="s">
        <v>688</v>
      </c>
      <c r="M625" t="s">
        <v>1774</v>
      </c>
      <c r="N625" t="s">
        <v>688</v>
      </c>
      <c r="P625" t="s">
        <v>1775</v>
      </c>
    </row>
    <row r="626" spans="2:16" ht="15">
      <c r="B626" s="1">
        <v>312</v>
      </c>
      <c r="C626" t="str">
        <f ca="1">IFERROR(__xludf.DUMMYFUNCTION(TRANSPOSE(ImportHTML("http://spending.data.al/sq/moneypower/view/id/312", "table", 0))),"*Kategoria*")</f>
        <v>*Kategoria*</v>
      </c>
      <c r="D626" t="s">
        <v>673</v>
      </c>
      <c r="E626" t="s">
        <v>674</v>
      </c>
      <c r="F626" t="s">
        <v>675</v>
      </c>
      <c r="G626" t="s">
        <v>676</v>
      </c>
      <c r="H626" t="s">
        <v>677</v>
      </c>
      <c r="I626" t="s">
        <v>678</v>
      </c>
      <c r="J626" t="s">
        <v>679</v>
      </c>
      <c r="K626" t="s">
        <v>680</v>
      </c>
      <c r="L626" t="s">
        <v>681</v>
      </c>
      <c r="M626" t="s">
        <v>682</v>
      </c>
      <c r="N626" t="s">
        <v>683</v>
      </c>
      <c r="O626" t="s">
        <v>684</v>
      </c>
      <c r="P626" t="s">
        <v>685</v>
      </c>
    </row>
    <row r="627" spans="2:16" ht="15">
      <c r="B627" s="7"/>
      <c r="C627" t="s">
        <v>686</v>
      </c>
      <c r="D627" t="s">
        <v>1776</v>
      </c>
      <c r="E627" t="s">
        <v>688</v>
      </c>
      <c r="F627" t="s">
        <v>688</v>
      </c>
      <c r="G627" t="s">
        <v>688</v>
      </c>
      <c r="H627" t="s">
        <v>688</v>
      </c>
      <c r="I627" t="s">
        <v>688</v>
      </c>
      <c r="J627" t="s">
        <v>688</v>
      </c>
      <c r="K627" t="s">
        <v>688</v>
      </c>
      <c r="L627" t="s">
        <v>688</v>
      </c>
      <c r="M627" t="s">
        <v>1777</v>
      </c>
      <c r="N627" t="s">
        <v>688</v>
      </c>
      <c r="P627" t="s">
        <v>1778</v>
      </c>
    </row>
    <row r="628" spans="2:16" ht="15">
      <c r="B628" s="1">
        <v>313</v>
      </c>
      <c r="C628" t="str">
        <f ca="1">IFERROR(__xludf.DUMMYFUNCTION(TRANSPOSE(ImportHTML("http://spending.data.al/sq/moneypower/view/id/313", "table", 0))),"*Kategoria*")</f>
        <v>*Kategoria*</v>
      </c>
      <c r="D628" t="s">
        <v>673</v>
      </c>
      <c r="E628" t="s">
        <v>674</v>
      </c>
      <c r="F628" t="s">
        <v>675</v>
      </c>
      <c r="G628" t="s">
        <v>676</v>
      </c>
      <c r="H628" t="s">
        <v>677</v>
      </c>
      <c r="I628" t="s">
        <v>678</v>
      </c>
      <c r="J628" t="s">
        <v>679</v>
      </c>
      <c r="K628" t="s">
        <v>680</v>
      </c>
      <c r="L628" t="s">
        <v>681</v>
      </c>
      <c r="M628" t="s">
        <v>682</v>
      </c>
      <c r="N628" t="s">
        <v>683</v>
      </c>
      <c r="O628" t="s">
        <v>684</v>
      </c>
      <c r="P628" t="s">
        <v>685</v>
      </c>
    </row>
    <row r="629" spans="2:16" ht="15">
      <c r="B629" s="7"/>
      <c r="C629" t="s">
        <v>686</v>
      </c>
      <c r="D629" t="s">
        <v>1779</v>
      </c>
      <c r="E629" t="s">
        <v>688</v>
      </c>
      <c r="F629" t="s">
        <v>688</v>
      </c>
      <c r="G629" t="s">
        <v>688</v>
      </c>
      <c r="H629" t="s">
        <v>688</v>
      </c>
      <c r="I629" t="s">
        <v>688</v>
      </c>
      <c r="J629" t="s">
        <v>688</v>
      </c>
      <c r="K629" t="s">
        <v>688</v>
      </c>
      <c r="L629" t="s">
        <v>688</v>
      </c>
      <c r="M629" t="s">
        <v>1780</v>
      </c>
      <c r="N629" t="s">
        <v>688</v>
      </c>
      <c r="P629" t="s">
        <v>1781</v>
      </c>
    </row>
    <row r="630" spans="2:16" ht="15">
      <c r="B630" s="1">
        <v>314</v>
      </c>
      <c r="C630" t="str">
        <f ca="1">IFERROR(__xludf.DUMMYFUNCTION(TRANSPOSE(ImportHTML("http://spending.data.al/sq/moneypower/view/id/314", "table", 0))),"*Kategoria*")</f>
        <v>*Kategoria*</v>
      </c>
      <c r="D630" t="s">
        <v>673</v>
      </c>
      <c r="E630" t="s">
        <v>674</v>
      </c>
      <c r="F630" t="s">
        <v>675</v>
      </c>
      <c r="G630" t="s">
        <v>676</v>
      </c>
      <c r="H630" t="s">
        <v>677</v>
      </c>
      <c r="I630" t="s">
        <v>678</v>
      </c>
      <c r="J630" t="s">
        <v>679</v>
      </c>
      <c r="K630" t="s">
        <v>680</v>
      </c>
      <c r="L630" t="s">
        <v>681</v>
      </c>
      <c r="M630" t="s">
        <v>682</v>
      </c>
      <c r="N630" t="s">
        <v>683</v>
      </c>
      <c r="O630" t="s">
        <v>684</v>
      </c>
      <c r="P630" t="s">
        <v>685</v>
      </c>
    </row>
    <row r="631" spans="2:16" ht="15">
      <c r="B631" s="7"/>
      <c r="C631" t="s">
        <v>686</v>
      </c>
      <c r="D631" t="s">
        <v>1782</v>
      </c>
      <c r="E631" t="s">
        <v>688</v>
      </c>
      <c r="F631" t="s">
        <v>688</v>
      </c>
      <c r="G631" t="s">
        <v>688</v>
      </c>
      <c r="H631" t="s">
        <v>688</v>
      </c>
      <c r="I631" t="s">
        <v>688</v>
      </c>
      <c r="J631" t="s">
        <v>688</v>
      </c>
      <c r="K631" t="s">
        <v>688</v>
      </c>
      <c r="L631" t="s">
        <v>688</v>
      </c>
      <c r="M631" t="s">
        <v>1783</v>
      </c>
      <c r="N631" t="s">
        <v>688</v>
      </c>
      <c r="P631" t="s">
        <v>1784</v>
      </c>
    </row>
    <row r="632" spans="2:16" ht="15">
      <c r="B632" s="1">
        <v>315</v>
      </c>
      <c r="C632" t="str">
        <f ca="1">IFERROR(__xludf.DUMMYFUNCTION(TRANSPOSE(ImportHTML("http://spending.data.al/sq/moneypower/view/id/315", "table", 0))),"*Kategoria*")</f>
        <v>*Kategoria*</v>
      </c>
      <c r="D632" t="s">
        <v>673</v>
      </c>
      <c r="E632" t="s">
        <v>674</v>
      </c>
      <c r="F632" t="s">
        <v>675</v>
      </c>
      <c r="G632" t="s">
        <v>676</v>
      </c>
      <c r="H632" t="s">
        <v>677</v>
      </c>
      <c r="I632" t="s">
        <v>678</v>
      </c>
      <c r="J632" t="s">
        <v>679</v>
      </c>
      <c r="K632" t="s">
        <v>680</v>
      </c>
      <c r="L632" t="s">
        <v>681</v>
      </c>
      <c r="M632" t="s">
        <v>682</v>
      </c>
      <c r="N632" t="s">
        <v>683</v>
      </c>
      <c r="O632" t="s">
        <v>684</v>
      </c>
      <c r="P632" t="s">
        <v>685</v>
      </c>
    </row>
    <row r="633" spans="2:16" ht="15">
      <c r="B633" s="7"/>
      <c r="C633" t="s">
        <v>686</v>
      </c>
      <c r="D633" t="s">
        <v>1785</v>
      </c>
      <c r="E633" t="s">
        <v>688</v>
      </c>
      <c r="F633" t="s">
        <v>688</v>
      </c>
      <c r="G633" t="s">
        <v>1786</v>
      </c>
      <c r="H633" t="s">
        <v>1423</v>
      </c>
      <c r="I633" t="s">
        <v>688</v>
      </c>
      <c r="J633" t="s">
        <v>688</v>
      </c>
      <c r="K633" t="s">
        <v>688</v>
      </c>
      <c r="L633" t="s">
        <v>688</v>
      </c>
      <c r="M633" t="s">
        <v>1787</v>
      </c>
      <c r="N633" t="s">
        <v>688</v>
      </c>
      <c r="P633" t="s">
        <v>1788</v>
      </c>
    </row>
    <row r="634" spans="2:16" ht="15">
      <c r="B634" s="1">
        <v>316</v>
      </c>
      <c r="C634" t="str">
        <f ca="1">IFERROR(__xludf.DUMMYFUNCTION(TRANSPOSE(ImportHTML("http://spending.data.al/sq/moneypower/view/id/316", "table", 0))),"*Kategoria*")</f>
        <v>*Kategoria*</v>
      </c>
      <c r="D634" t="s">
        <v>673</v>
      </c>
      <c r="E634" t="s">
        <v>674</v>
      </c>
      <c r="F634" t="s">
        <v>675</v>
      </c>
      <c r="G634" t="s">
        <v>676</v>
      </c>
      <c r="H634" t="s">
        <v>677</v>
      </c>
      <c r="I634" t="s">
        <v>678</v>
      </c>
      <c r="J634" t="s">
        <v>679</v>
      </c>
      <c r="K634" t="s">
        <v>680</v>
      </c>
      <c r="L634" t="s">
        <v>681</v>
      </c>
      <c r="M634" t="s">
        <v>682</v>
      </c>
      <c r="N634" t="s">
        <v>683</v>
      </c>
      <c r="O634" t="s">
        <v>684</v>
      </c>
      <c r="P634" t="s">
        <v>685</v>
      </c>
    </row>
    <row r="635" spans="2:16" ht="15">
      <c r="B635" s="7"/>
      <c r="C635" t="s">
        <v>686</v>
      </c>
      <c r="D635" t="s">
        <v>1789</v>
      </c>
      <c r="E635" t="s">
        <v>688</v>
      </c>
      <c r="F635" t="s">
        <v>688</v>
      </c>
      <c r="G635" t="s">
        <v>1790</v>
      </c>
      <c r="H635" t="s">
        <v>688</v>
      </c>
      <c r="I635" t="s">
        <v>688</v>
      </c>
      <c r="J635" t="s">
        <v>688</v>
      </c>
      <c r="K635" t="s">
        <v>688</v>
      </c>
      <c r="L635" t="s">
        <v>688</v>
      </c>
      <c r="M635" t="s">
        <v>1791</v>
      </c>
      <c r="N635" t="s">
        <v>688</v>
      </c>
      <c r="P635" t="s">
        <v>1792</v>
      </c>
    </row>
    <row r="636" spans="2:16" ht="15">
      <c r="B636" s="1">
        <v>317</v>
      </c>
      <c r="C636" t="str">
        <f ca="1">IFERROR(__xludf.DUMMYFUNCTION(TRANSPOSE(ImportHTML("http://spending.data.al/sq/moneypower/view/id/317", "table", 0))),"*Kategoria*")</f>
        <v>*Kategoria*</v>
      </c>
      <c r="D636" t="s">
        <v>673</v>
      </c>
      <c r="E636" t="s">
        <v>674</v>
      </c>
      <c r="F636" t="s">
        <v>675</v>
      </c>
      <c r="G636" t="s">
        <v>676</v>
      </c>
      <c r="H636" t="s">
        <v>677</v>
      </c>
      <c r="I636" t="s">
        <v>678</v>
      </c>
      <c r="J636" t="s">
        <v>678</v>
      </c>
      <c r="K636" t="s">
        <v>679</v>
      </c>
      <c r="L636" t="s">
        <v>681</v>
      </c>
      <c r="M636" t="s">
        <v>682</v>
      </c>
      <c r="N636" t="s">
        <v>683</v>
      </c>
      <c r="O636" t="s">
        <v>684</v>
      </c>
      <c r="P636" t="s">
        <v>685</v>
      </c>
    </row>
    <row r="637" spans="2:16" ht="15">
      <c r="B637" s="7"/>
      <c r="C637" t="s">
        <v>686</v>
      </c>
      <c r="D637" t="s">
        <v>1793</v>
      </c>
      <c r="E637" t="s">
        <v>1794</v>
      </c>
      <c r="F637" t="s">
        <v>688</v>
      </c>
      <c r="G637" t="s">
        <v>688</v>
      </c>
      <c r="H637" t="s">
        <v>688</v>
      </c>
      <c r="I637" t="s">
        <v>688</v>
      </c>
      <c r="J637" t="s">
        <v>688</v>
      </c>
      <c r="K637" t="s">
        <v>688</v>
      </c>
      <c r="L637" t="s">
        <v>688</v>
      </c>
      <c r="M637" t="s">
        <v>1795</v>
      </c>
      <c r="N637" t="s">
        <v>688</v>
      </c>
      <c r="P637" t="s">
        <v>1796</v>
      </c>
    </row>
    <row r="638" spans="2:16" ht="15">
      <c r="B638" s="1">
        <v>318</v>
      </c>
      <c r="C638" t="str">
        <f ca="1">IFERROR(__xludf.DUMMYFUNCTION(TRANSPOSE(ImportHTML("http://spending.data.al/sq/moneypower/view/id/318", "table", 0))),"*Kategoria*")</f>
        <v>*Kategoria*</v>
      </c>
      <c r="D638" t="s">
        <v>673</v>
      </c>
      <c r="E638" t="s">
        <v>674</v>
      </c>
      <c r="F638" t="s">
        <v>675</v>
      </c>
      <c r="G638" t="s">
        <v>676</v>
      </c>
      <c r="H638" t="s">
        <v>677</v>
      </c>
      <c r="I638" t="s">
        <v>678</v>
      </c>
      <c r="J638" t="s">
        <v>679</v>
      </c>
      <c r="K638" t="s">
        <v>680</v>
      </c>
      <c r="L638" t="s">
        <v>681</v>
      </c>
      <c r="M638" t="s">
        <v>682</v>
      </c>
      <c r="N638" t="s">
        <v>683</v>
      </c>
      <c r="O638" t="s">
        <v>684</v>
      </c>
      <c r="P638" t="s">
        <v>685</v>
      </c>
    </row>
    <row r="639" spans="2:16" ht="15">
      <c r="B639" s="7"/>
      <c r="C639" t="s">
        <v>686</v>
      </c>
      <c r="D639" t="s">
        <v>1797</v>
      </c>
      <c r="E639" t="s">
        <v>688</v>
      </c>
      <c r="F639" t="s">
        <v>688</v>
      </c>
      <c r="G639" t="s">
        <v>688</v>
      </c>
      <c r="H639" t="s">
        <v>1798</v>
      </c>
      <c r="I639" t="s">
        <v>688</v>
      </c>
      <c r="J639" t="s">
        <v>688</v>
      </c>
      <c r="K639" t="s">
        <v>688</v>
      </c>
      <c r="L639" t="s">
        <v>688</v>
      </c>
      <c r="N639" t="s">
        <v>688</v>
      </c>
      <c r="P639" t="s">
        <v>1799</v>
      </c>
    </row>
    <row r="640" spans="2:16" ht="15">
      <c r="B640" s="1">
        <v>319</v>
      </c>
      <c r="C640" t="str">
        <f ca="1">IFERROR(__xludf.DUMMYFUNCTION(TRANSPOSE(ImportHTML("http://spending.data.al/sq/moneypower/view/id/319", "table", 0))),"*Kategoria*")</f>
        <v>*Kategoria*</v>
      </c>
      <c r="D640" t="s">
        <v>673</v>
      </c>
      <c r="E640" t="s">
        <v>674</v>
      </c>
      <c r="F640" t="s">
        <v>675</v>
      </c>
      <c r="G640" t="s">
        <v>676</v>
      </c>
      <c r="H640" t="s">
        <v>677</v>
      </c>
      <c r="I640" t="s">
        <v>678</v>
      </c>
      <c r="J640" t="s">
        <v>679</v>
      </c>
      <c r="K640" t="s">
        <v>680</v>
      </c>
      <c r="L640" t="s">
        <v>681</v>
      </c>
      <c r="M640" t="s">
        <v>682</v>
      </c>
      <c r="N640" t="s">
        <v>683</v>
      </c>
      <c r="O640" t="s">
        <v>684</v>
      </c>
      <c r="P640" t="s">
        <v>685</v>
      </c>
    </row>
    <row r="641" spans="2:16" ht="15">
      <c r="B641" s="7"/>
      <c r="C641" t="s">
        <v>686</v>
      </c>
      <c r="D641" t="s">
        <v>1800</v>
      </c>
      <c r="E641" t="s">
        <v>688</v>
      </c>
      <c r="F641" t="s">
        <v>688</v>
      </c>
      <c r="G641" t="s">
        <v>688</v>
      </c>
      <c r="H641" t="s">
        <v>688</v>
      </c>
      <c r="I641" t="s">
        <v>688</v>
      </c>
      <c r="J641" t="s">
        <v>688</v>
      </c>
      <c r="K641" t="s">
        <v>688</v>
      </c>
      <c r="L641" t="s">
        <v>688</v>
      </c>
      <c r="M641" t="s">
        <v>1801</v>
      </c>
      <c r="N641" t="s">
        <v>688</v>
      </c>
      <c r="P641" t="s">
        <v>1802</v>
      </c>
    </row>
    <row r="642" spans="2:16" ht="15">
      <c r="B642" s="1">
        <v>320</v>
      </c>
      <c r="C642" t="str">
        <f ca="1">IFERROR(__xludf.DUMMYFUNCTION(TRANSPOSE(ImportHTML("http://spending.data.al/sq/moneypower/view/id/320", "table", 0))),"*Kategoria*")</f>
        <v>*Kategoria*</v>
      </c>
      <c r="D642" t="s">
        <v>673</v>
      </c>
      <c r="E642" t="s">
        <v>674</v>
      </c>
      <c r="F642" t="s">
        <v>675</v>
      </c>
      <c r="G642" t="s">
        <v>676</v>
      </c>
      <c r="H642" t="s">
        <v>677</v>
      </c>
      <c r="I642" t="s">
        <v>678</v>
      </c>
      <c r="J642" t="s">
        <v>679</v>
      </c>
      <c r="K642" t="s">
        <v>680</v>
      </c>
      <c r="L642" t="s">
        <v>681</v>
      </c>
      <c r="M642" t="s">
        <v>682</v>
      </c>
      <c r="N642" t="s">
        <v>683</v>
      </c>
      <c r="O642" t="s">
        <v>684</v>
      </c>
      <c r="P642" t="s">
        <v>685</v>
      </c>
    </row>
    <row r="643" spans="2:16" ht="15">
      <c r="B643" s="7"/>
      <c r="C643" t="s">
        <v>686</v>
      </c>
      <c r="D643" t="s">
        <v>1803</v>
      </c>
      <c r="E643" t="s">
        <v>688</v>
      </c>
      <c r="F643" t="s">
        <v>688</v>
      </c>
      <c r="G643" t="s">
        <v>688</v>
      </c>
      <c r="H643" t="s">
        <v>688</v>
      </c>
      <c r="I643" t="s">
        <v>688</v>
      </c>
      <c r="J643" t="s">
        <v>688</v>
      </c>
      <c r="K643" t="s">
        <v>688</v>
      </c>
      <c r="L643" t="s">
        <v>688</v>
      </c>
      <c r="M643" t="s">
        <v>1804</v>
      </c>
      <c r="N643" t="s">
        <v>688</v>
      </c>
      <c r="P643" t="s">
        <v>1805</v>
      </c>
    </row>
    <row r="644" spans="2:16" ht="15">
      <c r="B644" s="1">
        <v>321</v>
      </c>
      <c r="C644" t="str">
        <f ca="1">IFERROR(__xludf.DUMMYFUNCTION(TRANSPOSE(ImportHTML("http://spending.data.al/sq/moneypower/view/id/321", "table", 0))),"*Kategoria*")</f>
        <v>*Kategoria*</v>
      </c>
      <c r="D644" t="s">
        <v>673</v>
      </c>
      <c r="E644" t="s">
        <v>674</v>
      </c>
      <c r="F644" t="s">
        <v>675</v>
      </c>
      <c r="G644" t="s">
        <v>676</v>
      </c>
      <c r="H644" t="s">
        <v>677</v>
      </c>
      <c r="I644" t="s">
        <v>678</v>
      </c>
      <c r="J644" t="s">
        <v>679</v>
      </c>
      <c r="K644" t="s">
        <v>680</v>
      </c>
      <c r="L644" t="s">
        <v>681</v>
      </c>
      <c r="M644" t="s">
        <v>682</v>
      </c>
      <c r="N644" t="s">
        <v>683</v>
      </c>
      <c r="O644" t="s">
        <v>684</v>
      </c>
      <c r="P644" t="s">
        <v>685</v>
      </c>
    </row>
    <row r="645" spans="2:16" ht="15">
      <c r="B645" s="7"/>
      <c r="C645" t="s">
        <v>686</v>
      </c>
      <c r="D645" t="s">
        <v>1806</v>
      </c>
      <c r="E645" t="s">
        <v>688</v>
      </c>
      <c r="F645" t="s">
        <v>688</v>
      </c>
      <c r="G645" t="s">
        <v>688</v>
      </c>
      <c r="H645" t="s">
        <v>688</v>
      </c>
      <c r="I645" t="s">
        <v>688</v>
      </c>
      <c r="J645" t="s">
        <v>688</v>
      </c>
      <c r="K645" t="s">
        <v>688</v>
      </c>
      <c r="L645" t="s">
        <v>688</v>
      </c>
      <c r="M645" t="s">
        <v>688</v>
      </c>
      <c r="N645" t="s">
        <v>688</v>
      </c>
      <c r="P645" t="s">
        <v>1807</v>
      </c>
    </row>
    <row r="646" spans="2:16" ht="15">
      <c r="B646" s="1">
        <v>322</v>
      </c>
      <c r="C646" t="str">
        <f ca="1">IFERROR(__xludf.DUMMYFUNCTION(TRANSPOSE(ImportHTML("http://spending.data.al/sq/moneypower/view/id/322", "table", 0))),"*Kategoria*")</f>
        <v>*Kategoria*</v>
      </c>
      <c r="D646" t="s">
        <v>673</v>
      </c>
      <c r="E646" t="s">
        <v>674</v>
      </c>
      <c r="F646" t="s">
        <v>675</v>
      </c>
      <c r="G646" t="s">
        <v>676</v>
      </c>
      <c r="H646" t="s">
        <v>677</v>
      </c>
      <c r="I646" t="s">
        <v>678</v>
      </c>
      <c r="J646" t="s">
        <v>679</v>
      </c>
      <c r="K646" t="s">
        <v>680</v>
      </c>
      <c r="L646" t="s">
        <v>681</v>
      </c>
      <c r="M646" t="s">
        <v>682</v>
      </c>
      <c r="N646" t="s">
        <v>683</v>
      </c>
      <c r="O646" t="s">
        <v>684</v>
      </c>
      <c r="P646" t="s">
        <v>685</v>
      </c>
    </row>
    <row r="647" spans="2:16" ht="15">
      <c r="B647" s="7"/>
      <c r="C647" t="s">
        <v>686</v>
      </c>
      <c r="D647" t="s">
        <v>1808</v>
      </c>
      <c r="E647" t="s">
        <v>688</v>
      </c>
      <c r="F647" t="s">
        <v>688</v>
      </c>
      <c r="G647" t="s">
        <v>1809</v>
      </c>
      <c r="H647" t="s">
        <v>688</v>
      </c>
      <c r="I647" t="s">
        <v>688</v>
      </c>
      <c r="J647" t="s">
        <v>688</v>
      </c>
      <c r="K647" t="s">
        <v>1810</v>
      </c>
      <c r="L647" t="s">
        <v>688</v>
      </c>
      <c r="M647" t="s">
        <v>1811</v>
      </c>
      <c r="N647" t="s">
        <v>688</v>
      </c>
      <c r="P647" t="s">
        <v>1812</v>
      </c>
    </row>
    <row r="648" spans="2:16" ht="15">
      <c r="B648" s="1">
        <v>323</v>
      </c>
      <c r="C648" t="str">
        <f ca="1">IFERROR(__xludf.DUMMYFUNCTION(TRANSPOSE(ImportHTML("http://spending.data.al/sq/moneypower/view/id/323", "table", 0))),"*Kategoria*")</f>
        <v>*Kategoria*</v>
      </c>
      <c r="D648" t="s">
        <v>673</v>
      </c>
      <c r="E648" t="s">
        <v>674</v>
      </c>
      <c r="F648" t="s">
        <v>675</v>
      </c>
      <c r="G648" t="s">
        <v>676</v>
      </c>
      <c r="H648" t="s">
        <v>677</v>
      </c>
      <c r="I648" t="s">
        <v>678</v>
      </c>
      <c r="J648" t="s">
        <v>679</v>
      </c>
      <c r="K648" t="s">
        <v>680</v>
      </c>
      <c r="L648" t="s">
        <v>681</v>
      </c>
      <c r="M648" t="s">
        <v>682</v>
      </c>
      <c r="N648" t="s">
        <v>683</v>
      </c>
      <c r="O648" t="s">
        <v>684</v>
      </c>
      <c r="P648" t="s">
        <v>685</v>
      </c>
    </row>
    <row r="649" spans="2:16" ht="15">
      <c r="B649" s="7"/>
      <c r="C649" t="s">
        <v>686</v>
      </c>
      <c r="D649" t="s">
        <v>1813</v>
      </c>
      <c r="E649" t="s">
        <v>688</v>
      </c>
      <c r="F649" t="s">
        <v>688</v>
      </c>
      <c r="G649" t="s">
        <v>688</v>
      </c>
      <c r="H649" t="s">
        <v>688</v>
      </c>
      <c r="I649" t="s">
        <v>688</v>
      </c>
      <c r="J649" t="s">
        <v>688</v>
      </c>
      <c r="K649" t="s">
        <v>688</v>
      </c>
      <c r="L649" t="s">
        <v>688</v>
      </c>
      <c r="M649" t="s">
        <v>1814</v>
      </c>
      <c r="N649" t="s">
        <v>688</v>
      </c>
      <c r="P649" t="s">
        <v>1815</v>
      </c>
    </row>
    <row r="650" spans="2:16" ht="15">
      <c r="B650" s="1">
        <v>324</v>
      </c>
      <c r="C650" t="str">
        <f ca="1">IFERROR(__xludf.DUMMYFUNCTION(TRANSPOSE(ImportHTML("http://spending.data.al/sq/moneypower/view/id/324", "table", 0))),"*Kategoria*")</f>
        <v>*Kategoria*</v>
      </c>
      <c r="D650" t="s">
        <v>673</v>
      </c>
      <c r="E650" t="s">
        <v>674</v>
      </c>
      <c r="F650" t="s">
        <v>675</v>
      </c>
      <c r="G650" t="s">
        <v>676</v>
      </c>
      <c r="H650" t="s">
        <v>677</v>
      </c>
      <c r="I650" t="s">
        <v>678</v>
      </c>
      <c r="J650" t="s">
        <v>679</v>
      </c>
      <c r="K650" t="s">
        <v>680</v>
      </c>
      <c r="L650" t="s">
        <v>681</v>
      </c>
      <c r="M650" t="s">
        <v>682</v>
      </c>
      <c r="N650" t="s">
        <v>683</v>
      </c>
      <c r="O650" t="s">
        <v>684</v>
      </c>
      <c r="P650" t="s">
        <v>685</v>
      </c>
    </row>
    <row r="651" spans="2:16" ht="15">
      <c r="B651" s="7"/>
      <c r="C651" t="s">
        <v>686</v>
      </c>
      <c r="D651" t="s">
        <v>1816</v>
      </c>
      <c r="E651" t="s">
        <v>688</v>
      </c>
      <c r="F651" t="s">
        <v>688</v>
      </c>
      <c r="G651" t="s">
        <v>688</v>
      </c>
      <c r="H651" t="s">
        <v>688</v>
      </c>
      <c r="I651" t="s">
        <v>688</v>
      </c>
      <c r="J651" t="s">
        <v>688</v>
      </c>
      <c r="K651" t="s">
        <v>688</v>
      </c>
      <c r="L651" t="s">
        <v>688</v>
      </c>
      <c r="M651" t="s">
        <v>1817</v>
      </c>
      <c r="N651" t="s">
        <v>688</v>
      </c>
      <c r="P651" t="s">
        <v>1818</v>
      </c>
    </row>
    <row r="652" spans="2:16" ht="15">
      <c r="B652" s="1">
        <v>325</v>
      </c>
      <c r="C652" t="str">
        <f ca="1">IFERROR(__xludf.DUMMYFUNCTION(TRANSPOSE(ImportHTML("http://spending.data.al/sq/moneypower/view/id/325", "table", 0))),"*Kategoria*")</f>
        <v>*Kategoria*</v>
      </c>
      <c r="D652" t="s">
        <v>673</v>
      </c>
      <c r="E652" t="s">
        <v>674</v>
      </c>
      <c r="F652" t="s">
        <v>675</v>
      </c>
      <c r="G652" t="s">
        <v>676</v>
      </c>
      <c r="H652" t="s">
        <v>677</v>
      </c>
      <c r="I652" t="s">
        <v>678</v>
      </c>
      <c r="J652" t="s">
        <v>679</v>
      </c>
      <c r="K652" t="s">
        <v>680</v>
      </c>
      <c r="L652" t="s">
        <v>681</v>
      </c>
      <c r="M652" t="s">
        <v>682</v>
      </c>
      <c r="N652" t="s">
        <v>683</v>
      </c>
      <c r="O652" t="s">
        <v>684</v>
      </c>
      <c r="P652" t="s">
        <v>685</v>
      </c>
    </row>
    <row r="653" spans="2:16" ht="15">
      <c r="B653" s="7"/>
      <c r="C653" t="s">
        <v>686</v>
      </c>
      <c r="D653" t="s">
        <v>1819</v>
      </c>
      <c r="E653" t="s">
        <v>688</v>
      </c>
      <c r="F653" t="s">
        <v>688</v>
      </c>
      <c r="G653" t="s">
        <v>1820</v>
      </c>
      <c r="H653" t="s">
        <v>1821</v>
      </c>
      <c r="I653" t="s">
        <v>688</v>
      </c>
      <c r="J653" t="s">
        <v>688</v>
      </c>
      <c r="K653" t="s">
        <v>688</v>
      </c>
      <c r="L653" t="s">
        <v>688</v>
      </c>
      <c r="M653" t="s">
        <v>1822</v>
      </c>
      <c r="N653" t="s">
        <v>688</v>
      </c>
      <c r="P653" t="s">
        <v>1823</v>
      </c>
    </row>
    <row r="654" spans="2:16" ht="15">
      <c r="B654" s="1">
        <v>326</v>
      </c>
      <c r="C654" t="str">
        <f ca="1">IFERROR(__xludf.DUMMYFUNCTION(TRANSPOSE(ImportHTML("http://spending.data.al/sq/moneypower/view/id/326", "table", 0))),"*Kategoria*")</f>
        <v>*Kategoria*</v>
      </c>
      <c r="D654" t="s">
        <v>673</v>
      </c>
      <c r="E654" t="s">
        <v>674</v>
      </c>
      <c r="F654" t="s">
        <v>675</v>
      </c>
      <c r="G654" t="s">
        <v>676</v>
      </c>
      <c r="H654" t="s">
        <v>677</v>
      </c>
      <c r="I654" t="s">
        <v>678</v>
      </c>
      <c r="J654" t="s">
        <v>679</v>
      </c>
      <c r="K654" t="s">
        <v>680</v>
      </c>
      <c r="L654" t="s">
        <v>681</v>
      </c>
      <c r="M654" t="s">
        <v>682</v>
      </c>
      <c r="N654" t="s">
        <v>683</v>
      </c>
      <c r="O654" t="s">
        <v>684</v>
      </c>
      <c r="P654" t="s">
        <v>685</v>
      </c>
    </row>
    <row r="655" spans="2:16" ht="15">
      <c r="B655" s="7"/>
      <c r="C655" t="s">
        <v>686</v>
      </c>
      <c r="D655" t="s">
        <v>1824</v>
      </c>
      <c r="E655" t="s">
        <v>688</v>
      </c>
      <c r="F655" t="s">
        <v>688</v>
      </c>
      <c r="G655" t="s">
        <v>688</v>
      </c>
      <c r="H655" t="s">
        <v>1825</v>
      </c>
      <c r="I655" t="s">
        <v>1826</v>
      </c>
      <c r="J655" t="s">
        <v>688</v>
      </c>
      <c r="K655" t="s">
        <v>688</v>
      </c>
      <c r="L655" t="s">
        <v>688</v>
      </c>
      <c r="M655" t="s">
        <v>1827</v>
      </c>
      <c r="N655" t="s">
        <v>688</v>
      </c>
      <c r="P655" t="s">
        <v>1828</v>
      </c>
    </row>
    <row r="656" spans="2:16" ht="15">
      <c r="B656" s="1">
        <v>327</v>
      </c>
      <c r="C656" t="str">
        <f ca="1">IFERROR(__xludf.DUMMYFUNCTION(TRANSPOSE(ImportHTML("http://spending.data.al/sq/moneypower/view/id/327", "table", 0))),"*Kategoria*")</f>
        <v>*Kategoria*</v>
      </c>
      <c r="D656" t="s">
        <v>673</v>
      </c>
      <c r="E656" t="s">
        <v>674</v>
      </c>
      <c r="F656" t="s">
        <v>675</v>
      </c>
      <c r="G656" t="s">
        <v>676</v>
      </c>
      <c r="H656" t="s">
        <v>677</v>
      </c>
      <c r="I656" t="s">
        <v>678</v>
      </c>
      <c r="J656" t="s">
        <v>679</v>
      </c>
      <c r="K656" t="s">
        <v>680</v>
      </c>
      <c r="L656" t="s">
        <v>681</v>
      </c>
      <c r="M656" t="s">
        <v>682</v>
      </c>
      <c r="N656" t="s">
        <v>683</v>
      </c>
      <c r="O656" t="s">
        <v>684</v>
      </c>
      <c r="P656" t="s">
        <v>685</v>
      </c>
    </row>
    <row r="657" spans="3:16" ht="15.75" customHeight="1">
      <c r="C657" t="s">
        <v>686</v>
      </c>
      <c r="D657" t="s">
        <v>1829</v>
      </c>
      <c r="E657" t="s">
        <v>1830</v>
      </c>
      <c r="F657" t="s">
        <v>688</v>
      </c>
      <c r="G657" t="s">
        <v>688</v>
      </c>
      <c r="H657" t="s">
        <v>688</v>
      </c>
      <c r="I657" t="s">
        <v>688</v>
      </c>
      <c r="J657" t="s">
        <v>688</v>
      </c>
      <c r="K657" t="s">
        <v>688</v>
      </c>
      <c r="L657" t="s">
        <v>688</v>
      </c>
      <c r="M657" t="s">
        <v>688</v>
      </c>
      <c r="N657" t="s">
        <v>688</v>
      </c>
      <c r="P657" t="s">
        <v>1831</v>
      </c>
    </row>
  </sheetData>
  <autoFilter ref="B1:P55"/>
  <mergeCells count="1">
    <mergeCell ref="E434:H4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5" sqref="B5"/>
    </sheetView>
  </sheetViews>
  <sheetFormatPr defaultRowHeight="12.75"/>
  <sheetData>
    <row r="1" spans="1:2" ht="24.75" thickBot="1">
      <c r="A1" s="26" t="s">
        <v>4436</v>
      </c>
      <c r="B1" s="27" t="s">
        <v>4315</v>
      </c>
    </row>
    <row r="2" spans="1:2" ht="48.75" thickBot="1">
      <c r="A2" s="28" t="s">
        <v>4437</v>
      </c>
      <c r="B2" s="29" t="s">
        <v>4316</v>
      </c>
    </row>
    <row r="3" spans="1:2" ht="60.75" thickBot="1">
      <c r="A3" s="30" t="s">
        <v>4438</v>
      </c>
      <c r="B3" s="31" t="s">
        <v>705</v>
      </c>
    </row>
    <row r="4" spans="1:2" ht="48.75" thickBot="1">
      <c r="A4" s="28" t="s">
        <v>4439</v>
      </c>
      <c r="B4" s="29" t="s">
        <v>706</v>
      </c>
    </row>
    <row r="5" spans="1:2" ht="60.75" thickBot="1">
      <c r="A5" s="30" t="s">
        <v>4440</v>
      </c>
      <c r="B5" s="31" t="s">
        <v>707</v>
      </c>
    </row>
    <row r="6" spans="1:2" ht="96.75" thickBot="1">
      <c r="A6" s="28" t="s">
        <v>4441</v>
      </c>
      <c r="B6" s="29" t="s">
        <v>1918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3"/>
  <sheetViews>
    <sheetView tabSelected="1" topLeftCell="A85" workbookViewId="0">
      <selection activeCell="C91" sqref="C91:H92"/>
    </sheetView>
  </sheetViews>
  <sheetFormatPr defaultColWidth="14.42578125" defaultRowHeight="15.75" customHeight="1"/>
  <cols>
    <col min="3" max="3" width="26.28515625" customWidth="1"/>
  </cols>
  <sheetData>
    <row r="1" spans="2:10" ht="15">
      <c r="B1" s="1">
        <v>1</v>
      </c>
      <c r="C1" t="str">
        <f ca="1">IFERROR(__xludf.DUMMYFUNCTION((TRANSPOSE(ImportHTML("http://spending.data.al/sq/moneypower/view/id/1/year/2011","table",  0)))),"*Emër Subjekti*")</f>
        <v>*Emër Subjekti*</v>
      </c>
      <c r="D1" t="s">
        <v>698</v>
      </c>
      <c r="E1" t="s">
        <v>699</v>
      </c>
      <c r="F1" t="s">
        <v>698</v>
      </c>
      <c r="G1" t="s">
        <v>699</v>
      </c>
      <c r="H1" t="s">
        <v>700</v>
      </c>
      <c r="I1" t="s">
        <v>701</v>
      </c>
      <c r="J1" t="s">
        <v>702</v>
      </c>
    </row>
    <row r="2" spans="2:10" ht="15">
      <c r="B2" s="7"/>
      <c r="C2" t="s">
        <v>709</v>
      </c>
      <c r="D2" t="s">
        <v>710</v>
      </c>
      <c r="E2" s="6">
        <v>41527</v>
      </c>
      <c r="F2" t="s">
        <v>711</v>
      </c>
      <c r="H2" t="s">
        <v>712</v>
      </c>
      <c r="I2" t="s">
        <v>713</v>
      </c>
      <c r="J2" t="s">
        <v>714</v>
      </c>
    </row>
    <row r="3" spans="2:10" ht="15">
      <c r="B3" s="1">
        <v>2</v>
      </c>
      <c r="C3" t="str">
        <f ca="1">IFERROR(__xludf.DUMMYFUNCTION((TRANSPOSE(ImportHTML("http://spending.data.al/sq/moneypower/view/id/2/year/2011", "table", 0)))),"*Emër Subjekti*")</f>
        <v>*Emër Subjekti*</v>
      </c>
      <c r="D3" t="s">
        <v>698</v>
      </c>
      <c r="E3" t="s">
        <v>699</v>
      </c>
      <c r="F3" t="s">
        <v>700</v>
      </c>
      <c r="G3" t="s">
        <v>701</v>
      </c>
      <c r="H3" t="s">
        <v>702</v>
      </c>
    </row>
    <row r="4" spans="2:10" ht="15">
      <c r="B4" s="7"/>
      <c r="C4" t="s">
        <v>1832</v>
      </c>
      <c r="D4" t="s">
        <v>710</v>
      </c>
      <c r="E4">
        <v>2013</v>
      </c>
      <c r="F4" t="s">
        <v>712</v>
      </c>
      <c r="G4" t="s">
        <v>1833</v>
      </c>
      <c r="H4" t="s">
        <v>1834</v>
      </c>
    </row>
    <row r="5" spans="2:10" ht="15">
      <c r="B5" s="1">
        <v>3</v>
      </c>
      <c r="C5" t="str">
        <f ca="1">IFERROR(__xludf.DUMMYFUNCTION((TRANSPOSE(ImportHTML("http://spending.data.al/sq/moneypower/view/id/3/year/2011", "table", 0)))),"*Emër Subjekti*")</f>
        <v>*Emër Subjekti*</v>
      </c>
      <c r="D5" t="s">
        <v>698</v>
      </c>
      <c r="E5" t="s">
        <v>699</v>
      </c>
      <c r="F5" t="s">
        <v>700</v>
      </c>
      <c r="G5" t="s">
        <v>701</v>
      </c>
      <c r="H5" t="s">
        <v>702</v>
      </c>
    </row>
    <row r="6" spans="2:10" ht="15">
      <c r="B6" s="7"/>
      <c r="C6" t="s">
        <v>1835</v>
      </c>
      <c r="D6" t="s">
        <v>710</v>
      </c>
      <c r="E6" s="6">
        <v>41532</v>
      </c>
      <c r="F6" t="s">
        <v>712</v>
      </c>
      <c r="G6" t="s">
        <v>1836</v>
      </c>
      <c r="H6" t="s">
        <v>1837</v>
      </c>
    </row>
    <row r="7" spans="2:10" ht="15">
      <c r="B7" s="1">
        <v>4</v>
      </c>
      <c r="C7" t="str">
        <f ca="1">IFERROR(__xludf.DUMMYFUNCTION((TRANSPOSE(ImportHTML("http://spending.data.al/sq/moneypower/view/id/4/year/2011", "table", 0)))),"*Emër Subjekti*")</f>
        <v>*Emër Subjekti*</v>
      </c>
      <c r="D7" t="s">
        <v>698</v>
      </c>
      <c r="E7" t="s">
        <v>699</v>
      </c>
      <c r="F7" t="s">
        <v>700</v>
      </c>
      <c r="G7" t="s">
        <v>701</v>
      </c>
      <c r="H7" t="s">
        <v>702</v>
      </c>
    </row>
    <row r="8" spans="2:10" ht="15">
      <c r="B8" s="7"/>
      <c r="C8" t="s">
        <v>1838</v>
      </c>
      <c r="D8" t="s">
        <v>710</v>
      </c>
      <c r="E8" s="6">
        <v>41518</v>
      </c>
      <c r="F8" t="s">
        <v>712</v>
      </c>
      <c r="G8" t="s">
        <v>1839</v>
      </c>
      <c r="H8" t="s">
        <v>1840</v>
      </c>
    </row>
    <row r="9" spans="2:10" ht="15">
      <c r="B9" s="1">
        <v>5</v>
      </c>
      <c r="C9" t="str">
        <f ca="1">IFERROR(__xludf.DUMMYFUNCTION((TRANSPOSE(ImportHTML("http://spending.data.al/sq/moneypower/view/id/5/year/2011", "table", 0)))),"*Emër Subjekti*")</f>
        <v>*Emër Subjekti*</v>
      </c>
      <c r="D9" t="s">
        <v>698</v>
      </c>
      <c r="E9" t="s">
        <v>699</v>
      </c>
      <c r="F9" t="s">
        <v>700</v>
      </c>
      <c r="G9" t="s">
        <v>701</v>
      </c>
      <c r="H9" t="s">
        <v>702</v>
      </c>
    </row>
    <row r="10" spans="2:10" ht="15">
      <c r="B10" s="7"/>
      <c r="C10" t="s">
        <v>1841</v>
      </c>
      <c r="D10" t="s">
        <v>710</v>
      </c>
      <c r="E10" s="6">
        <v>41532</v>
      </c>
      <c r="F10" t="s">
        <v>712</v>
      </c>
      <c r="G10" t="s">
        <v>1842</v>
      </c>
      <c r="H10" t="s">
        <v>1843</v>
      </c>
    </row>
    <row r="11" spans="2:10" ht="15">
      <c r="B11" s="1">
        <v>6</v>
      </c>
      <c r="C11" t="str">
        <f ca="1">IFERROR(__xludf.DUMMYFUNCTION((TRANSPOSE(ImportHTML("http://spending.data.al/sq/moneypower/view/id/6/year/2011", "table", 0)))),"*Emër Subjekti*")</f>
        <v>*Emër Subjekti*</v>
      </c>
      <c r="D11" t="s">
        <v>698</v>
      </c>
      <c r="E11" t="s">
        <v>699</v>
      </c>
      <c r="F11" t="s">
        <v>700</v>
      </c>
      <c r="G11" t="s">
        <v>701</v>
      </c>
      <c r="H11" t="s">
        <v>702</v>
      </c>
    </row>
    <row r="12" spans="2:10" ht="15">
      <c r="B12" s="7"/>
      <c r="C12" t="s">
        <v>1844</v>
      </c>
      <c r="D12" t="s">
        <v>710</v>
      </c>
      <c r="E12" s="6">
        <v>41533</v>
      </c>
      <c r="F12" t="s">
        <v>1845</v>
      </c>
      <c r="G12" t="s">
        <v>1846</v>
      </c>
      <c r="H12" t="s">
        <v>1847</v>
      </c>
    </row>
    <row r="13" spans="2:10" ht="15">
      <c r="B13" s="1">
        <v>7</v>
      </c>
      <c r="C13" t="str">
        <f ca="1">IFERROR(__xludf.DUMMYFUNCTION((TRANSPOSE(ImportHTML("http://spending.data.al/sq/moneypower/view/id/7/year/2011", "table", 0)))),"*Emër Subjekti*")</f>
        <v>*Emër Subjekti*</v>
      </c>
      <c r="D13" t="s">
        <v>698</v>
      </c>
      <c r="E13" t="s">
        <v>699</v>
      </c>
      <c r="F13" t="s">
        <v>700</v>
      </c>
      <c r="G13" t="s">
        <v>701</v>
      </c>
      <c r="H13" t="s">
        <v>702</v>
      </c>
    </row>
    <row r="14" spans="2:10" ht="15">
      <c r="B14" s="7"/>
      <c r="C14" t="s">
        <v>1848</v>
      </c>
      <c r="D14" t="s">
        <v>710</v>
      </c>
      <c r="E14" s="6">
        <v>41532</v>
      </c>
      <c r="F14" t="s">
        <v>1845</v>
      </c>
      <c r="G14" t="s">
        <v>1849</v>
      </c>
      <c r="H14" t="s">
        <v>1850</v>
      </c>
    </row>
    <row r="15" spans="2:10" ht="15">
      <c r="B15" s="1">
        <v>8</v>
      </c>
      <c r="C15" t="str">
        <f ca="1">IFERROR(__xludf.DUMMYFUNCTION((TRANSPOSE(ImportHTML("http://spending.data.al/sq/moneypower/view/id/8/year/2011", "table", 0)))),"*Emër Subjekti*")</f>
        <v>*Emër Subjekti*</v>
      </c>
      <c r="D15" t="s">
        <v>698</v>
      </c>
      <c r="E15" t="s">
        <v>699</v>
      </c>
      <c r="F15" t="s">
        <v>700</v>
      </c>
      <c r="G15" t="s">
        <v>701</v>
      </c>
      <c r="H15" t="s">
        <v>702</v>
      </c>
    </row>
    <row r="16" spans="2:10" ht="15">
      <c r="B16" s="7"/>
      <c r="C16" t="s">
        <v>1851</v>
      </c>
      <c r="D16" t="s">
        <v>710</v>
      </c>
      <c r="E16" s="6">
        <v>41533</v>
      </c>
      <c r="F16" t="s">
        <v>712</v>
      </c>
      <c r="G16" t="s">
        <v>1852</v>
      </c>
      <c r="H16" t="s">
        <v>1853</v>
      </c>
    </row>
    <row r="17" spans="2:8" ht="15">
      <c r="B17" s="1">
        <v>9</v>
      </c>
      <c r="C17" t="str">
        <f ca="1">IFERROR(__xludf.DUMMYFUNCTION((TRANSPOSE(ImportHTML("http://spending.data.al/sq/moneypower/view/id/9/year/2011", "table", 0)))),"*Emër Subjekti*")</f>
        <v>*Emër Subjekti*</v>
      </c>
      <c r="D17" t="s">
        <v>698</v>
      </c>
      <c r="E17" t="s">
        <v>699</v>
      </c>
      <c r="F17" t="s">
        <v>700</v>
      </c>
      <c r="G17" t="s">
        <v>701</v>
      </c>
      <c r="H17" t="s">
        <v>702</v>
      </c>
    </row>
    <row r="18" spans="2:8" ht="15">
      <c r="B18" s="7"/>
      <c r="C18" t="s">
        <v>1854</v>
      </c>
      <c r="D18" t="s">
        <v>710</v>
      </c>
      <c r="E18" s="6">
        <v>41533</v>
      </c>
      <c r="F18" t="s">
        <v>712</v>
      </c>
      <c r="G18" t="s">
        <v>1855</v>
      </c>
      <c r="H18" t="s">
        <v>1856</v>
      </c>
    </row>
    <row r="19" spans="2:8" ht="15">
      <c r="B19" s="1">
        <v>10</v>
      </c>
      <c r="C19" t="str">
        <f ca="1">IFERROR(__xludf.DUMMYFUNCTION((TRANSPOSE(ImportHTML("http://spending.data.al/sq/moneypower/view/id/10/year/2011", "table", 0)))),"*Emër Subjekti*")</f>
        <v>*Emër Subjekti*</v>
      </c>
      <c r="D19" t="s">
        <v>698</v>
      </c>
      <c r="E19" t="s">
        <v>699</v>
      </c>
      <c r="F19" t="s">
        <v>700</v>
      </c>
      <c r="G19" t="s">
        <v>701</v>
      </c>
      <c r="H19" t="s">
        <v>702</v>
      </c>
    </row>
    <row r="20" spans="2:8" ht="15">
      <c r="B20" s="7"/>
      <c r="C20" t="s">
        <v>1857</v>
      </c>
      <c r="D20" t="s">
        <v>710</v>
      </c>
      <c r="E20" s="6">
        <v>41532</v>
      </c>
      <c r="F20" t="s">
        <v>712</v>
      </c>
      <c r="G20" t="s">
        <v>1858</v>
      </c>
      <c r="H20" t="s">
        <v>1859</v>
      </c>
    </row>
    <row r="21" spans="2:8" ht="15">
      <c r="B21" s="1">
        <v>11</v>
      </c>
      <c r="C21" t="str">
        <f ca="1">IFERROR(__xludf.DUMMYFUNCTION((TRANSPOSE(ImportHTML("http://spending.data.al/sq/moneypower/view/id/11/year/2011", "table", 0)))),"*Emër Subjekti*")</f>
        <v>*Emër Subjekti*</v>
      </c>
      <c r="D21" t="s">
        <v>698</v>
      </c>
      <c r="E21" t="s">
        <v>699</v>
      </c>
      <c r="F21" t="s">
        <v>700</v>
      </c>
      <c r="G21" t="s">
        <v>701</v>
      </c>
      <c r="H21" t="s">
        <v>702</v>
      </c>
    </row>
    <row r="22" spans="2:8" ht="15">
      <c r="B22" s="7"/>
      <c r="C22" t="s">
        <v>1860</v>
      </c>
      <c r="D22" t="s">
        <v>710</v>
      </c>
      <c r="E22" s="6">
        <v>41532</v>
      </c>
      <c r="F22" t="s">
        <v>1845</v>
      </c>
      <c r="G22" t="s">
        <v>1861</v>
      </c>
      <c r="H22" t="s">
        <v>1862</v>
      </c>
    </row>
    <row r="23" spans="2:8" ht="15">
      <c r="B23" s="1">
        <v>12</v>
      </c>
      <c r="C23" t="str">
        <f ca="1">IFERROR(__xludf.DUMMYFUNCTION((TRANSPOSE(ImportHTML("http://spending.data.al/sq/moneypower/view/id/12/year/2011", "table", 0)))),"*Emër Subjekti*")</f>
        <v>*Emër Subjekti*</v>
      </c>
      <c r="D23" t="s">
        <v>698</v>
      </c>
      <c r="E23" t="s">
        <v>699</v>
      </c>
      <c r="F23" t="s">
        <v>700</v>
      </c>
      <c r="G23" t="s">
        <v>701</v>
      </c>
      <c r="H23" t="s">
        <v>702</v>
      </c>
    </row>
    <row r="24" spans="2:8" ht="15">
      <c r="B24" s="7"/>
      <c r="C24" t="s">
        <v>1863</v>
      </c>
      <c r="D24" t="s">
        <v>710</v>
      </c>
      <c r="E24" s="6">
        <v>41533</v>
      </c>
      <c r="F24" t="s">
        <v>1845</v>
      </c>
      <c r="G24" t="s">
        <v>1864</v>
      </c>
      <c r="H24" t="s">
        <v>1865</v>
      </c>
    </row>
    <row r="25" spans="2:8" ht="15">
      <c r="B25" s="1">
        <v>13</v>
      </c>
      <c r="C25" t="str">
        <f ca="1">IFERROR(__xludf.DUMMYFUNCTION((TRANSPOSE(ImportHTML("http://spending.data.al/sq/moneypower/view/id/13/year/2011", "table", 0)))),"*Emër Subjekti*")</f>
        <v>*Emër Subjekti*</v>
      </c>
      <c r="D25" t="s">
        <v>698</v>
      </c>
      <c r="E25" t="s">
        <v>699</v>
      </c>
      <c r="F25" t="s">
        <v>700</v>
      </c>
      <c r="G25" t="s">
        <v>701</v>
      </c>
      <c r="H25" t="s">
        <v>702</v>
      </c>
    </row>
    <row r="26" spans="2:8" ht="15">
      <c r="B26" s="7"/>
      <c r="C26" t="s">
        <v>1866</v>
      </c>
      <c r="D26" t="s">
        <v>710</v>
      </c>
      <c r="E26" s="6">
        <v>41528</v>
      </c>
      <c r="F26" t="s">
        <v>712</v>
      </c>
      <c r="G26" t="s">
        <v>1867</v>
      </c>
      <c r="H26" t="s">
        <v>1868</v>
      </c>
    </row>
    <row r="27" spans="2:8" ht="15">
      <c r="B27" s="1">
        <v>14</v>
      </c>
      <c r="C27" t="str">
        <f ca="1">IFERROR(__xludf.DUMMYFUNCTION((TRANSPOSE(ImportHTML("http://spending.data.al/sq/moneypower/view/id/14/year/2011", "table", 0)))),"*Emër Subjekti*")</f>
        <v>*Emër Subjekti*</v>
      </c>
      <c r="D27" t="s">
        <v>698</v>
      </c>
      <c r="E27" t="s">
        <v>699</v>
      </c>
      <c r="F27" t="s">
        <v>700</v>
      </c>
      <c r="G27" t="s">
        <v>701</v>
      </c>
      <c r="H27" t="s">
        <v>702</v>
      </c>
    </row>
    <row r="28" spans="2:8" ht="15">
      <c r="B28" s="7"/>
      <c r="C28" t="s">
        <v>1869</v>
      </c>
      <c r="D28" t="s">
        <v>710</v>
      </c>
      <c r="E28" s="6">
        <v>41532</v>
      </c>
      <c r="F28" t="s">
        <v>712</v>
      </c>
      <c r="G28" t="s">
        <v>1870</v>
      </c>
      <c r="H28" t="s">
        <v>708</v>
      </c>
    </row>
    <row r="29" spans="2:8" ht="15">
      <c r="B29" s="1">
        <v>15</v>
      </c>
      <c r="C29" t="str">
        <f ca="1">IFERROR(__xludf.DUMMYFUNCTION((TRANSPOSE(ImportHTML("http://spending.data.al/sq/moneypower/view/id/15/year/2011", "table", 0)))),"*Emër Subjekti*")</f>
        <v>*Emër Subjekti*</v>
      </c>
      <c r="D29" t="s">
        <v>698</v>
      </c>
      <c r="E29" t="s">
        <v>699</v>
      </c>
      <c r="F29" t="s">
        <v>700</v>
      </c>
      <c r="G29" t="s">
        <v>701</v>
      </c>
      <c r="H29" t="s">
        <v>702</v>
      </c>
    </row>
    <row r="30" spans="2:8" ht="15">
      <c r="B30" s="7"/>
      <c r="C30" t="s">
        <v>1871</v>
      </c>
      <c r="D30" t="s">
        <v>710</v>
      </c>
      <c r="E30" s="6">
        <v>41533</v>
      </c>
      <c r="F30" t="s">
        <v>712</v>
      </c>
      <c r="G30" t="s">
        <v>1872</v>
      </c>
      <c r="H30" t="s">
        <v>1873</v>
      </c>
    </row>
    <row r="31" spans="2:8" ht="15">
      <c r="B31" s="1">
        <v>16</v>
      </c>
      <c r="C31" t="str">
        <f ca="1">IFERROR(__xludf.DUMMYFUNCTION((TRANSPOSE(ImportHTML("http://spending.data.al/sq/moneypower/view/id/16/year/2011", "table", 0)))),"*Emër Subjekti*")</f>
        <v>*Emër Subjekti*</v>
      </c>
      <c r="D31" t="s">
        <v>698</v>
      </c>
      <c r="E31" t="s">
        <v>699</v>
      </c>
      <c r="F31" t="s">
        <v>700</v>
      </c>
      <c r="G31" t="s">
        <v>701</v>
      </c>
      <c r="H31" t="s">
        <v>702</v>
      </c>
    </row>
    <row r="32" spans="2:8" ht="15">
      <c r="B32" s="7"/>
      <c r="C32" t="s">
        <v>1874</v>
      </c>
      <c r="D32" t="s">
        <v>710</v>
      </c>
      <c r="E32" s="6">
        <v>41528</v>
      </c>
      <c r="F32" t="s">
        <v>1875</v>
      </c>
      <c r="G32" t="s">
        <v>1876</v>
      </c>
      <c r="H32" t="s">
        <v>1877</v>
      </c>
    </row>
    <row r="33" spans="2:10" ht="15">
      <c r="B33" s="1">
        <v>17</v>
      </c>
      <c r="C33" t="str">
        <f ca="1">IFERROR(__xludf.DUMMYFUNCTION((TRANSPOSE(ImportHTML("http://spending.data.al/sq/moneypower/view/id/17/year/2011", "table", 0)))),"*Emër Subjekti*")</f>
        <v>*Emër Subjekti*</v>
      </c>
      <c r="D33" t="s">
        <v>698</v>
      </c>
      <c r="E33" t="s">
        <v>699</v>
      </c>
      <c r="F33" t="s">
        <v>698</v>
      </c>
      <c r="G33" t="s">
        <v>699</v>
      </c>
      <c r="H33" t="s">
        <v>700</v>
      </c>
      <c r="I33" t="s">
        <v>701</v>
      </c>
      <c r="J33" t="s">
        <v>702</v>
      </c>
    </row>
    <row r="34" spans="2:10" ht="15">
      <c r="B34" s="7"/>
      <c r="C34" t="s">
        <v>1878</v>
      </c>
      <c r="D34" t="s">
        <v>1879</v>
      </c>
      <c r="F34" t="s">
        <v>710</v>
      </c>
      <c r="G34" s="6">
        <v>41528</v>
      </c>
      <c r="H34" t="s">
        <v>1845</v>
      </c>
      <c r="I34" t="s">
        <v>1880</v>
      </c>
      <c r="J34" t="s">
        <v>1881</v>
      </c>
    </row>
    <row r="35" spans="2:10" ht="15">
      <c r="B35" s="1">
        <v>18</v>
      </c>
      <c r="C35" t="str">
        <f ca="1">IFERROR(__xludf.DUMMYFUNCTION((TRANSPOSE(ImportHTML("http://spending.data.al/sq/moneypower/view/id/18/year/2011", "table", 0)))),"*Emër Subjekti*")</f>
        <v>*Emër Subjekti*</v>
      </c>
      <c r="D35" t="s">
        <v>698</v>
      </c>
      <c r="E35" t="s">
        <v>699</v>
      </c>
      <c r="F35" t="s">
        <v>700</v>
      </c>
      <c r="G35" t="s">
        <v>701</v>
      </c>
      <c r="H35" t="s">
        <v>702</v>
      </c>
    </row>
    <row r="36" spans="2:10" ht="15">
      <c r="B36" s="7"/>
      <c r="C36" t="s">
        <v>1882</v>
      </c>
      <c r="D36" t="s">
        <v>710</v>
      </c>
      <c r="E36" s="6">
        <v>41528</v>
      </c>
      <c r="F36" t="s">
        <v>712</v>
      </c>
      <c r="G36" t="s">
        <v>1883</v>
      </c>
      <c r="H36" t="s">
        <v>1884</v>
      </c>
    </row>
    <row r="37" spans="2:10" ht="15">
      <c r="B37" s="1">
        <v>19</v>
      </c>
      <c r="C37" t="str">
        <f ca="1">IFERROR(__xludf.DUMMYFUNCTION((TRANSPOSE(ImportHTML("http://spending.data.al/sq/moneypower/view/id/19/year/2011", "table", 0)))),"*Emër Subjekti*")</f>
        <v>*Emër Subjekti*</v>
      </c>
      <c r="D37" t="s">
        <v>698</v>
      </c>
      <c r="E37" t="s">
        <v>699</v>
      </c>
      <c r="F37" t="s">
        <v>700</v>
      </c>
      <c r="G37" t="s">
        <v>701</v>
      </c>
      <c r="H37" t="s">
        <v>702</v>
      </c>
    </row>
    <row r="38" spans="2:10" ht="15">
      <c r="B38" s="7"/>
      <c r="C38" t="s">
        <v>1885</v>
      </c>
      <c r="D38" t="s">
        <v>710</v>
      </c>
      <c r="E38" s="6">
        <v>41533</v>
      </c>
      <c r="F38" t="s">
        <v>712</v>
      </c>
      <c r="G38" t="s">
        <v>1886</v>
      </c>
      <c r="H38" t="s">
        <v>1887</v>
      </c>
    </row>
    <row r="39" spans="2:10" ht="15">
      <c r="B39" s="1">
        <v>20</v>
      </c>
      <c r="C39" t="str">
        <f ca="1">IFERROR(__xludf.DUMMYFUNCTION((TRANSPOSE(ImportHTML("http://spending.data.al/sq/moneypower/view/id/20/year/2011", "table", 0)))),"*Emër Subjekti*")</f>
        <v>*Emër Subjekti*</v>
      </c>
      <c r="D39" t="s">
        <v>698</v>
      </c>
      <c r="E39" t="s">
        <v>699</v>
      </c>
      <c r="F39" t="s">
        <v>698</v>
      </c>
      <c r="G39" t="s">
        <v>699</v>
      </c>
      <c r="H39" t="s">
        <v>700</v>
      </c>
      <c r="I39" t="s">
        <v>701</v>
      </c>
      <c r="J39" t="s">
        <v>702</v>
      </c>
    </row>
    <row r="40" spans="2:10" ht="15">
      <c r="B40" s="7"/>
      <c r="C40" t="s">
        <v>1888</v>
      </c>
      <c r="D40" t="s">
        <v>711</v>
      </c>
      <c r="F40" t="s">
        <v>710</v>
      </c>
      <c r="G40" s="6">
        <v>41529</v>
      </c>
      <c r="H40" t="s">
        <v>712</v>
      </c>
      <c r="I40" t="s">
        <v>1889</v>
      </c>
      <c r="J40" t="s">
        <v>1890</v>
      </c>
    </row>
    <row r="41" spans="2:10" ht="15">
      <c r="B41" s="1">
        <v>21</v>
      </c>
      <c r="C41" t="str">
        <f ca="1">IFERROR(__xludf.DUMMYFUNCTION((TRANSPOSE(ImportHTML("http://spending.data.al/sq/moneypower/view/id/21/year/2011", "table", 0)))),"*Emër Subjekti*")</f>
        <v>*Emër Subjekti*</v>
      </c>
      <c r="D41" t="s">
        <v>698</v>
      </c>
      <c r="E41" t="s">
        <v>699</v>
      </c>
      <c r="F41" t="s">
        <v>700</v>
      </c>
      <c r="G41" t="s">
        <v>701</v>
      </c>
      <c r="H41" t="s">
        <v>702</v>
      </c>
    </row>
    <row r="42" spans="2:10" ht="15">
      <c r="B42" s="7"/>
      <c r="C42" t="s">
        <v>1891</v>
      </c>
      <c r="D42" t="s">
        <v>1892</v>
      </c>
      <c r="E42" s="6">
        <v>39846</v>
      </c>
      <c r="F42" t="s">
        <v>1893</v>
      </c>
      <c r="G42" t="s">
        <v>1894</v>
      </c>
      <c r="H42" t="s">
        <v>1895</v>
      </c>
    </row>
    <row r="43" spans="2:10" ht="15">
      <c r="B43" s="1">
        <v>22</v>
      </c>
      <c r="C43" t="str">
        <f ca="1">IFERROR(__xludf.DUMMYFUNCTION((TRANSPOSE(ImportHTML("http://spending.data.al/sq/moneypower/view/id/22/year/2011", "table", 0)))),"*Emër Subjekti*")</f>
        <v>*Emër Subjekti*</v>
      </c>
      <c r="D43" t="s">
        <v>698</v>
      </c>
      <c r="E43" t="s">
        <v>699</v>
      </c>
      <c r="F43" t="s">
        <v>700</v>
      </c>
      <c r="G43" t="s">
        <v>701</v>
      </c>
      <c r="H43" t="s">
        <v>702</v>
      </c>
    </row>
    <row r="44" spans="2:10" ht="15">
      <c r="B44" s="7"/>
      <c r="C44" t="s">
        <v>1896</v>
      </c>
      <c r="D44" t="s">
        <v>1892</v>
      </c>
      <c r="E44" s="6">
        <v>41381</v>
      </c>
      <c r="F44" t="s">
        <v>1897</v>
      </c>
      <c r="G44" t="s">
        <v>1898</v>
      </c>
      <c r="H44" t="s">
        <v>1899</v>
      </c>
    </row>
    <row r="45" spans="2:10" ht="15">
      <c r="B45" s="1">
        <v>23</v>
      </c>
      <c r="C45" t="str">
        <f ca="1">IFERROR(__xludf.DUMMYFUNCTION((TRANSPOSE(ImportHTML("http://spending.data.al/sq/moneypower/view/id/23/year/2011", "table", 0)))),"*Emër Subjekti*")</f>
        <v>*Emër Subjekti*</v>
      </c>
      <c r="D45" t="s">
        <v>698</v>
      </c>
      <c r="E45" t="s">
        <v>699</v>
      </c>
      <c r="F45" t="s">
        <v>700</v>
      </c>
      <c r="G45" t="s">
        <v>701</v>
      </c>
      <c r="H45" t="s">
        <v>702</v>
      </c>
    </row>
    <row r="46" spans="2:10" ht="15">
      <c r="B46" s="7"/>
      <c r="C46" t="s">
        <v>1900</v>
      </c>
      <c r="D46" t="s">
        <v>1892</v>
      </c>
      <c r="E46" s="6">
        <v>41200</v>
      </c>
      <c r="F46" t="s">
        <v>1875</v>
      </c>
      <c r="G46" t="s">
        <v>1901</v>
      </c>
      <c r="H46" t="s">
        <v>707</v>
      </c>
    </row>
    <row r="47" spans="2:10" ht="15">
      <c r="B47" s="1">
        <v>24</v>
      </c>
      <c r="C47" t="str">
        <f ca="1">IFERROR(__xludf.DUMMYFUNCTION((TRANSPOSE(ImportHTML("http://spending.data.al/sq/moneypower/view/id/24/year/2011", "table", 0)))),"*Emër Subjekti*")</f>
        <v>*Emër Subjekti*</v>
      </c>
      <c r="D47" t="s">
        <v>698</v>
      </c>
      <c r="E47" t="s">
        <v>699</v>
      </c>
      <c r="F47" t="s">
        <v>700</v>
      </c>
      <c r="G47" t="s">
        <v>701</v>
      </c>
      <c r="H47" t="s">
        <v>702</v>
      </c>
    </row>
    <row r="48" spans="2:10" ht="15">
      <c r="B48" s="7"/>
      <c r="C48" t="s">
        <v>1902</v>
      </c>
      <c r="D48" t="s">
        <v>1892</v>
      </c>
      <c r="E48" s="6">
        <v>39846</v>
      </c>
      <c r="F48" t="s">
        <v>1893</v>
      </c>
      <c r="G48" t="s">
        <v>1903</v>
      </c>
      <c r="H48" t="s">
        <v>707</v>
      </c>
    </row>
    <row r="49" spans="2:16" ht="15">
      <c r="B49" s="1">
        <v>25</v>
      </c>
      <c r="C49" t="str">
        <f ca="1">IFERROR(__xludf.DUMMYFUNCTION((TRANSPOSE(ImportHTML("http://spending.data.al/sq/moneypower/view/id/25/year/2011", "table", 0)))),"*Kategoria*")</f>
        <v>*Kategoria*</v>
      </c>
      <c r="D49" t="s">
        <v>673</v>
      </c>
      <c r="E49" t="s">
        <v>674</v>
      </c>
      <c r="F49" t="s">
        <v>675</v>
      </c>
      <c r="G49" t="s">
        <v>676</v>
      </c>
      <c r="H49" t="s">
        <v>677</v>
      </c>
      <c r="I49" t="s">
        <v>678</v>
      </c>
      <c r="J49" t="s">
        <v>679</v>
      </c>
      <c r="K49" t="s">
        <v>680</v>
      </c>
      <c r="L49" t="s">
        <v>681</v>
      </c>
      <c r="M49" t="s">
        <v>682</v>
      </c>
      <c r="N49" t="s">
        <v>683</v>
      </c>
      <c r="O49" t="s">
        <v>684</v>
      </c>
      <c r="P49" t="s">
        <v>685</v>
      </c>
    </row>
    <row r="50" spans="2:16" ht="15">
      <c r="B50" s="1"/>
      <c r="C50" t="s">
        <v>686</v>
      </c>
      <c r="D50" t="s">
        <v>687</v>
      </c>
      <c r="E50" t="s">
        <v>688</v>
      </c>
      <c r="F50" t="s">
        <v>688</v>
      </c>
      <c r="G50" t="s">
        <v>688</v>
      </c>
      <c r="H50" t="s">
        <v>688</v>
      </c>
      <c r="I50" t="s">
        <v>688</v>
      </c>
      <c r="J50" t="s">
        <v>688</v>
      </c>
      <c r="K50" t="s">
        <v>688</v>
      </c>
      <c r="L50" t="s">
        <v>688</v>
      </c>
      <c r="M50" t="s">
        <v>689</v>
      </c>
      <c r="N50" t="s">
        <v>688</v>
      </c>
      <c r="O50" s="4">
        <v>1</v>
      </c>
      <c r="P50" t="s">
        <v>690</v>
      </c>
    </row>
    <row r="51" spans="2:16" ht="15">
      <c r="B51" s="1">
        <v>26</v>
      </c>
      <c r="C51" t="str">
        <f ca="1">IFERROR(__xludf.DUMMYFUNCTION((TRANSPOSE(ImportHTML("http://spending.data.al/sq/moneypower/view/id/26/year/2011", "table", 0)))),"*Kategoria*")</f>
        <v>*Kategoria*</v>
      </c>
      <c r="D51" t="s">
        <v>673</v>
      </c>
      <c r="E51" t="s">
        <v>674</v>
      </c>
      <c r="F51" t="s">
        <v>675</v>
      </c>
      <c r="G51" t="s">
        <v>676</v>
      </c>
      <c r="H51" t="s">
        <v>677</v>
      </c>
      <c r="I51" t="s">
        <v>678</v>
      </c>
      <c r="J51" t="s">
        <v>679</v>
      </c>
      <c r="K51" t="s">
        <v>680</v>
      </c>
      <c r="L51" t="s">
        <v>681</v>
      </c>
      <c r="M51" t="s">
        <v>682</v>
      </c>
      <c r="N51" t="s">
        <v>683</v>
      </c>
      <c r="O51" t="s">
        <v>684</v>
      </c>
      <c r="P51" t="s">
        <v>685</v>
      </c>
    </row>
    <row r="52" spans="2:16" ht="15">
      <c r="B52" s="7"/>
      <c r="C52" t="s">
        <v>686</v>
      </c>
      <c r="D52" t="s">
        <v>1904</v>
      </c>
      <c r="E52" t="s">
        <v>688</v>
      </c>
      <c r="F52" t="s">
        <v>1905</v>
      </c>
      <c r="G52" t="s">
        <v>688</v>
      </c>
      <c r="H52" t="s">
        <v>688</v>
      </c>
      <c r="I52" t="s">
        <v>688</v>
      </c>
      <c r="J52" t="s">
        <v>688</v>
      </c>
      <c r="K52" t="s">
        <v>688</v>
      </c>
      <c r="L52" t="s">
        <v>688</v>
      </c>
      <c r="M52" t="s">
        <v>1906</v>
      </c>
      <c r="N52" t="s">
        <v>688</v>
      </c>
      <c r="O52" s="4">
        <v>1.2</v>
      </c>
      <c r="P52" t="s">
        <v>1907</v>
      </c>
    </row>
    <row r="53" spans="2:16" ht="15">
      <c r="B53" s="1">
        <v>27</v>
      </c>
      <c r="C53" t="str">
        <f ca="1">IFERROR(__xludf.DUMMYFUNCTION((TRANSPOSE(ImportHTML("http://spending.data.al/sq/moneypower/view/id/27/year/2011", "table", 0)))),"*Emër Subjekti*")</f>
        <v>*Emër Subjekti*</v>
      </c>
      <c r="D53" t="s">
        <v>698</v>
      </c>
      <c r="E53" t="s">
        <v>699</v>
      </c>
      <c r="F53" t="s">
        <v>700</v>
      </c>
      <c r="G53" t="s">
        <v>701</v>
      </c>
      <c r="H53" t="s">
        <v>702</v>
      </c>
    </row>
    <row r="54" spans="2:16" ht="15">
      <c r="B54" s="7"/>
      <c r="C54" t="s">
        <v>1908</v>
      </c>
      <c r="D54" t="s">
        <v>1909</v>
      </c>
      <c r="E54" t="s">
        <v>1910</v>
      </c>
      <c r="F54" t="s">
        <v>706</v>
      </c>
      <c r="G54" t="s">
        <v>707</v>
      </c>
      <c r="H54" t="s">
        <v>1911</v>
      </c>
    </row>
    <row r="55" spans="2:16" ht="15">
      <c r="B55" s="1">
        <v>28</v>
      </c>
      <c r="C55" t="str">
        <f ca="1">IFERROR(__xludf.DUMMYFUNCTION((TRANSPOSE(ImportHTML("http://spending.data.al/sq/moneypower/view/id/28/year/2011", "table", 0)))),"*Emër Subjekti*")</f>
        <v>*Emër Subjekti*</v>
      </c>
      <c r="D55" t="s">
        <v>698</v>
      </c>
      <c r="E55" t="s">
        <v>699</v>
      </c>
      <c r="F55" t="s">
        <v>700</v>
      </c>
      <c r="G55" t="s">
        <v>701</v>
      </c>
      <c r="H55" t="s">
        <v>702</v>
      </c>
    </row>
    <row r="56" spans="2:16" ht="15">
      <c r="B56" s="7"/>
      <c r="C56" t="s">
        <v>1912</v>
      </c>
      <c r="D56" t="s">
        <v>1913</v>
      </c>
      <c r="E56" t="s">
        <v>705</v>
      </c>
      <c r="F56" t="s">
        <v>1914</v>
      </c>
      <c r="G56" t="s">
        <v>707</v>
      </c>
      <c r="H56" t="s">
        <v>707</v>
      </c>
    </row>
    <row r="57" spans="2:16" ht="15">
      <c r="B57" s="1">
        <v>29</v>
      </c>
      <c r="C57" t="str">
        <f ca="1">IFERROR(__xludf.DUMMYFUNCTION((TRANSPOSE(ImportHTML("http://spending.data.al/sq/moneypower/view/id/29/year/2011", "table", 0)))),"*Emër Subjekti*")</f>
        <v>*Emër Subjekti*</v>
      </c>
      <c r="D57" t="s">
        <v>698</v>
      </c>
      <c r="E57" t="s">
        <v>699</v>
      </c>
      <c r="F57" t="s">
        <v>700</v>
      </c>
      <c r="G57" t="s">
        <v>701</v>
      </c>
      <c r="H57" t="s">
        <v>702</v>
      </c>
    </row>
    <row r="58" spans="2:16" ht="15">
      <c r="B58" s="7"/>
      <c r="C58" t="s">
        <v>1915</v>
      </c>
      <c r="D58" t="s">
        <v>1916</v>
      </c>
      <c r="E58" t="s">
        <v>1917</v>
      </c>
      <c r="F58" t="s">
        <v>706</v>
      </c>
      <c r="G58" t="s">
        <v>707</v>
      </c>
      <c r="H58" t="s">
        <v>1918</v>
      </c>
    </row>
    <row r="59" spans="2:16" ht="15">
      <c r="B59" s="1">
        <v>30</v>
      </c>
      <c r="C59" t="str">
        <f ca="1">IFERROR(__xludf.DUMMYFUNCTION((TRANSPOSE(ImportHTML("http://spending.data.al/sq/moneypower/view/id/30/year/2011", "table", 0)))),"*Emër Subjekti*")</f>
        <v>*Emër Subjekti*</v>
      </c>
      <c r="D59" t="s">
        <v>698</v>
      </c>
      <c r="E59" t="s">
        <v>699</v>
      </c>
      <c r="F59" t="s">
        <v>700</v>
      </c>
      <c r="G59" t="s">
        <v>701</v>
      </c>
      <c r="H59" t="s">
        <v>702</v>
      </c>
    </row>
    <row r="60" spans="2:16" ht="15">
      <c r="B60" s="7"/>
      <c r="C60" t="s">
        <v>1919</v>
      </c>
      <c r="D60" t="s">
        <v>1920</v>
      </c>
      <c r="E60" t="s">
        <v>705</v>
      </c>
      <c r="F60" t="s">
        <v>706</v>
      </c>
      <c r="G60" t="s">
        <v>707</v>
      </c>
      <c r="H60" t="s">
        <v>688</v>
      </c>
    </row>
    <row r="61" spans="2:16" ht="15">
      <c r="B61" s="1">
        <v>31</v>
      </c>
      <c r="C61" t="str">
        <f ca="1">IFERROR(__xludf.DUMMYFUNCTION((TRANSPOSE(ImportHTML("http://spending.data.al/sq/moneypower/view/id/31/year/2011", "table", 0)))),"*Kategoria*")</f>
        <v>*Kategoria*</v>
      </c>
      <c r="D61" t="s">
        <v>673</v>
      </c>
      <c r="E61" t="s">
        <v>674</v>
      </c>
      <c r="F61" t="s">
        <v>675</v>
      </c>
      <c r="G61" t="s">
        <v>676</v>
      </c>
      <c r="H61" t="s">
        <v>677</v>
      </c>
      <c r="I61" t="s">
        <v>678</v>
      </c>
      <c r="J61" t="s">
        <v>679</v>
      </c>
      <c r="K61" t="s">
        <v>680</v>
      </c>
      <c r="L61" t="s">
        <v>681</v>
      </c>
      <c r="M61" t="s">
        <v>682</v>
      </c>
      <c r="N61" t="s">
        <v>683</v>
      </c>
      <c r="O61" t="s">
        <v>684</v>
      </c>
      <c r="P61" t="s">
        <v>685</v>
      </c>
    </row>
    <row r="62" spans="2:16" ht="15">
      <c r="B62" s="7"/>
      <c r="C62" t="s">
        <v>686</v>
      </c>
      <c r="D62" t="s">
        <v>1921</v>
      </c>
      <c r="E62" t="s">
        <v>688</v>
      </c>
      <c r="F62" t="s">
        <v>688</v>
      </c>
      <c r="G62" t="s">
        <v>688</v>
      </c>
      <c r="H62" t="s">
        <v>688</v>
      </c>
      <c r="I62" t="s">
        <v>688</v>
      </c>
      <c r="J62" t="s">
        <v>688</v>
      </c>
      <c r="K62" t="s">
        <v>688</v>
      </c>
      <c r="L62" t="s">
        <v>688</v>
      </c>
      <c r="M62" t="s">
        <v>1922</v>
      </c>
      <c r="N62" t="s">
        <v>688</v>
      </c>
      <c r="O62" s="4">
        <v>1</v>
      </c>
      <c r="P62" t="s">
        <v>1923</v>
      </c>
    </row>
    <row r="63" spans="2:16" ht="15">
      <c r="B63" s="1">
        <v>32</v>
      </c>
      <c r="C63" t="str">
        <f ca="1">IFERROR(__xludf.DUMMYFUNCTION((TRANSPOSE(ImportHTML("http://spending.data.al/sq/moneypower/view/id/32/year/2011", "table", 0)))),"*Kategoria*")</f>
        <v>*Kategoria*</v>
      </c>
      <c r="D63" t="s">
        <v>673</v>
      </c>
      <c r="E63" t="s">
        <v>674</v>
      </c>
      <c r="F63" t="s">
        <v>675</v>
      </c>
      <c r="G63" t="s">
        <v>676</v>
      </c>
      <c r="H63" t="s">
        <v>677</v>
      </c>
      <c r="I63" t="s">
        <v>678</v>
      </c>
      <c r="J63" t="s">
        <v>679</v>
      </c>
      <c r="K63" t="s">
        <v>680</v>
      </c>
      <c r="L63" t="s">
        <v>681</v>
      </c>
      <c r="M63" t="s">
        <v>682</v>
      </c>
      <c r="N63" t="s">
        <v>683</v>
      </c>
      <c r="O63" t="s">
        <v>684</v>
      </c>
      <c r="P63" t="s">
        <v>685</v>
      </c>
    </row>
    <row r="64" spans="2:16" ht="15">
      <c r="B64" s="7"/>
      <c r="C64" t="s">
        <v>686</v>
      </c>
      <c r="D64" t="s">
        <v>1924</v>
      </c>
      <c r="E64" t="s">
        <v>688</v>
      </c>
      <c r="F64" t="s">
        <v>1925</v>
      </c>
      <c r="G64" t="s">
        <v>688</v>
      </c>
      <c r="H64" t="s">
        <v>688</v>
      </c>
      <c r="I64" t="s">
        <v>688</v>
      </c>
      <c r="J64" t="s">
        <v>688</v>
      </c>
      <c r="K64" t="s">
        <v>688</v>
      </c>
      <c r="L64" t="s">
        <v>688</v>
      </c>
      <c r="M64" t="s">
        <v>688</v>
      </c>
      <c r="N64" t="s">
        <v>688</v>
      </c>
      <c r="O64" s="4">
        <v>1.04</v>
      </c>
      <c r="P64" t="s">
        <v>688</v>
      </c>
    </row>
    <row r="65" spans="2:16" ht="15">
      <c r="B65" s="1">
        <v>33</v>
      </c>
      <c r="C65" t="str">
        <f ca="1">IFERROR(__xludf.DUMMYFUNCTION((TRANSPOSE(ImportHTML("http://spending.data.al/sq/moneypower/view/id/33/year/2011", "table", 0)))),"*Emër Subjekti*")</f>
        <v>*Emër Subjekti*</v>
      </c>
      <c r="D65" t="s">
        <v>700</v>
      </c>
      <c r="E65" t="s">
        <v>701</v>
      </c>
      <c r="F65" t="s">
        <v>702</v>
      </c>
    </row>
    <row r="66" spans="2:16" ht="15">
      <c r="B66" s="1"/>
      <c r="D66" t="s">
        <v>707</v>
      </c>
      <c r="E66" t="s">
        <v>707</v>
      </c>
      <c r="F66" t="s">
        <v>707</v>
      </c>
    </row>
    <row r="67" spans="2:16" ht="15">
      <c r="B67" s="1">
        <v>34</v>
      </c>
      <c r="C67" t="str">
        <f ca="1">IFERROR(__xludf.DUMMYFUNCTION((TRANSPOSE(ImportHTML("http://spending.data.al/sq/moneypower/view/id/34/year/2011", "table", 0)))),"*Emër Subjekti*")</f>
        <v>*Emër Subjekti*</v>
      </c>
      <c r="D67" t="s">
        <v>698</v>
      </c>
      <c r="E67" t="s">
        <v>699</v>
      </c>
      <c r="F67" t="s">
        <v>700</v>
      </c>
      <c r="G67" t="s">
        <v>701</v>
      </c>
      <c r="H67" t="s">
        <v>702</v>
      </c>
    </row>
    <row r="68" spans="2:16" ht="15">
      <c r="B68" s="7"/>
      <c r="C68" t="s">
        <v>1926</v>
      </c>
      <c r="D68" t="s">
        <v>1927</v>
      </c>
      <c r="E68" t="s">
        <v>705</v>
      </c>
      <c r="F68" t="s">
        <v>706</v>
      </c>
      <c r="G68" t="s">
        <v>707</v>
      </c>
      <c r="H68" t="s">
        <v>1918</v>
      </c>
    </row>
    <row r="69" spans="2:16" ht="15">
      <c r="B69" s="1">
        <v>35</v>
      </c>
      <c r="C69" t="str">
        <f ca="1">IFERROR(__xludf.DUMMYFUNCTION((TRANSPOSE(ImportHTML("http://spending.data.al/sq/moneypower/view/id/35/year/2011", "table", 0)))),"*Emër Subjekti*")</f>
        <v>*Emër Subjekti*</v>
      </c>
      <c r="D69" t="s">
        <v>698</v>
      </c>
      <c r="E69" t="s">
        <v>699</v>
      </c>
      <c r="F69" t="s">
        <v>700</v>
      </c>
      <c r="G69" t="s">
        <v>701</v>
      </c>
      <c r="H69" t="s">
        <v>702</v>
      </c>
    </row>
    <row r="70" spans="2:16" ht="15">
      <c r="B70" s="1"/>
      <c r="C70" t="s">
        <v>1928</v>
      </c>
      <c r="D70" t="s">
        <v>1929</v>
      </c>
      <c r="E70" t="s">
        <v>705</v>
      </c>
      <c r="F70" t="s">
        <v>1914</v>
      </c>
      <c r="G70" t="s">
        <v>707</v>
      </c>
      <c r="H70" t="s">
        <v>1930</v>
      </c>
    </row>
    <row r="71" spans="2:16" ht="15">
      <c r="B71" s="1">
        <v>36</v>
      </c>
      <c r="C71" t="str">
        <f ca="1">IFERROR(__xludf.DUMMYFUNCTION((TRANSPOSE(ImportHTML("http://spending.data.al/sq/moneypower/view/id/36/year/2011", "table", 0)))),"*Emër Subjekti*")</f>
        <v>*Emër Subjekti*</v>
      </c>
      <c r="D71" t="s">
        <v>698</v>
      </c>
      <c r="E71" t="s">
        <v>699</v>
      </c>
      <c r="F71" t="s">
        <v>700</v>
      </c>
      <c r="G71" t="s">
        <v>701</v>
      </c>
      <c r="H71" t="s">
        <v>702</v>
      </c>
    </row>
    <row r="72" spans="2:16" ht="15">
      <c r="B72" s="7"/>
      <c r="C72" t="s">
        <v>1931</v>
      </c>
      <c r="D72" t="s">
        <v>1932</v>
      </c>
      <c r="E72" t="s">
        <v>1917</v>
      </c>
      <c r="F72" t="s">
        <v>1914</v>
      </c>
      <c r="G72" t="s">
        <v>707</v>
      </c>
      <c r="H72" t="s">
        <v>1930</v>
      </c>
    </row>
    <row r="73" spans="2:16" ht="15">
      <c r="B73" s="1">
        <v>37</v>
      </c>
      <c r="C73" t="str">
        <f ca="1">IFERROR(__xludf.DUMMYFUNCTION((TRANSPOSE(ImportHTML("http://spending.data.al/sq/moneypower/view/id/37/year/2011", "table", 0)))),"*Kategoria*")</f>
        <v>*Kategoria*</v>
      </c>
      <c r="D73" t="s">
        <v>673</v>
      </c>
      <c r="E73" t="s">
        <v>674</v>
      </c>
      <c r="F73" t="s">
        <v>675</v>
      </c>
      <c r="G73" t="s">
        <v>676</v>
      </c>
      <c r="H73" t="s">
        <v>677</v>
      </c>
      <c r="I73" t="s">
        <v>678</v>
      </c>
      <c r="J73" t="s">
        <v>679</v>
      </c>
      <c r="K73" t="s">
        <v>680</v>
      </c>
      <c r="L73" t="s">
        <v>681</v>
      </c>
      <c r="M73" t="s">
        <v>682</v>
      </c>
      <c r="N73" t="s">
        <v>683</v>
      </c>
      <c r="O73" t="s">
        <v>684</v>
      </c>
      <c r="P73" t="s">
        <v>685</v>
      </c>
    </row>
    <row r="74" spans="2:16" ht="15">
      <c r="B74" s="7"/>
      <c r="C74" t="s">
        <v>686</v>
      </c>
      <c r="D74" t="s">
        <v>1933</v>
      </c>
      <c r="E74" t="s">
        <v>688</v>
      </c>
      <c r="F74" t="s">
        <v>1934</v>
      </c>
      <c r="G74" t="s">
        <v>688</v>
      </c>
      <c r="H74" t="s">
        <v>688</v>
      </c>
      <c r="I74" t="s">
        <v>688</v>
      </c>
      <c r="J74" t="s">
        <v>688</v>
      </c>
      <c r="K74" t="s">
        <v>688</v>
      </c>
      <c r="L74" t="s">
        <v>688</v>
      </c>
      <c r="M74" t="s">
        <v>1935</v>
      </c>
      <c r="N74" t="s">
        <v>688</v>
      </c>
      <c r="O74" s="4">
        <v>1.22</v>
      </c>
      <c r="P74" t="s">
        <v>688</v>
      </c>
    </row>
    <row r="75" spans="2:16" ht="15">
      <c r="B75" s="1">
        <v>38</v>
      </c>
      <c r="C75" t="str">
        <f ca="1">IFERROR(__xludf.DUMMYFUNCTION((TRANSPOSE(ImportHTML("http://spending.data.al/sq/moneypower/view/id/38/year/2011", "table", 0)))),"*Kategoria*")</f>
        <v>*Kategoria*</v>
      </c>
      <c r="D75" t="s">
        <v>673</v>
      </c>
      <c r="E75" t="s">
        <v>674</v>
      </c>
      <c r="F75" t="s">
        <v>675</v>
      </c>
      <c r="G75" t="s">
        <v>676</v>
      </c>
      <c r="H75" t="s">
        <v>677</v>
      </c>
      <c r="I75" t="s">
        <v>678</v>
      </c>
      <c r="J75" t="s">
        <v>679</v>
      </c>
      <c r="K75" t="s">
        <v>680</v>
      </c>
      <c r="L75" t="s">
        <v>681</v>
      </c>
      <c r="M75" t="s">
        <v>682</v>
      </c>
      <c r="N75" t="s">
        <v>683</v>
      </c>
      <c r="O75" t="s">
        <v>684</v>
      </c>
      <c r="P75" t="s">
        <v>685</v>
      </c>
    </row>
    <row r="76" spans="2:16" ht="15">
      <c r="B76" s="7"/>
      <c r="C76" t="s">
        <v>686</v>
      </c>
      <c r="D76" t="s">
        <v>1936</v>
      </c>
      <c r="E76" t="s">
        <v>688</v>
      </c>
      <c r="F76" t="s">
        <v>1937</v>
      </c>
      <c r="G76" t="s">
        <v>688</v>
      </c>
      <c r="H76" t="s">
        <v>688</v>
      </c>
      <c r="I76" t="s">
        <v>688</v>
      </c>
      <c r="J76" t="s">
        <v>688</v>
      </c>
      <c r="K76" t="s">
        <v>688</v>
      </c>
      <c r="L76" t="s">
        <v>688</v>
      </c>
      <c r="M76" t="s">
        <v>1938</v>
      </c>
      <c r="N76" t="s">
        <v>688</v>
      </c>
      <c r="O76" s="4">
        <v>1.1299999999999999</v>
      </c>
      <c r="P76" t="s">
        <v>688</v>
      </c>
    </row>
    <row r="77" spans="2:16" ht="15">
      <c r="B77" s="1">
        <v>39</v>
      </c>
      <c r="C77" t="str">
        <f ca="1">IFERROR(__xludf.DUMMYFUNCTION((TRANSPOSE(ImportHTML("http://spending.data.al/sq/moneypower/view/id/39/year/2011", "table", 0)))),"*Kategoria*")</f>
        <v>*Kategoria*</v>
      </c>
      <c r="D77" t="s">
        <v>673</v>
      </c>
      <c r="E77" t="s">
        <v>674</v>
      </c>
      <c r="F77" t="s">
        <v>675</v>
      </c>
      <c r="G77" t="s">
        <v>676</v>
      </c>
      <c r="H77" t="s">
        <v>677</v>
      </c>
      <c r="I77" t="s">
        <v>678</v>
      </c>
      <c r="J77" t="s">
        <v>679</v>
      </c>
      <c r="K77" t="s">
        <v>680</v>
      </c>
      <c r="L77" t="s">
        <v>681</v>
      </c>
      <c r="M77" t="s">
        <v>682</v>
      </c>
      <c r="N77" t="s">
        <v>683</v>
      </c>
      <c r="O77" t="s">
        <v>684</v>
      </c>
      <c r="P77" t="s">
        <v>685</v>
      </c>
    </row>
    <row r="78" spans="2:16" ht="15">
      <c r="B78" s="7"/>
      <c r="C78" t="s">
        <v>686</v>
      </c>
      <c r="D78" t="s">
        <v>1939</v>
      </c>
      <c r="E78" t="s">
        <v>688</v>
      </c>
      <c r="F78" t="s">
        <v>688</v>
      </c>
      <c r="G78" t="s">
        <v>688</v>
      </c>
      <c r="H78" t="s">
        <v>688</v>
      </c>
      <c r="I78" t="s">
        <v>688</v>
      </c>
      <c r="J78" t="s">
        <v>688</v>
      </c>
      <c r="K78" t="s">
        <v>688</v>
      </c>
      <c r="L78" t="s">
        <v>688</v>
      </c>
      <c r="M78" t="s">
        <v>688</v>
      </c>
      <c r="N78" t="s">
        <v>688</v>
      </c>
      <c r="O78" s="4">
        <v>1</v>
      </c>
      <c r="P78" t="s">
        <v>1940</v>
      </c>
    </row>
    <row r="79" spans="2:16" ht="15">
      <c r="B79" s="1">
        <v>40</v>
      </c>
      <c r="C79" t="str">
        <f ca="1">IFERROR(__xludf.DUMMYFUNCTION((TRANSPOSE(ImportHTML("http://spending.data.al/sq/moneypower/view/id/40/year/2011", "table", 0)))),"*Kategoria*")</f>
        <v>*Kategoria*</v>
      </c>
      <c r="D79" t="s">
        <v>673</v>
      </c>
      <c r="E79" t="s">
        <v>674</v>
      </c>
      <c r="F79" t="s">
        <v>675</v>
      </c>
      <c r="G79" t="s">
        <v>676</v>
      </c>
      <c r="H79" t="s">
        <v>677</v>
      </c>
      <c r="I79" t="s">
        <v>678</v>
      </c>
      <c r="J79" t="s">
        <v>679</v>
      </c>
      <c r="K79" t="s">
        <v>680</v>
      </c>
      <c r="L79" t="s">
        <v>681</v>
      </c>
      <c r="M79" t="s">
        <v>682</v>
      </c>
      <c r="N79" t="s">
        <v>683</v>
      </c>
      <c r="O79" t="s">
        <v>684</v>
      </c>
      <c r="P79" t="s">
        <v>685</v>
      </c>
    </row>
    <row r="80" spans="2:16" ht="15">
      <c r="B80" s="7"/>
      <c r="C80" t="s">
        <v>686</v>
      </c>
      <c r="D80" t="s">
        <v>1941</v>
      </c>
      <c r="E80" t="s">
        <v>1942</v>
      </c>
      <c r="F80" t="s">
        <v>1943</v>
      </c>
      <c r="G80" t="s">
        <v>688</v>
      </c>
      <c r="H80" t="s">
        <v>688</v>
      </c>
      <c r="I80" t="s">
        <v>688</v>
      </c>
      <c r="J80" t="s">
        <v>688</v>
      </c>
      <c r="K80" t="s">
        <v>688</v>
      </c>
      <c r="L80" t="s">
        <v>688</v>
      </c>
      <c r="M80" t="s">
        <v>1944</v>
      </c>
      <c r="N80" t="s">
        <v>688</v>
      </c>
      <c r="O80" s="4">
        <v>1.1000000000000001</v>
      </c>
      <c r="P80" t="s">
        <v>1945</v>
      </c>
    </row>
    <row r="81" spans="2:16" ht="15">
      <c r="B81" s="1">
        <v>41</v>
      </c>
      <c r="C81" t="str">
        <f ca="1">IFERROR(__xludf.DUMMYFUNCTION((TRANSPOSE(ImportHTML("http://spending.data.al/sq/moneypower/view/id/41/year/2011", "table", 0)))),"*Emër Subjekti*")</f>
        <v>*Emër Subjekti*</v>
      </c>
      <c r="D81" t="s">
        <v>698</v>
      </c>
      <c r="E81" t="s">
        <v>699</v>
      </c>
      <c r="F81" t="s">
        <v>700</v>
      </c>
      <c r="G81" t="s">
        <v>701</v>
      </c>
      <c r="H81" t="s">
        <v>702</v>
      </c>
    </row>
    <row r="82" spans="2:16" ht="15">
      <c r="B82" s="7"/>
      <c r="C82" t="s">
        <v>1946</v>
      </c>
      <c r="D82" t="s">
        <v>1947</v>
      </c>
      <c r="E82" t="s">
        <v>1917</v>
      </c>
      <c r="F82" t="s">
        <v>1914</v>
      </c>
      <c r="G82" t="s">
        <v>707</v>
      </c>
      <c r="H82" t="s">
        <v>688</v>
      </c>
    </row>
    <row r="83" spans="2:16" ht="15">
      <c r="B83" s="1">
        <v>42</v>
      </c>
      <c r="C83" t="str">
        <f ca="1">IFERROR(__xludf.DUMMYFUNCTION((TRANSPOSE(ImportHTML("http://spending.data.al/sq/moneypower/view/id/42/year/2011", "table", 0)))),"*Kategoria*")</f>
        <v>*Kategoria*</v>
      </c>
      <c r="D83" t="s">
        <v>673</v>
      </c>
      <c r="E83" t="s">
        <v>674</v>
      </c>
      <c r="F83" t="s">
        <v>675</v>
      </c>
      <c r="G83" t="s">
        <v>676</v>
      </c>
      <c r="H83" t="s">
        <v>677</v>
      </c>
      <c r="I83" t="s">
        <v>678</v>
      </c>
      <c r="J83" t="s">
        <v>679</v>
      </c>
      <c r="K83" t="s">
        <v>680</v>
      </c>
      <c r="L83" t="s">
        <v>681</v>
      </c>
      <c r="M83" t="s">
        <v>682</v>
      </c>
      <c r="N83" t="s">
        <v>683</v>
      </c>
      <c r="O83" t="s">
        <v>684</v>
      </c>
      <c r="P83" t="s">
        <v>685</v>
      </c>
    </row>
    <row r="84" spans="2:16" ht="15">
      <c r="B84" s="7"/>
      <c r="C84" t="s">
        <v>686</v>
      </c>
      <c r="D84" t="s">
        <v>1948</v>
      </c>
      <c r="E84" t="s">
        <v>1949</v>
      </c>
      <c r="F84" t="s">
        <v>1950</v>
      </c>
      <c r="G84" t="s">
        <v>1951</v>
      </c>
      <c r="H84" t="s">
        <v>688</v>
      </c>
      <c r="I84" t="s">
        <v>688</v>
      </c>
      <c r="J84" t="s">
        <v>688</v>
      </c>
      <c r="K84" t="s">
        <v>688</v>
      </c>
      <c r="L84" t="s">
        <v>688</v>
      </c>
      <c r="M84" t="s">
        <v>1952</v>
      </c>
      <c r="N84" t="s">
        <v>688</v>
      </c>
      <c r="O84" s="4">
        <v>3.07</v>
      </c>
      <c r="P84" t="s">
        <v>1953</v>
      </c>
    </row>
    <row r="85" spans="2:16" ht="15">
      <c r="B85" s="1">
        <v>43</v>
      </c>
      <c r="C85" t="str">
        <f ca="1">IFERROR(__xludf.DUMMYFUNCTION((TRANSPOSE(ImportHTML("http://spending.data.al/sq/moneypower/view/id/43/year/2011", "table", 0)))),"*Kategoria*")</f>
        <v>*Kategoria*</v>
      </c>
      <c r="D85" t="s">
        <v>673</v>
      </c>
      <c r="E85" t="s">
        <v>674</v>
      </c>
      <c r="F85" t="s">
        <v>675</v>
      </c>
      <c r="G85" t="s">
        <v>676</v>
      </c>
      <c r="H85" t="s">
        <v>677</v>
      </c>
      <c r="I85" t="s">
        <v>678</v>
      </c>
      <c r="J85" t="s">
        <v>679</v>
      </c>
      <c r="K85" t="s">
        <v>680</v>
      </c>
      <c r="L85" t="s">
        <v>681</v>
      </c>
      <c r="M85" t="s">
        <v>682</v>
      </c>
      <c r="N85" t="s">
        <v>683</v>
      </c>
      <c r="O85" t="s">
        <v>684</v>
      </c>
      <c r="P85" t="s">
        <v>685</v>
      </c>
    </row>
    <row r="86" spans="2:16" ht="15">
      <c r="B86" s="7"/>
      <c r="C86" t="s">
        <v>686</v>
      </c>
      <c r="D86" t="s">
        <v>1954</v>
      </c>
      <c r="E86" t="s">
        <v>1955</v>
      </c>
      <c r="F86" t="s">
        <v>1956</v>
      </c>
      <c r="G86" t="s">
        <v>688</v>
      </c>
      <c r="H86" t="s">
        <v>1957</v>
      </c>
      <c r="I86" t="s">
        <v>688</v>
      </c>
      <c r="J86" t="s">
        <v>688</v>
      </c>
      <c r="K86" t="s">
        <v>688</v>
      </c>
      <c r="L86" t="s">
        <v>688</v>
      </c>
      <c r="M86" t="s">
        <v>1958</v>
      </c>
      <c r="N86" t="s">
        <v>688</v>
      </c>
      <c r="O86" s="4">
        <v>1.45</v>
      </c>
      <c r="P86" t="s">
        <v>688</v>
      </c>
    </row>
    <row r="87" spans="2:16" ht="15">
      <c r="B87" s="1">
        <v>44</v>
      </c>
      <c r="C87" t="str">
        <f ca="1">IFERROR(__xludf.DUMMYFUNCTION((TRANSPOSE(ImportHTML("http://spending.data.al/sq/moneypower/view/id/44/year/2011", "table", 0)))),"*Kategoria*")</f>
        <v>*Kategoria*</v>
      </c>
      <c r="D87" t="s">
        <v>673</v>
      </c>
      <c r="E87" t="s">
        <v>674</v>
      </c>
      <c r="F87" t="s">
        <v>675</v>
      </c>
      <c r="G87" t="s">
        <v>676</v>
      </c>
      <c r="H87" t="s">
        <v>677</v>
      </c>
      <c r="I87" t="s">
        <v>678</v>
      </c>
      <c r="J87" t="s">
        <v>679</v>
      </c>
      <c r="K87" t="s">
        <v>680</v>
      </c>
      <c r="L87" t="s">
        <v>681</v>
      </c>
      <c r="M87" t="s">
        <v>682</v>
      </c>
      <c r="N87" t="s">
        <v>683</v>
      </c>
      <c r="O87" t="s">
        <v>684</v>
      </c>
      <c r="P87" t="s">
        <v>685</v>
      </c>
    </row>
    <row r="88" spans="2:16" ht="15">
      <c r="B88" s="7"/>
      <c r="C88" t="s">
        <v>686</v>
      </c>
      <c r="D88" t="s">
        <v>1959</v>
      </c>
      <c r="E88" t="s">
        <v>1960</v>
      </c>
      <c r="F88" t="s">
        <v>1961</v>
      </c>
      <c r="G88" t="s">
        <v>1962</v>
      </c>
      <c r="H88" t="s">
        <v>688</v>
      </c>
      <c r="I88" t="s">
        <v>688</v>
      </c>
      <c r="J88" t="s">
        <v>688</v>
      </c>
      <c r="K88" t="s">
        <v>688</v>
      </c>
      <c r="L88" t="s">
        <v>688</v>
      </c>
      <c r="M88" t="s">
        <v>1963</v>
      </c>
      <c r="N88" t="s">
        <v>688</v>
      </c>
      <c r="O88" s="4">
        <v>6.09</v>
      </c>
      <c r="P88" t="s">
        <v>688</v>
      </c>
    </row>
    <row r="89" spans="2:16" ht="15">
      <c r="B89" s="1">
        <v>45</v>
      </c>
      <c r="C89" t="str">
        <f ca="1">IFERROR(__xludf.DUMMYFUNCTION((TRANSPOSE(ImportHTML("http://spending.data.al/sq/moneypower/view/id/45/year/2011", "table", 0)))),"*Kategoria*")</f>
        <v>*Kategoria*</v>
      </c>
      <c r="D89" t="s">
        <v>673</v>
      </c>
      <c r="E89" t="s">
        <v>674</v>
      </c>
      <c r="F89" t="s">
        <v>675</v>
      </c>
      <c r="G89" t="s">
        <v>676</v>
      </c>
      <c r="H89" t="s">
        <v>677</v>
      </c>
      <c r="I89" t="s">
        <v>678</v>
      </c>
      <c r="J89" t="s">
        <v>679</v>
      </c>
      <c r="K89" t="s">
        <v>680</v>
      </c>
      <c r="L89" t="s">
        <v>681</v>
      </c>
      <c r="M89" t="s">
        <v>682</v>
      </c>
      <c r="N89" t="s">
        <v>683</v>
      </c>
      <c r="O89" t="s">
        <v>684</v>
      </c>
      <c r="P89" t="s">
        <v>685</v>
      </c>
    </row>
    <row r="90" spans="2:16" thickBot="1">
      <c r="B90" s="7"/>
      <c r="C90" t="s">
        <v>686</v>
      </c>
      <c r="D90" t="s">
        <v>1964</v>
      </c>
      <c r="E90" t="s">
        <v>688</v>
      </c>
      <c r="F90" t="s">
        <v>688</v>
      </c>
      <c r="G90" t="s">
        <v>688</v>
      </c>
      <c r="H90" t="s">
        <v>688</v>
      </c>
      <c r="I90" t="s">
        <v>1965</v>
      </c>
      <c r="J90" t="s">
        <v>688</v>
      </c>
      <c r="K90" t="s">
        <v>688</v>
      </c>
      <c r="L90" t="s">
        <v>688</v>
      </c>
      <c r="M90" t="s">
        <v>1966</v>
      </c>
      <c r="N90" t="s">
        <v>688</v>
      </c>
      <c r="O90" s="4">
        <v>2.2000000000000002</v>
      </c>
      <c r="P90" t="s">
        <v>688</v>
      </c>
    </row>
    <row r="91" spans="2:16" ht="48.75" thickBot="1">
      <c r="B91" s="1">
        <v>46</v>
      </c>
      <c r="C91" s="26" t="s">
        <v>4436</v>
      </c>
      <c r="D91" s="28" t="s">
        <v>4437</v>
      </c>
      <c r="E91" s="30" t="s">
        <v>4438</v>
      </c>
      <c r="F91" s="28" t="s">
        <v>4439</v>
      </c>
      <c r="G91" s="30" t="s">
        <v>4440</v>
      </c>
      <c r="H91" s="28" t="s">
        <v>4441</v>
      </c>
      <c r="O91" s="4"/>
    </row>
    <row r="92" spans="2:16" ht="24.75" thickBot="1">
      <c r="C92" s="27" t="s">
        <v>4315</v>
      </c>
      <c r="D92" s="29" t="s">
        <v>4316</v>
      </c>
      <c r="E92" s="31" t="s">
        <v>705</v>
      </c>
      <c r="F92" s="29" t="s">
        <v>706</v>
      </c>
      <c r="G92" s="31" t="s">
        <v>707</v>
      </c>
      <c r="H92" s="29" t="s">
        <v>1918</v>
      </c>
    </row>
    <row r="93" spans="2:16" ht="15">
      <c r="B93" s="1">
        <v>47</v>
      </c>
      <c r="C93" t="str">
        <f ca="1">IFERROR(__xludf.DUMMYFUNCTION((TRANSPOSE(ImportHTML("http://spending.data.al/sq/moneypower/view/id/47/year/2011", "table", 0)))),"*Kategoria*")</f>
        <v>*Kategoria*</v>
      </c>
      <c r="I93" t="s">
        <v>678</v>
      </c>
      <c r="J93" t="s">
        <v>679</v>
      </c>
      <c r="K93" t="s">
        <v>680</v>
      </c>
      <c r="L93" t="s">
        <v>681</v>
      </c>
      <c r="M93" t="s">
        <v>682</v>
      </c>
      <c r="N93" t="s">
        <v>683</v>
      </c>
      <c r="O93" t="s">
        <v>684</v>
      </c>
      <c r="P93" t="s">
        <v>685</v>
      </c>
    </row>
    <row r="94" spans="2:16" ht="15">
      <c r="B94" s="7"/>
      <c r="C94" t="s">
        <v>686</v>
      </c>
      <c r="D94" t="s">
        <v>1967</v>
      </c>
      <c r="E94" t="s">
        <v>688</v>
      </c>
      <c r="F94" t="s">
        <v>688</v>
      </c>
      <c r="G94" t="s">
        <v>688</v>
      </c>
      <c r="H94" t="s">
        <v>688</v>
      </c>
      <c r="I94" t="s">
        <v>688</v>
      </c>
      <c r="J94" t="s">
        <v>688</v>
      </c>
      <c r="K94" t="s">
        <v>688</v>
      </c>
      <c r="L94" t="s">
        <v>688</v>
      </c>
      <c r="M94" t="s">
        <v>1968</v>
      </c>
      <c r="N94" t="s">
        <v>688</v>
      </c>
      <c r="O94" s="4">
        <v>1</v>
      </c>
      <c r="P94" t="s">
        <v>1969</v>
      </c>
    </row>
    <row r="95" spans="2:16" ht="15">
      <c r="B95" s="1">
        <v>48</v>
      </c>
      <c r="C95" t="str">
        <f ca="1">IFERROR(__xludf.DUMMYFUNCTION((TRANSPOSE(ImportHTML("http://spending.data.al/sq/moneypower/view/id/48/year/2011", "table", 0)))),"*Kategoria*")</f>
        <v>*Kategoria*</v>
      </c>
      <c r="D95" t="s">
        <v>673</v>
      </c>
      <c r="E95" t="s">
        <v>674</v>
      </c>
      <c r="F95" t="s">
        <v>675</v>
      </c>
      <c r="G95" t="s">
        <v>676</v>
      </c>
      <c r="H95" t="s">
        <v>677</v>
      </c>
      <c r="I95" t="s">
        <v>678</v>
      </c>
      <c r="J95" t="s">
        <v>679</v>
      </c>
      <c r="K95" t="s">
        <v>680</v>
      </c>
      <c r="L95" t="s">
        <v>681</v>
      </c>
      <c r="M95" t="s">
        <v>682</v>
      </c>
      <c r="N95" t="s">
        <v>683</v>
      </c>
      <c r="O95" t="s">
        <v>684</v>
      </c>
      <c r="P95" t="s">
        <v>685</v>
      </c>
    </row>
    <row r="96" spans="2:16" ht="15">
      <c r="B96" s="7"/>
      <c r="C96" t="s">
        <v>686</v>
      </c>
      <c r="D96" t="s">
        <v>1970</v>
      </c>
      <c r="E96" t="s">
        <v>688</v>
      </c>
      <c r="F96" t="s">
        <v>688</v>
      </c>
      <c r="G96" t="s">
        <v>688</v>
      </c>
      <c r="H96" t="s">
        <v>1971</v>
      </c>
      <c r="I96" t="s">
        <v>688</v>
      </c>
      <c r="J96" t="s">
        <v>688</v>
      </c>
      <c r="K96" t="s">
        <v>688</v>
      </c>
      <c r="L96" t="s">
        <v>688</v>
      </c>
      <c r="M96" t="s">
        <v>1972</v>
      </c>
      <c r="N96" t="s">
        <v>688</v>
      </c>
      <c r="O96" s="4">
        <v>2.64</v>
      </c>
      <c r="P96" t="s">
        <v>688</v>
      </c>
    </row>
    <row r="97" spans="2:16" ht="15">
      <c r="B97" s="1">
        <v>49</v>
      </c>
      <c r="C97" t="str">
        <f ca="1">IFERROR(__xludf.DUMMYFUNCTION((TRANSPOSE(ImportHTML("http://spending.data.al/sq/moneypower/view/id/49/year/2011", "table", 0)))),"*Emër Subjekti*")</f>
        <v>*Emër Subjekti*</v>
      </c>
      <c r="D97" t="s">
        <v>698</v>
      </c>
      <c r="E97" t="s">
        <v>699</v>
      </c>
      <c r="F97" t="s">
        <v>700</v>
      </c>
      <c r="G97" t="s">
        <v>701</v>
      </c>
      <c r="H97" t="s">
        <v>702</v>
      </c>
    </row>
    <row r="98" spans="2:16" ht="15">
      <c r="B98" s="7"/>
      <c r="C98" t="s">
        <v>1973</v>
      </c>
      <c r="D98" t="s">
        <v>1974</v>
      </c>
      <c r="E98" t="s">
        <v>1910</v>
      </c>
      <c r="F98" t="s">
        <v>1914</v>
      </c>
      <c r="G98" t="s">
        <v>707</v>
      </c>
      <c r="H98" t="s">
        <v>1975</v>
      </c>
    </row>
    <row r="99" spans="2:16" ht="15">
      <c r="B99" s="1">
        <v>50</v>
      </c>
      <c r="C99" t="str">
        <f ca="1">IFERROR(__xludf.DUMMYFUNCTION((TRANSPOSE(ImportHTML("http://spending.data.al/sq/moneypower/view/id/50/year/2011", "table", 0)))),"*Kategoria*")</f>
        <v>*Kategoria*</v>
      </c>
      <c r="D99" t="s">
        <v>673</v>
      </c>
      <c r="E99" t="s">
        <v>674</v>
      </c>
      <c r="F99" t="s">
        <v>675</v>
      </c>
      <c r="G99" t="s">
        <v>676</v>
      </c>
      <c r="H99" t="s">
        <v>677</v>
      </c>
      <c r="I99" t="s">
        <v>678</v>
      </c>
      <c r="J99" t="s">
        <v>679</v>
      </c>
      <c r="K99" t="s">
        <v>680</v>
      </c>
      <c r="L99" t="s">
        <v>681</v>
      </c>
      <c r="M99" t="s">
        <v>682</v>
      </c>
      <c r="N99" t="s">
        <v>683</v>
      </c>
      <c r="O99" t="s">
        <v>684</v>
      </c>
      <c r="P99" t="s">
        <v>685</v>
      </c>
    </row>
    <row r="100" spans="2:16" ht="15">
      <c r="B100" s="7"/>
      <c r="C100" t="s">
        <v>686</v>
      </c>
      <c r="D100" t="s">
        <v>1976</v>
      </c>
      <c r="E100" t="s">
        <v>1977</v>
      </c>
      <c r="F100" t="s">
        <v>1978</v>
      </c>
      <c r="G100" t="s">
        <v>688</v>
      </c>
      <c r="H100" t="s">
        <v>688</v>
      </c>
      <c r="I100" t="s">
        <v>688</v>
      </c>
      <c r="J100" t="s">
        <v>688</v>
      </c>
      <c r="K100" t="s">
        <v>688</v>
      </c>
      <c r="L100" t="s">
        <v>688</v>
      </c>
      <c r="M100" t="s">
        <v>1979</v>
      </c>
      <c r="N100" t="s">
        <v>688</v>
      </c>
      <c r="O100" s="4">
        <v>1.1200000000000001</v>
      </c>
      <c r="P100" t="s">
        <v>1980</v>
      </c>
    </row>
    <row r="101" spans="2:16" ht="15">
      <c r="B101" s="1">
        <v>51</v>
      </c>
      <c r="C101" t="str">
        <f ca="1">IFERROR(__xludf.DUMMYFUNCTION((TRANSPOSE(ImportHTML("http://spending.data.al/sq/moneypower/view/id/51/year/2011", "table", 0)))),"*Kategoria*")</f>
        <v>*Kategoria*</v>
      </c>
      <c r="D101" t="s">
        <v>673</v>
      </c>
      <c r="E101" t="s">
        <v>674</v>
      </c>
      <c r="F101" t="s">
        <v>675</v>
      </c>
      <c r="G101" t="s">
        <v>676</v>
      </c>
      <c r="H101" t="s">
        <v>677</v>
      </c>
      <c r="I101" t="s">
        <v>678</v>
      </c>
      <c r="J101" t="s">
        <v>679</v>
      </c>
      <c r="K101" t="s">
        <v>680</v>
      </c>
      <c r="L101" t="s">
        <v>681</v>
      </c>
      <c r="M101" t="s">
        <v>682</v>
      </c>
      <c r="N101" t="s">
        <v>683</v>
      </c>
      <c r="O101" t="s">
        <v>684</v>
      </c>
      <c r="P101" t="s">
        <v>685</v>
      </c>
    </row>
    <row r="102" spans="2:16" ht="15">
      <c r="B102" s="7"/>
      <c r="C102" t="s">
        <v>686</v>
      </c>
      <c r="D102" t="s">
        <v>1981</v>
      </c>
      <c r="E102" t="s">
        <v>1982</v>
      </c>
      <c r="F102" t="s">
        <v>1983</v>
      </c>
      <c r="G102" t="s">
        <v>688</v>
      </c>
      <c r="H102" t="s">
        <v>688</v>
      </c>
      <c r="I102" t="s">
        <v>688</v>
      </c>
      <c r="J102" t="s">
        <v>688</v>
      </c>
      <c r="K102" t="s">
        <v>688</v>
      </c>
      <c r="L102" t="s">
        <v>688</v>
      </c>
      <c r="M102" t="s">
        <v>1984</v>
      </c>
      <c r="N102" t="s">
        <v>688</v>
      </c>
      <c r="O102" s="4">
        <v>1.67</v>
      </c>
      <c r="P102" t="s">
        <v>688</v>
      </c>
    </row>
    <row r="103" spans="2:16" ht="15">
      <c r="B103" s="1">
        <v>52</v>
      </c>
      <c r="C103" t="str">
        <f ca="1">IFERROR(__xludf.DUMMYFUNCTION((TRANSPOSE(ImportHTML("http://spending.data.al/sq/moneypower/view/id/52/year/2011", "table", 0)))),"*Kategoria*")</f>
        <v>*Kategoria*</v>
      </c>
      <c r="D103" t="s">
        <v>673</v>
      </c>
      <c r="E103" t="s">
        <v>674</v>
      </c>
      <c r="F103" t="s">
        <v>675</v>
      </c>
      <c r="G103" t="s">
        <v>676</v>
      </c>
      <c r="H103" t="s">
        <v>677</v>
      </c>
      <c r="I103" t="s">
        <v>678</v>
      </c>
      <c r="J103" t="s">
        <v>679</v>
      </c>
      <c r="K103" t="s">
        <v>680</v>
      </c>
      <c r="L103" t="s">
        <v>681</v>
      </c>
      <c r="M103" t="s">
        <v>682</v>
      </c>
      <c r="N103" t="s">
        <v>683</v>
      </c>
      <c r="O103" t="s">
        <v>684</v>
      </c>
      <c r="P103" t="s">
        <v>685</v>
      </c>
    </row>
    <row r="104" spans="2:16" ht="15">
      <c r="B104" s="7"/>
      <c r="C104" t="s">
        <v>686</v>
      </c>
      <c r="D104" t="s">
        <v>1985</v>
      </c>
      <c r="E104" t="s">
        <v>688</v>
      </c>
      <c r="F104" t="s">
        <v>1986</v>
      </c>
      <c r="G104" t="s">
        <v>688</v>
      </c>
      <c r="H104" t="s">
        <v>688</v>
      </c>
      <c r="I104" t="s">
        <v>688</v>
      </c>
      <c r="J104" t="s">
        <v>688</v>
      </c>
      <c r="K104" t="s">
        <v>688</v>
      </c>
      <c r="L104" t="s">
        <v>688</v>
      </c>
      <c r="M104" t="s">
        <v>1987</v>
      </c>
      <c r="N104" t="s">
        <v>688</v>
      </c>
      <c r="O104" s="4">
        <v>1.2</v>
      </c>
      <c r="P104" t="s">
        <v>688</v>
      </c>
    </row>
    <row r="105" spans="2:16" ht="15">
      <c r="B105" s="1">
        <v>53</v>
      </c>
      <c r="C105" t="str">
        <f ca="1">IFERROR(__xludf.DUMMYFUNCTION((TRANSPOSE(ImportHTML("http://spending.data.al/sq/moneypower/view/id/53/year/2011", "table", 0)))),"*Kategoria*")</f>
        <v>*Kategoria*</v>
      </c>
      <c r="D105" t="s">
        <v>673</v>
      </c>
      <c r="E105" t="s">
        <v>674</v>
      </c>
      <c r="F105" t="s">
        <v>675</v>
      </c>
      <c r="G105" t="s">
        <v>676</v>
      </c>
      <c r="H105" t="s">
        <v>677</v>
      </c>
      <c r="I105" t="s">
        <v>678</v>
      </c>
      <c r="J105" t="s">
        <v>679</v>
      </c>
      <c r="K105" t="s">
        <v>680</v>
      </c>
      <c r="L105" t="s">
        <v>681</v>
      </c>
      <c r="M105" t="s">
        <v>682</v>
      </c>
      <c r="N105" t="s">
        <v>683</v>
      </c>
      <c r="O105" t="s">
        <v>684</v>
      </c>
      <c r="P105" t="s">
        <v>685</v>
      </c>
    </row>
    <row r="106" spans="2:16" ht="15">
      <c r="B106" s="7"/>
      <c r="C106" t="s">
        <v>686</v>
      </c>
      <c r="D106" t="s">
        <v>1988</v>
      </c>
      <c r="E106" t="s">
        <v>688</v>
      </c>
      <c r="F106" t="s">
        <v>1989</v>
      </c>
      <c r="G106" t="s">
        <v>1990</v>
      </c>
      <c r="H106" t="s">
        <v>688</v>
      </c>
      <c r="I106" t="s">
        <v>688</v>
      </c>
      <c r="J106" t="s">
        <v>688</v>
      </c>
      <c r="K106" t="s">
        <v>688</v>
      </c>
      <c r="L106" t="s">
        <v>688</v>
      </c>
      <c r="M106" t="s">
        <v>1991</v>
      </c>
      <c r="N106" t="s">
        <v>688</v>
      </c>
      <c r="O106" s="4">
        <v>1.38</v>
      </c>
      <c r="P106" t="s">
        <v>688</v>
      </c>
    </row>
    <row r="107" spans="2:16" ht="15">
      <c r="B107" s="1">
        <v>54</v>
      </c>
      <c r="C107" t="str">
        <f ca="1">IFERROR(__xludf.DUMMYFUNCTION((TRANSPOSE(ImportHTML("http://spending.data.al/sq/moneypower/view/id/54/year/2011", "table", 0)))),"*Emër Subjekti*")</f>
        <v>*Emër Subjekti*</v>
      </c>
      <c r="D107" t="s">
        <v>698</v>
      </c>
      <c r="E107" t="s">
        <v>699</v>
      </c>
      <c r="F107" t="s">
        <v>700</v>
      </c>
      <c r="G107" t="s">
        <v>701</v>
      </c>
      <c r="H107" t="s">
        <v>702</v>
      </c>
    </row>
    <row r="108" spans="2:16" ht="15">
      <c r="B108" s="7"/>
      <c r="C108" t="s">
        <v>1992</v>
      </c>
      <c r="D108" t="s">
        <v>1993</v>
      </c>
      <c r="E108" t="s">
        <v>1910</v>
      </c>
      <c r="F108" t="s">
        <v>706</v>
      </c>
      <c r="G108" t="s">
        <v>707</v>
      </c>
      <c r="H108" t="s">
        <v>1918</v>
      </c>
    </row>
    <row r="109" spans="2:16" ht="15">
      <c r="B109" s="1">
        <v>55</v>
      </c>
      <c r="C109" t="str">
        <f ca="1">IFERROR(__xludf.DUMMYFUNCTION((TRANSPOSE(ImportHTML("http://spending.data.al/sq/moneypower/view/id/55/year/2011", "table", 0)))),"*Kategoria*")</f>
        <v>*Kategoria*</v>
      </c>
      <c r="D109" t="s">
        <v>673</v>
      </c>
      <c r="E109" t="s">
        <v>674</v>
      </c>
      <c r="F109" t="s">
        <v>675</v>
      </c>
      <c r="G109" t="s">
        <v>676</v>
      </c>
      <c r="H109" t="s">
        <v>677</v>
      </c>
      <c r="I109" t="s">
        <v>678</v>
      </c>
      <c r="J109" t="s">
        <v>679</v>
      </c>
      <c r="K109" t="s">
        <v>680</v>
      </c>
      <c r="L109" t="s">
        <v>681</v>
      </c>
      <c r="M109" t="s">
        <v>682</v>
      </c>
      <c r="N109" t="s">
        <v>683</v>
      </c>
      <c r="O109" t="s">
        <v>684</v>
      </c>
      <c r="P109" t="s">
        <v>685</v>
      </c>
    </row>
    <row r="110" spans="2:16" ht="15">
      <c r="B110" s="7"/>
      <c r="C110" t="s">
        <v>686</v>
      </c>
      <c r="D110" t="s">
        <v>1994</v>
      </c>
      <c r="E110" t="s">
        <v>1995</v>
      </c>
      <c r="F110" t="s">
        <v>1996</v>
      </c>
      <c r="G110" t="s">
        <v>688</v>
      </c>
      <c r="H110" t="s">
        <v>688</v>
      </c>
      <c r="I110" t="s">
        <v>688</v>
      </c>
      <c r="J110" t="s">
        <v>688</v>
      </c>
      <c r="K110" t="s">
        <v>688</v>
      </c>
      <c r="L110" t="s">
        <v>688</v>
      </c>
      <c r="M110" t="s">
        <v>688</v>
      </c>
      <c r="N110" t="s">
        <v>688</v>
      </c>
      <c r="O110" s="4">
        <v>1.0900000000000001</v>
      </c>
      <c r="P110" t="s">
        <v>1997</v>
      </c>
    </row>
    <row r="111" spans="2:16" ht="15">
      <c r="B111" s="1">
        <v>56</v>
      </c>
      <c r="C111" t="str">
        <f ca="1">IFERROR(__xludf.DUMMYFUNCTION((TRANSPOSE(ImportHTML("http://spending.data.al/sq/moneypower/view/id/56/year/2011", "table", 0)))),"*Kategoria*")</f>
        <v>*Kategoria*</v>
      </c>
      <c r="D111" t="s">
        <v>673</v>
      </c>
      <c r="E111" t="s">
        <v>674</v>
      </c>
      <c r="F111" t="s">
        <v>675</v>
      </c>
      <c r="G111" t="s">
        <v>676</v>
      </c>
      <c r="H111" t="s">
        <v>677</v>
      </c>
      <c r="I111" t="s">
        <v>678</v>
      </c>
      <c r="J111" t="s">
        <v>679</v>
      </c>
      <c r="K111" t="s">
        <v>680</v>
      </c>
      <c r="L111" t="s">
        <v>681</v>
      </c>
      <c r="M111" t="s">
        <v>682</v>
      </c>
      <c r="N111" t="s">
        <v>683</v>
      </c>
      <c r="O111" t="s">
        <v>684</v>
      </c>
      <c r="P111" t="s">
        <v>685</v>
      </c>
    </row>
    <row r="112" spans="2:16" ht="15">
      <c r="B112" s="7"/>
      <c r="C112" t="s">
        <v>686</v>
      </c>
      <c r="D112" t="s">
        <v>1998</v>
      </c>
      <c r="E112" t="s">
        <v>1999</v>
      </c>
      <c r="F112" t="s">
        <v>2000</v>
      </c>
      <c r="G112" t="s">
        <v>2001</v>
      </c>
      <c r="H112" t="s">
        <v>688</v>
      </c>
      <c r="I112" t="s">
        <v>688</v>
      </c>
      <c r="J112" t="s">
        <v>688</v>
      </c>
      <c r="K112" t="s">
        <v>688</v>
      </c>
      <c r="L112" t="s">
        <v>688</v>
      </c>
      <c r="M112" t="s">
        <v>2002</v>
      </c>
      <c r="N112" t="s">
        <v>688</v>
      </c>
      <c r="O112" s="4">
        <v>1.56</v>
      </c>
      <c r="P112" t="s">
        <v>688</v>
      </c>
    </row>
    <row r="113" spans="2:16" ht="15">
      <c r="B113" s="1">
        <v>57</v>
      </c>
      <c r="C113" t="str">
        <f ca="1">IFERROR(__xludf.DUMMYFUNCTION((TRANSPOSE(ImportHTML("http://spending.data.al/sq/moneypower/view/id/57/year/2011", "table", 0)))),"*Kategoria*")</f>
        <v>*Kategoria*</v>
      </c>
      <c r="D113" t="s">
        <v>673</v>
      </c>
      <c r="E113" t="s">
        <v>674</v>
      </c>
      <c r="F113" t="s">
        <v>675</v>
      </c>
      <c r="G113" t="s">
        <v>676</v>
      </c>
      <c r="H113" t="s">
        <v>677</v>
      </c>
      <c r="I113" t="s">
        <v>678</v>
      </c>
      <c r="J113" t="s">
        <v>679</v>
      </c>
      <c r="K113" t="s">
        <v>680</v>
      </c>
      <c r="L113" t="s">
        <v>681</v>
      </c>
      <c r="M113" t="s">
        <v>682</v>
      </c>
      <c r="N113" t="s">
        <v>683</v>
      </c>
      <c r="O113" t="s">
        <v>684</v>
      </c>
      <c r="P113" t="s">
        <v>685</v>
      </c>
    </row>
    <row r="114" spans="2:16" ht="15">
      <c r="B114" s="7"/>
      <c r="C114" t="s">
        <v>686</v>
      </c>
      <c r="D114" t="s">
        <v>2003</v>
      </c>
      <c r="E114" t="s">
        <v>688</v>
      </c>
      <c r="F114" t="s">
        <v>688</v>
      </c>
      <c r="G114" t="s">
        <v>688</v>
      </c>
      <c r="H114" t="s">
        <v>688</v>
      </c>
      <c r="I114" t="s">
        <v>688</v>
      </c>
      <c r="J114" t="s">
        <v>688</v>
      </c>
      <c r="K114" t="s">
        <v>688</v>
      </c>
      <c r="L114" t="s">
        <v>688</v>
      </c>
      <c r="M114" t="s">
        <v>2004</v>
      </c>
      <c r="N114" t="s">
        <v>688</v>
      </c>
      <c r="O114" s="4">
        <v>1</v>
      </c>
      <c r="P114" t="s">
        <v>688</v>
      </c>
    </row>
    <row r="115" spans="2:16" ht="15">
      <c r="B115" s="1">
        <v>58</v>
      </c>
      <c r="C115" t="str">
        <f ca="1">IFERROR(__xludf.DUMMYFUNCTION((TRANSPOSE(ImportHTML("http://spending.data.al/sq/moneypower/view/id/58/year/2011", "table", 0)))),"*Emër Subjekti*")</f>
        <v>*Emër Subjekti*</v>
      </c>
      <c r="D115" t="s">
        <v>698</v>
      </c>
      <c r="E115" t="s">
        <v>699</v>
      </c>
      <c r="F115" t="s">
        <v>700</v>
      </c>
      <c r="G115" t="s">
        <v>701</v>
      </c>
      <c r="H115" t="s">
        <v>702</v>
      </c>
    </row>
    <row r="116" spans="2:16" ht="15">
      <c r="B116" s="7"/>
      <c r="C116" t="s">
        <v>2005</v>
      </c>
      <c r="D116" t="s">
        <v>2006</v>
      </c>
      <c r="E116" t="s">
        <v>705</v>
      </c>
      <c r="F116" t="s">
        <v>706</v>
      </c>
      <c r="G116" t="s">
        <v>707</v>
      </c>
      <c r="H116" t="s">
        <v>2007</v>
      </c>
    </row>
    <row r="117" spans="2:16" ht="15">
      <c r="B117" s="1">
        <v>59</v>
      </c>
      <c r="C117" t="str">
        <f ca="1">IFERROR(__xludf.DUMMYFUNCTION((TRANSPOSE(ImportHTML("http://spending.data.al/sq/moneypower/view/id/59/year/2011", "table", 0)))),"*Kategoria*")</f>
        <v>*Kategoria*</v>
      </c>
      <c r="D117" t="s">
        <v>673</v>
      </c>
      <c r="E117" t="s">
        <v>674</v>
      </c>
      <c r="F117" t="s">
        <v>675</v>
      </c>
      <c r="G117" t="s">
        <v>676</v>
      </c>
      <c r="H117" t="s">
        <v>677</v>
      </c>
      <c r="I117" t="s">
        <v>678</v>
      </c>
      <c r="J117" t="s">
        <v>679</v>
      </c>
      <c r="K117" t="s">
        <v>680</v>
      </c>
      <c r="L117" t="s">
        <v>681</v>
      </c>
      <c r="M117" t="s">
        <v>682</v>
      </c>
      <c r="N117" t="s">
        <v>683</v>
      </c>
      <c r="O117" t="s">
        <v>684</v>
      </c>
      <c r="P117" t="s">
        <v>685</v>
      </c>
    </row>
    <row r="118" spans="2:16" ht="15">
      <c r="B118" s="7"/>
      <c r="C118" t="s">
        <v>686</v>
      </c>
      <c r="D118" t="s">
        <v>2008</v>
      </c>
      <c r="E118" t="s">
        <v>2009</v>
      </c>
      <c r="F118" t="s">
        <v>2010</v>
      </c>
      <c r="G118" t="s">
        <v>688</v>
      </c>
      <c r="H118" t="s">
        <v>688</v>
      </c>
      <c r="I118" t="s">
        <v>688</v>
      </c>
      <c r="J118" t="s">
        <v>688</v>
      </c>
      <c r="K118" t="s">
        <v>688</v>
      </c>
      <c r="L118" t="s">
        <v>688</v>
      </c>
      <c r="M118" t="s">
        <v>2011</v>
      </c>
      <c r="N118" t="s">
        <v>688</v>
      </c>
      <c r="O118" s="4">
        <v>1.0900000000000001</v>
      </c>
      <c r="P118" t="s">
        <v>2012</v>
      </c>
    </row>
    <row r="119" spans="2:16" ht="15">
      <c r="B119" s="1">
        <v>60</v>
      </c>
      <c r="C119" t="str">
        <f ca="1">IFERROR(__xludf.DUMMYFUNCTION((TRANSPOSE(ImportHTML("http://spending.data.al/sq/moneypower/view/id/60/year/2011", "table", 0)))),"*Kategoria*")</f>
        <v>*Kategoria*</v>
      </c>
      <c r="D119" t="s">
        <v>673</v>
      </c>
      <c r="E119" t="s">
        <v>674</v>
      </c>
      <c r="F119" t="s">
        <v>675</v>
      </c>
      <c r="G119" t="s">
        <v>676</v>
      </c>
      <c r="H119" t="s">
        <v>677</v>
      </c>
      <c r="I119" t="s">
        <v>678</v>
      </c>
      <c r="J119" t="s">
        <v>679</v>
      </c>
      <c r="K119" t="s">
        <v>680</v>
      </c>
      <c r="L119" t="s">
        <v>681</v>
      </c>
      <c r="M119" t="s">
        <v>682</v>
      </c>
      <c r="N119" t="s">
        <v>683</v>
      </c>
      <c r="O119" t="s">
        <v>684</v>
      </c>
      <c r="P119" t="s">
        <v>685</v>
      </c>
    </row>
    <row r="120" spans="2:16" ht="15">
      <c r="B120" s="7"/>
      <c r="C120" t="s">
        <v>686</v>
      </c>
      <c r="D120" t="s">
        <v>2013</v>
      </c>
      <c r="E120" t="s">
        <v>2014</v>
      </c>
      <c r="F120" t="s">
        <v>2015</v>
      </c>
      <c r="G120" t="s">
        <v>688</v>
      </c>
      <c r="H120" t="s">
        <v>688</v>
      </c>
      <c r="I120" t="s">
        <v>688</v>
      </c>
      <c r="J120" t="s">
        <v>688</v>
      </c>
      <c r="K120" t="s">
        <v>688</v>
      </c>
      <c r="L120" t="s">
        <v>688</v>
      </c>
      <c r="M120" t="s">
        <v>2016</v>
      </c>
      <c r="N120" t="s">
        <v>688</v>
      </c>
      <c r="O120" s="4">
        <v>1.07</v>
      </c>
      <c r="P120" t="s">
        <v>2017</v>
      </c>
    </row>
    <row r="121" spans="2:16" ht="15">
      <c r="B121" s="1">
        <v>61</v>
      </c>
      <c r="C121" t="str">
        <f ca="1">IFERROR(__xludf.DUMMYFUNCTION((TRANSPOSE(ImportHTML("http://spending.data.al/sq/moneypower/view/id/61/year/2011", "table", 0)))),"*Kategoria*")</f>
        <v>*Kategoria*</v>
      </c>
      <c r="D121" t="s">
        <v>673</v>
      </c>
      <c r="E121" t="s">
        <v>674</v>
      </c>
      <c r="F121" t="s">
        <v>675</v>
      </c>
      <c r="G121" t="s">
        <v>676</v>
      </c>
      <c r="H121" t="s">
        <v>677</v>
      </c>
      <c r="I121" t="s">
        <v>678</v>
      </c>
      <c r="J121" t="s">
        <v>679</v>
      </c>
      <c r="K121" t="s">
        <v>680</v>
      </c>
      <c r="L121" t="s">
        <v>681</v>
      </c>
      <c r="M121" t="s">
        <v>682</v>
      </c>
      <c r="N121" t="s">
        <v>683</v>
      </c>
      <c r="O121" t="s">
        <v>684</v>
      </c>
      <c r="P121" t="s">
        <v>685</v>
      </c>
    </row>
    <row r="122" spans="2:16" ht="15">
      <c r="B122" s="7"/>
      <c r="C122" t="s">
        <v>686</v>
      </c>
      <c r="D122" t="s">
        <v>2018</v>
      </c>
      <c r="E122" t="s">
        <v>688</v>
      </c>
      <c r="F122" t="s">
        <v>688</v>
      </c>
      <c r="G122" t="s">
        <v>688</v>
      </c>
      <c r="H122" t="s">
        <v>688</v>
      </c>
      <c r="I122" t="s">
        <v>2019</v>
      </c>
      <c r="J122" t="s">
        <v>688</v>
      </c>
      <c r="K122" t="s">
        <v>688</v>
      </c>
      <c r="L122" t="s">
        <v>688</v>
      </c>
      <c r="M122" t="s">
        <v>2020</v>
      </c>
      <c r="N122" t="s">
        <v>688</v>
      </c>
      <c r="O122" s="4">
        <v>2.57</v>
      </c>
      <c r="P122" t="s">
        <v>688</v>
      </c>
    </row>
    <row r="123" spans="2:16" ht="15">
      <c r="B123" s="1">
        <v>62</v>
      </c>
      <c r="C123" t="str">
        <f ca="1">IFERROR(__xludf.DUMMYFUNCTION((TRANSPOSE(ImportHTML("http://spending.data.al/sq/moneypower/view/id/62/year/2011", "table", 0)))),"*Emër Subjekti*")</f>
        <v>*Emër Subjekti*</v>
      </c>
      <c r="D123" t="s">
        <v>698</v>
      </c>
      <c r="E123" t="s">
        <v>699</v>
      </c>
      <c r="F123" t="s">
        <v>700</v>
      </c>
      <c r="G123" t="s">
        <v>701</v>
      </c>
      <c r="H123" t="s">
        <v>702</v>
      </c>
    </row>
    <row r="124" spans="2:16" ht="15">
      <c r="B124" s="7"/>
      <c r="C124" t="s">
        <v>2021</v>
      </c>
      <c r="D124" t="s">
        <v>2022</v>
      </c>
      <c r="E124" t="s">
        <v>705</v>
      </c>
      <c r="F124" t="s">
        <v>706</v>
      </c>
      <c r="G124" t="s">
        <v>707</v>
      </c>
      <c r="H124" t="s">
        <v>2023</v>
      </c>
    </row>
    <row r="125" spans="2:16" ht="15">
      <c r="B125" s="1">
        <v>63</v>
      </c>
      <c r="C125" t="str">
        <f ca="1">IFERROR(__xludf.DUMMYFUNCTION((TRANSPOSE(ImportHTML("http://spending.data.al/sq/moneypower/view/id/63/year/2011", "table", 0)))),"*Kategoria*")</f>
        <v>*Kategoria*</v>
      </c>
      <c r="D125" t="s">
        <v>673</v>
      </c>
      <c r="E125" t="s">
        <v>674</v>
      </c>
      <c r="F125" t="s">
        <v>675</v>
      </c>
      <c r="G125" t="s">
        <v>676</v>
      </c>
      <c r="H125" t="s">
        <v>677</v>
      </c>
      <c r="I125" t="s">
        <v>678</v>
      </c>
      <c r="J125" t="s">
        <v>679</v>
      </c>
      <c r="K125" t="s">
        <v>680</v>
      </c>
      <c r="L125" t="s">
        <v>681</v>
      </c>
      <c r="M125" t="s">
        <v>682</v>
      </c>
      <c r="N125" t="s">
        <v>683</v>
      </c>
      <c r="O125" t="s">
        <v>684</v>
      </c>
      <c r="P125" t="s">
        <v>685</v>
      </c>
    </row>
    <row r="126" spans="2:16" ht="15">
      <c r="B126" s="7"/>
      <c r="C126" t="s">
        <v>686</v>
      </c>
      <c r="D126" t="s">
        <v>2024</v>
      </c>
      <c r="E126" t="s">
        <v>688</v>
      </c>
      <c r="F126" t="s">
        <v>688</v>
      </c>
      <c r="G126" t="s">
        <v>688</v>
      </c>
      <c r="H126" t="s">
        <v>688</v>
      </c>
      <c r="I126" t="s">
        <v>688</v>
      </c>
      <c r="J126" t="s">
        <v>688</v>
      </c>
      <c r="K126" t="s">
        <v>688</v>
      </c>
      <c r="L126" t="s">
        <v>688</v>
      </c>
      <c r="M126" t="s">
        <v>2025</v>
      </c>
      <c r="N126" t="s">
        <v>688</v>
      </c>
      <c r="O126" s="4">
        <v>1</v>
      </c>
      <c r="P126" t="s">
        <v>2026</v>
      </c>
    </row>
    <row r="127" spans="2:16" ht="15">
      <c r="B127" s="1">
        <v>64</v>
      </c>
      <c r="C127" t="str">
        <f ca="1">IFERROR(__xludf.DUMMYFUNCTION((TRANSPOSE(ImportHTML("http://spending.data.al/sq/moneypower/view/id/64/year/2011", "table", 0)))),"*Kategoria*")</f>
        <v>*Kategoria*</v>
      </c>
      <c r="D127" t="s">
        <v>673</v>
      </c>
      <c r="E127" t="s">
        <v>674</v>
      </c>
      <c r="F127" t="s">
        <v>675</v>
      </c>
      <c r="G127" t="s">
        <v>676</v>
      </c>
      <c r="H127" t="s">
        <v>677</v>
      </c>
      <c r="I127" t="s">
        <v>678</v>
      </c>
      <c r="J127" t="s">
        <v>679</v>
      </c>
      <c r="K127" t="s">
        <v>680</v>
      </c>
      <c r="L127" t="s">
        <v>681</v>
      </c>
      <c r="M127" t="s">
        <v>682</v>
      </c>
      <c r="N127" t="s">
        <v>683</v>
      </c>
      <c r="O127" t="s">
        <v>684</v>
      </c>
      <c r="P127" t="s">
        <v>685</v>
      </c>
    </row>
    <row r="128" spans="2:16" ht="15">
      <c r="B128" s="7"/>
      <c r="C128" t="s">
        <v>686</v>
      </c>
      <c r="D128" t="s">
        <v>2027</v>
      </c>
      <c r="E128" t="s">
        <v>688</v>
      </c>
      <c r="F128" t="s">
        <v>2028</v>
      </c>
      <c r="G128" t="s">
        <v>688</v>
      </c>
      <c r="H128" t="s">
        <v>688</v>
      </c>
      <c r="I128" t="s">
        <v>688</v>
      </c>
      <c r="J128" t="s">
        <v>688</v>
      </c>
      <c r="K128" t="s">
        <v>688</v>
      </c>
      <c r="L128" t="s">
        <v>688</v>
      </c>
      <c r="M128" t="s">
        <v>688</v>
      </c>
      <c r="N128" t="s">
        <v>2029</v>
      </c>
      <c r="O128" s="4">
        <v>1.27</v>
      </c>
      <c r="P128" t="s">
        <v>688</v>
      </c>
    </row>
    <row r="129" spans="2:16" ht="15">
      <c r="B129" s="1">
        <v>65</v>
      </c>
      <c r="C129" t="str">
        <f ca="1">IFERROR(__xludf.DUMMYFUNCTION((TRANSPOSE(ImportHTML("http://spending.data.al/sq/moneypower/view/id/65/year/2011", "table", 0)))),"*Emër Subjekti*")</f>
        <v>*Emër Subjekti*</v>
      </c>
      <c r="D129" t="s">
        <v>698</v>
      </c>
      <c r="E129" t="s">
        <v>699</v>
      </c>
      <c r="F129" t="s">
        <v>700</v>
      </c>
      <c r="G129" t="s">
        <v>701</v>
      </c>
      <c r="H129" t="s">
        <v>702</v>
      </c>
    </row>
    <row r="130" spans="2:16" ht="15">
      <c r="B130" s="7"/>
      <c r="C130" t="s">
        <v>2030</v>
      </c>
      <c r="D130" t="s">
        <v>2031</v>
      </c>
      <c r="E130" t="s">
        <v>705</v>
      </c>
      <c r="F130" t="s">
        <v>1914</v>
      </c>
      <c r="G130" t="s">
        <v>707</v>
      </c>
      <c r="H130" t="s">
        <v>1918</v>
      </c>
    </row>
    <row r="131" spans="2:16" ht="15">
      <c r="B131" s="1">
        <v>66</v>
      </c>
      <c r="C131" t="str">
        <f ca="1">IFERROR(__xludf.DUMMYFUNCTION((TRANSPOSE(ImportHTML("http://spending.data.al/sq/moneypower/view/id/66/year/2011", "table", 0)))),"*Kategoria*")</f>
        <v>*Kategoria*</v>
      </c>
      <c r="D131" t="s">
        <v>673</v>
      </c>
      <c r="E131" t="s">
        <v>674</v>
      </c>
      <c r="F131" t="s">
        <v>675</v>
      </c>
      <c r="G131" t="s">
        <v>676</v>
      </c>
      <c r="H131" t="s">
        <v>677</v>
      </c>
      <c r="I131" t="s">
        <v>678</v>
      </c>
      <c r="J131" t="s">
        <v>679</v>
      </c>
      <c r="K131" t="s">
        <v>680</v>
      </c>
      <c r="L131" t="s">
        <v>681</v>
      </c>
      <c r="M131" t="s">
        <v>682</v>
      </c>
      <c r="N131" t="s">
        <v>683</v>
      </c>
      <c r="O131" t="s">
        <v>684</v>
      </c>
      <c r="P131" t="s">
        <v>685</v>
      </c>
    </row>
    <row r="132" spans="2:16" ht="15">
      <c r="B132" s="7"/>
      <c r="C132" t="s">
        <v>686</v>
      </c>
      <c r="D132" t="s">
        <v>1994</v>
      </c>
      <c r="E132" t="s">
        <v>688</v>
      </c>
      <c r="F132" t="s">
        <v>2032</v>
      </c>
      <c r="G132" t="s">
        <v>688</v>
      </c>
      <c r="H132" t="s">
        <v>688</v>
      </c>
      <c r="I132" t="s">
        <v>688</v>
      </c>
      <c r="J132" t="s">
        <v>688</v>
      </c>
      <c r="K132" t="s">
        <v>688</v>
      </c>
      <c r="L132" t="s">
        <v>688</v>
      </c>
      <c r="M132" t="s">
        <v>688</v>
      </c>
      <c r="N132" t="s">
        <v>688</v>
      </c>
      <c r="O132" s="4">
        <v>1.17</v>
      </c>
      <c r="P132" t="s">
        <v>688</v>
      </c>
    </row>
    <row r="133" spans="2:16" ht="15">
      <c r="B133" s="1">
        <v>67</v>
      </c>
      <c r="C133" t="str">
        <f ca="1">IFERROR(__xludf.DUMMYFUNCTION((TRANSPOSE(ImportHTML("http://spending.data.al/sq/moneypower/view/id/67/year/2011", "table", 0)))),"*Kategoria*")</f>
        <v>*Kategoria*</v>
      </c>
      <c r="D133" t="s">
        <v>673</v>
      </c>
      <c r="E133" t="s">
        <v>674</v>
      </c>
      <c r="F133" t="s">
        <v>675</v>
      </c>
      <c r="G133" t="s">
        <v>676</v>
      </c>
      <c r="H133" t="s">
        <v>677</v>
      </c>
      <c r="I133" t="s">
        <v>678</v>
      </c>
      <c r="J133" t="s">
        <v>679</v>
      </c>
      <c r="K133" t="s">
        <v>680</v>
      </c>
      <c r="L133" t="s">
        <v>681</v>
      </c>
      <c r="M133" t="s">
        <v>682</v>
      </c>
      <c r="N133" t="s">
        <v>683</v>
      </c>
      <c r="O133" t="s">
        <v>684</v>
      </c>
      <c r="P133" t="s">
        <v>685</v>
      </c>
    </row>
    <row r="134" spans="2:16" ht="15">
      <c r="B134" s="7"/>
      <c r="C134" t="s">
        <v>686</v>
      </c>
      <c r="D134" t="s">
        <v>2033</v>
      </c>
      <c r="E134" t="s">
        <v>2034</v>
      </c>
      <c r="F134" t="s">
        <v>2035</v>
      </c>
      <c r="G134" t="s">
        <v>688</v>
      </c>
      <c r="H134" t="s">
        <v>688</v>
      </c>
      <c r="I134" t="s">
        <v>688</v>
      </c>
      <c r="J134" t="s">
        <v>688</v>
      </c>
      <c r="K134" t="s">
        <v>688</v>
      </c>
      <c r="L134" t="s">
        <v>688</v>
      </c>
      <c r="M134" t="s">
        <v>2036</v>
      </c>
      <c r="N134" t="s">
        <v>688</v>
      </c>
      <c r="O134" s="4">
        <v>1.06</v>
      </c>
      <c r="P134" t="s">
        <v>2037</v>
      </c>
    </row>
    <row r="135" spans="2:16" ht="15">
      <c r="B135" s="1">
        <v>68</v>
      </c>
      <c r="C135" t="str">
        <f ca="1">IFERROR(__xludf.DUMMYFUNCTION((TRANSPOSE(ImportHTML("http://spending.data.al/sq/moneypower/view/id/68/year/2011", "table", 0)))),"*Kategoria*")</f>
        <v>*Kategoria*</v>
      </c>
      <c r="D135" t="s">
        <v>673</v>
      </c>
      <c r="E135" t="s">
        <v>674</v>
      </c>
      <c r="F135" t="s">
        <v>675</v>
      </c>
      <c r="G135" t="s">
        <v>676</v>
      </c>
      <c r="H135" t="s">
        <v>677</v>
      </c>
      <c r="I135" t="s">
        <v>678</v>
      </c>
      <c r="J135" t="s">
        <v>679</v>
      </c>
      <c r="K135" t="s">
        <v>680</v>
      </c>
      <c r="L135" t="s">
        <v>681</v>
      </c>
      <c r="M135" t="s">
        <v>682</v>
      </c>
      <c r="N135" t="s">
        <v>683</v>
      </c>
      <c r="O135" t="s">
        <v>684</v>
      </c>
      <c r="P135" t="s">
        <v>685</v>
      </c>
    </row>
    <row r="136" spans="2:16" ht="15">
      <c r="B136" s="7"/>
      <c r="C136" t="s">
        <v>686</v>
      </c>
      <c r="D136" t="s">
        <v>688</v>
      </c>
      <c r="E136" t="s">
        <v>688</v>
      </c>
      <c r="F136" t="s">
        <v>688</v>
      </c>
      <c r="G136" t="s">
        <v>688</v>
      </c>
      <c r="H136" t="s">
        <v>688</v>
      </c>
      <c r="I136" t="s">
        <v>688</v>
      </c>
      <c r="J136" t="s">
        <v>688</v>
      </c>
      <c r="K136" t="s">
        <v>688</v>
      </c>
      <c r="L136" t="s">
        <v>688</v>
      </c>
      <c r="M136" t="s">
        <v>2038</v>
      </c>
      <c r="N136" t="s">
        <v>688</v>
      </c>
      <c r="O136" t="s">
        <v>707</v>
      </c>
      <c r="P136" t="s">
        <v>688</v>
      </c>
    </row>
    <row r="137" spans="2:16" ht="15">
      <c r="B137" s="1">
        <v>69</v>
      </c>
      <c r="C137" t="str">
        <f ca="1">IFERROR(__xludf.DUMMYFUNCTION((TRANSPOSE(ImportHTML("http://spending.data.al/sq/moneypower/view/id/69/year/2011", "table", 0)))),"*Kategoria*")</f>
        <v>*Kategoria*</v>
      </c>
      <c r="D137" t="s">
        <v>673</v>
      </c>
      <c r="E137" t="s">
        <v>674</v>
      </c>
      <c r="F137" t="s">
        <v>675</v>
      </c>
      <c r="G137" t="s">
        <v>676</v>
      </c>
      <c r="H137" t="s">
        <v>677</v>
      </c>
      <c r="I137" t="s">
        <v>678</v>
      </c>
      <c r="J137" t="s">
        <v>679</v>
      </c>
      <c r="K137" t="s">
        <v>680</v>
      </c>
      <c r="L137" t="s">
        <v>681</v>
      </c>
      <c r="M137" t="s">
        <v>682</v>
      </c>
      <c r="N137" t="s">
        <v>683</v>
      </c>
      <c r="O137" t="s">
        <v>684</v>
      </c>
      <c r="P137" t="s">
        <v>685</v>
      </c>
    </row>
    <row r="138" spans="2:16" ht="15">
      <c r="B138" s="7"/>
      <c r="C138" t="s">
        <v>686</v>
      </c>
      <c r="D138" t="s">
        <v>2039</v>
      </c>
      <c r="E138" t="s">
        <v>688</v>
      </c>
      <c r="F138" t="s">
        <v>688</v>
      </c>
      <c r="G138" t="s">
        <v>688</v>
      </c>
      <c r="H138" t="s">
        <v>688</v>
      </c>
      <c r="I138" t="s">
        <v>688</v>
      </c>
      <c r="J138" t="s">
        <v>688</v>
      </c>
      <c r="K138" t="s">
        <v>688</v>
      </c>
      <c r="L138" t="s">
        <v>688</v>
      </c>
      <c r="M138" t="s">
        <v>2040</v>
      </c>
      <c r="N138" t="s">
        <v>688</v>
      </c>
      <c r="O138" s="4">
        <v>1</v>
      </c>
      <c r="P138" t="s">
        <v>688</v>
      </c>
    </row>
    <row r="139" spans="2:16" ht="15">
      <c r="B139" s="1">
        <v>70</v>
      </c>
      <c r="C139" t="str">
        <f ca="1">IFERROR(__xludf.DUMMYFUNCTION((TRANSPOSE(ImportHTML("http://spending.data.al/sq/moneypower/view/id/70/year/2011", "table", 0)))),"*Kategoria*")</f>
        <v>*Kategoria*</v>
      </c>
      <c r="D139" t="s">
        <v>673</v>
      </c>
      <c r="E139" t="s">
        <v>674</v>
      </c>
      <c r="F139" t="s">
        <v>675</v>
      </c>
      <c r="G139" t="s">
        <v>676</v>
      </c>
      <c r="H139" t="s">
        <v>677</v>
      </c>
      <c r="I139" t="s">
        <v>678</v>
      </c>
      <c r="J139" t="s">
        <v>679</v>
      </c>
      <c r="K139" t="s">
        <v>680</v>
      </c>
      <c r="L139" t="s">
        <v>681</v>
      </c>
      <c r="M139" t="s">
        <v>682</v>
      </c>
      <c r="N139" t="s">
        <v>683</v>
      </c>
      <c r="O139" t="s">
        <v>684</v>
      </c>
      <c r="P139" t="s">
        <v>685</v>
      </c>
    </row>
    <row r="140" spans="2:16" ht="15">
      <c r="B140" s="7"/>
      <c r="C140" t="s">
        <v>686</v>
      </c>
      <c r="D140" t="s">
        <v>2041</v>
      </c>
      <c r="E140" t="s">
        <v>688</v>
      </c>
      <c r="F140" t="s">
        <v>2042</v>
      </c>
      <c r="G140" t="s">
        <v>688</v>
      </c>
      <c r="H140" t="s">
        <v>688</v>
      </c>
      <c r="I140" t="s">
        <v>688</v>
      </c>
      <c r="J140" t="s">
        <v>688</v>
      </c>
      <c r="K140" t="s">
        <v>688</v>
      </c>
      <c r="L140" t="s">
        <v>688</v>
      </c>
      <c r="M140" t="s">
        <v>2043</v>
      </c>
      <c r="N140" t="s">
        <v>688</v>
      </c>
      <c r="O140" s="4">
        <v>1.1399999999999999</v>
      </c>
      <c r="P140" t="s">
        <v>688</v>
      </c>
    </row>
    <row r="141" spans="2:16" ht="15">
      <c r="B141" s="1">
        <v>71</v>
      </c>
      <c r="C141" t="str">
        <f ca="1">IFERROR(__xludf.DUMMYFUNCTION((TRANSPOSE(ImportHTML("http://spending.data.al/sq/moneypower/view/id/71/year/2011", "table", 0)))),"*Emër Subjekti*")</f>
        <v>*Emër Subjekti*</v>
      </c>
      <c r="D141" t="s">
        <v>698</v>
      </c>
      <c r="E141" t="s">
        <v>699</v>
      </c>
      <c r="F141" t="s">
        <v>700</v>
      </c>
      <c r="G141" t="s">
        <v>701</v>
      </c>
      <c r="H141" t="s">
        <v>702</v>
      </c>
    </row>
    <row r="142" spans="2:16" ht="15">
      <c r="B142" s="7"/>
      <c r="C142" t="s">
        <v>2044</v>
      </c>
      <c r="D142" t="s">
        <v>2045</v>
      </c>
      <c r="E142" t="s">
        <v>2046</v>
      </c>
      <c r="F142" t="s">
        <v>1914</v>
      </c>
      <c r="G142" t="s">
        <v>707</v>
      </c>
      <c r="H142" t="s">
        <v>2047</v>
      </c>
    </row>
    <row r="143" spans="2:16" ht="15">
      <c r="B143" s="1">
        <v>72</v>
      </c>
      <c r="C143" t="str">
        <f ca="1">IFERROR(__xludf.DUMMYFUNCTION((TRANSPOSE(ImportHTML("http://spending.data.al/sq/moneypower/view/id/72/year/2011", "table", 0)))),"*Kategoria*")</f>
        <v>*Kategoria*</v>
      </c>
      <c r="D143" t="s">
        <v>673</v>
      </c>
      <c r="E143" t="s">
        <v>674</v>
      </c>
      <c r="F143" t="s">
        <v>675</v>
      </c>
      <c r="G143" t="s">
        <v>676</v>
      </c>
      <c r="H143" t="s">
        <v>677</v>
      </c>
      <c r="I143" t="s">
        <v>678</v>
      </c>
      <c r="J143" t="s">
        <v>679</v>
      </c>
      <c r="K143" t="s">
        <v>680</v>
      </c>
      <c r="L143" t="s">
        <v>681</v>
      </c>
      <c r="M143" t="s">
        <v>682</v>
      </c>
      <c r="N143" t="s">
        <v>683</v>
      </c>
      <c r="O143" t="s">
        <v>684</v>
      </c>
      <c r="P143" t="s">
        <v>685</v>
      </c>
    </row>
    <row r="144" spans="2:16" ht="15">
      <c r="B144" s="7"/>
      <c r="C144" t="s">
        <v>686</v>
      </c>
      <c r="D144" t="s">
        <v>2048</v>
      </c>
      <c r="E144" t="s">
        <v>2049</v>
      </c>
      <c r="F144" t="s">
        <v>2050</v>
      </c>
      <c r="G144" t="s">
        <v>688</v>
      </c>
      <c r="H144" t="s">
        <v>688</v>
      </c>
      <c r="I144" t="s">
        <v>688</v>
      </c>
      <c r="J144" t="s">
        <v>688</v>
      </c>
      <c r="K144" t="s">
        <v>688</v>
      </c>
      <c r="L144" t="s">
        <v>688</v>
      </c>
      <c r="M144" t="s">
        <v>2051</v>
      </c>
      <c r="N144" t="s">
        <v>688</v>
      </c>
      <c r="O144" s="4">
        <v>1.1299999999999999</v>
      </c>
      <c r="P144" t="s">
        <v>2052</v>
      </c>
    </row>
    <row r="145" spans="2:10" ht="15">
      <c r="B145" s="1">
        <v>73</v>
      </c>
      <c r="C145" t="str">
        <f ca="1">IFERROR(__xludf.DUMMYFUNCTION((TRANSPOSE(ImportHTML("http://spending.data.al/sq/moneypower/view/id/73/year/2011", "table", 0)))),"*Emër Subjekti*")</f>
        <v>*Emër Subjekti*</v>
      </c>
      <c r="D145" t="s">
        <v>698</v>
      </c>
      <c r="E145" t="s">
        <v>699</v>
      </c>
      <c r="F145" t="s">
        <v>700</v>
      </c>
      <c r="G145" t="s">
        <v>701</v>
      </c>
      <c r="H145" t="s">
        <v>702</v>
      </c>
    </row>
    <row r="146" spans="2:10" ht="15">
      <c r="B146" s="7"/>
      <c r="C146" t="s">
        <v>2053</v>
      </c>
      <c r="D146" t="s">
        <v>2054</v>
      </c>
      <c r="E146" s="6">
        <v>41389</v>
      </c>
      <c r="F146" t="s">
        <v>707</v>
      </c>
      <c r="G146" t="s">
        <v>2055</v>
      </c>
      <c r="H146" t="s">
        <v>2056</v>
      </c>
    </row>
    <row r="147" spans="2:10" ht="15">
      <c r="B147" s="1">
        <v>74</v>
      </c>
      <c r="C147" t="str">
        <f ca="1">IFERROR(__xludf.DUMMYFUNCTION((TRANSPOSE(ImportHTML("http://spending.data.al/sq/moneypower/view/id/74/year/2011", "table", 0)))),"*Emër Subjekti*")</f>
        <v>*Emër Subjekti*</v>
      </c>
      <c r="D147" t="s">
        <v>698</v>
      </c>
      <c r="E147" t="s">
        <v>699</v>
      </c>
      <c r="F147" t="s">
        <v>700</v>
      </c>
      <c r="G147" t="s">
        <v>701</v>
      </c>
      <c r="H147" t="s">
        <v>702</v>
      </c>
    </row>
    <row r="148" spans="2:10" ht="15">
      <c r="B148" s="7"/>
      <c r="C148" t="s">
        <v>2057</v>
      </c>
      <c r="D148" t="s">
        <v>2054</v>
      </c>
      <c r="E148" s="6">
        <v>39637</v>
      </c>
      <c r="F148" t="s">
        <v>707</v>
      </c>
      <c r="G148" t="s">
        <v>2058</v>
      </c>
      <c r="H148" t="s">
        <v>2059</v>
      </c>
    </row>
    <row r="149" spans="2:10" ht="15">
      <c r="B149" s="1">
        <v>75</v>
      </c>
      <c r="C149" t="str">
        <f ca="1">IFERROR(__xludf.DUMMYFUNCTION((TRANSPOSE(ImportHTML("http://spending.data.al/sq/moneypower/view/id/75/year/2011", "table", 0)))),"*Emër Subjekti*")</f>
        <v>*Emër Subjekti*</v>
      </c>
      <c r="D149" t="s">
        <v>698</v>
      </c>
      <c r="E149" t="s">
        <v>699</v>
      </c>
      <c r="F149" t="s">
        <v>700</v>
      </c>
      <c r="G149" t="s">
        <v>701</v>
      </c>
      <c r="H149" t="s">
        <v>702</v>
      </c>
    </row>
    <row r="150" spans="2:10" ht="15">
      <c r="B150" s="7"/>
      <c r="C150" t="s">
        <v>2060</v>
      </c>
      <c r="D150" t="s">
        <v>2054</v>
      </c>
      <c r="E150" s="6">
        <v>39637</v>
      </c>
      <c r="F150" t="s">
        <v>707</v>
      </c>
      <c r="G150" t="s">
        <v>2061</v>
      </c>
      <c r="H150" t="s">
        <v>2062</v>
      </c>
    </row>
    <row r="151" spans="2:10" ht="15">
      <c r="B151" s="1">
        <v>76</v>
      </c>
      <c r="C151" t="str">
        <f ca="1">IFERROR(__xludf.DUMMYFUNCTION((TRANSPOSE(ImportHTML("http://spending.data.al/sq/moneypower/view/id/76/year/2011", "table", 0)))),"*Emër Subjekti*")</f>
        <v>*Emër Subjekti*</v>
      </c>
      <c r="D151" t="s">
        <v>698</v>
      </c>
      <c r="E151" t="s">
        <v>699</v>
      </c>
      <c r="F151" t="s">
        <v>700</v>
      </c>
      <c r="G151" t="s">
        <v>701</v>
      </c>
      <c r="H151" t="s">
        <v>702</v>
      </c>
    </row>
    <row r="152" spans="2:10" ht="15">
      <c r="B152" s="7"/>
      <c r="C152" t="s">
        <v>2063</v>
      </c>
      <c r="D152" t="s">
        <v>2054</v>
      </c>
      <c r="E152" s="6">
        <v>38400</v>
      </c>
      <c r="F152" t="s">
        <v>707</v>
      </c>
      <c r="G152" t="s">
        <v>2064</v>
      </c>
      <c r="H152" t="s">
        <v>2065</v>
      </c>
    </row>
    <row r="153" spans="2:10" ht="15">
      <c r="B153" s="1">
        <v>77</v>
      </c>
      <c r="C153" t="str">
        <f ca="1">IFERROR(__xludf.DUMMYFUNCTION((TRANSPOSE(ImportHTML("http://spending.data.al/sq/moneypower/view/id/77/year/2011", "table", 0)))),"*Emër Subjekti*")</f>
        <v>*Emër Subjekti*</v>
      </c>
      <c r="D153" t="s">
        <v>698</v>
      </c>
      <c r="E153" t="s">
        <v>699</v>
      </c>
      <c r="F153" t="s">
        <v>700</v>
      </c>
      <c r="G153" t="s">
        <v>701</v>
      </c>
      <c r="H153" t="s">
        <v>702</v>
      </c>
    </row>
    <row r="154" spans="2:10" ht="15">
      <c r="B154" s="7"/>
      <c r="C154" t="s">
        <v>2066</v>
      </c>
      <c r="D154" t="s">
        <v>2054</v>
      </c>
      <c r="E154" s="6">
        <v>39239</v>
      </c>
      <c r="F154" t="s">
        <v>707</v>
      </c>
      <c r="G154" t="s">
        <v>2067</v>
      </c>
      <c r="H154" t="s">
        <v>2068</v>
      </c>
    </row>
    <row r="155" spans="2:10" ht="15">
      <c r="B155" s="1">
        <v>78</v>
      </c>
      <c r="C155" t="str">
        <f ca="1">IFERROR(__xludf.DUMMYFUNCTION((TRANSPOSE(ImportHTML("http://spending.data.al/sq/moneypower/view/id/78/year/2011", "table", 0)))),"*Emër Subjekti*")</f>
        <v>*Emër Subjekti*</v>
      </c>
      <c r="D155" t="s">
        <v>698</v>
      </c>
      <c r="E155" t="s">
        <v>699</v>
      </c>
      <c r="F155" t="s">
        <v>700</v>
      </c>
      <c r="G155" t="s">
        <v>701</v>
      </c>
      <c r="H155" t="s">
        <v>702</v>
      </c>
    </row>
    <row r="156" spans="2:10" ht="15">
      <c r="B156" s="7"/>
      <c r="C156" t="s">
        <v>2069</v>
      </c>
      <c r="D156" t="s">
        <v>2054</v>
      </c>
      <c r="E156" s="6">
        <v>39657</v>
      </c>
      <c r="F156" t="s">
        <v>707</v>
      </c>
      <c r="G156" t="s">
        <v>2070</v>
      </c>
      <c r="H156" t="s">
        <v>2071</v>
      </c>
    </row>
    <row r="157" spans="2:10" ht="15">
      <c r="B157" s="1">
        <v>79</v>
      </c>
      <c r="C157" t="str">
        <f ca="1">IFERROR(__xludf.DUMMYFUNCTION((TRANSPOSE(ImportHTML("http://spending.data.al/sq/moneypower/view/id/79/year/2011", "table", 0)))),"*Emër Subjekti*")</f>
        <v>*Emër Subjekti*</v>
      </c>
      <c r="D157" t="s">
        <v>698</v>
      </c>
      <c r="E157" t="s">
        <v>699</v>
      </c>
      <c r="F157" t="s">
        <v>698</v>
      </c>
      <c r="G157" t="s">
        <v>699</v>
      </c>
      <c r="H157" t="s">
        <v>700</v>
      </c>
      <c r="I157" t="s">
        <v>701</v>
      </c>
      <c r="J157" t="s">
        <v>702</v>
      </c>
    </row>
    <row r="158" spans="2:10" ht="15">
      <c r="B158" s="7"/>
      <c r="C158" t="s">
        <v>2072</v>
      </c>
      <c r="D158" t="s">
        <v>2054</v>
      </c>
      <c r="E158" s="6">
        <v>41390</v>
      </c>
      <c r="F158" t="s">
        <v>1879</v>
      </c>
      <c r="G158" s="6">
        <v>41390</v>
      </c>
      <c r="H158" t="s">
        <v>707</v>
      </c>
      <c r="I158" t="s">
        <v>2073</v>
      </c>
      <c r="J158" t="s">
        <v>2074</v>
      </c>
    </row>
    <row r="159" spans="2:10" ht="15">
      <c r="B159" s="1">
        <v>80</v>
      </c>
      <c r="C159" t="str">
        <f ca="1">IFERROR(__xludf.DUMMYFUNCTION((TRANSPOSE(ImportHTML("http://spending.data.al/sq/moneypower/view/id/80/year/2011", "table", 0)))),"*Emër Subjekti*")</f>
        <v>*Emër Subjekti*</v>
      </c>
      <c r="D159" t="s">
        <v>698</v>
      </c>
      <c r="E159" t="s">
        <v>699</v>
      </c>
      <c r="F159" t="s">
        <v>700</v>
      </c>
      <c r="G159" t="s">
        <v>701</v>
      </c>
      <c r="H159" t="s">
        <v>702</v>
      </c>
    </row>
    <row r="160" spans="2:10" ht="15">
      <c r="B160" s="7"/>
      <c r="C160" t="s">
        <v>2075</v>
      </c>
      <c r="D160" t="s">
        <v>2054</v>
      </c>
      <c r="E160" s="6">
        <v>41116</v>
      </c>
      <c r="F160" t="s">
        <v>707</v>
      </c>
      <c r="G160" t="s">
        <v>2076</v>
      </c>
      <c r="H160" t="s">
        <v>2077</v>
      </c>
    </row>
    <row r="161" spans="2:8" ht="15">
      <c r="B161" s="1">
        <v>81</v>
      </c>
      <c r="C161" t="str">
        <f ca="1">IFERROR(__xludf.DUMMYFUNCTION((TRANSPOSE(ImportHTML("http://spending.data.al/sq/moneypower/view/id/81/year/2011", "table", 0)))),"*Emër Subjekti*")</f>
        <v>*Emër Subjekti*</v>
      </c>
      <c r="D161" t="s">
        <v>698</v>
      </c>
      <c r="E161" t="s">
        <v>699</v>
      </c>
      <c r="F161" t="s">
        <v>700</v>
      </c>
      <c r="G161" t="s">
        <v>701</v>
      </c>
      <c r="H161" t="s">
        <v>702</v>
      </c>
    </row>
    <row r="162" spans="2:8" ht="15">
      <c r="B162" s="7"/>
      <c r="C162" t="s">
        <v>2078</v>
      </c>
      <c r="D162" t="s">
        <v>2054</v>
      </c>
      <c r="E162" s="6">
        <v>40710</v>
      </c>
      <c r="F162" t="s">
        <v>707</v>
      </c>
      <c r="G162" t="s">
        <v>2079</v>
      </c>
      <c r="H162" t="s">
        <v>2080</v>
      </c>
    </row>
    <row r="163" spans="2:8" ht="15">
      <c r="B163" s="1">
        <v>82</v>
      </c>
      <c r="C163" t="str">
        <f ca="1">IFERROR(__xludf.DUMMYFUNCTION((TRANSPOSE(ImportHTML("http://spending.data.al/sq/moneypower/view/id/82/year/2011", "table", 0)))),"*Emër Subjekti*")</f>
        <v>*Emër Subjekti*</v>
      </c>
      <c r="D163" t="s">
        <v>698</v>
      </c>
      <c r="E163" t="s">
        <v>699</v>
      </c>
      <c r="F163" t="s">
        <v>700</v>
      </c>
      <c r="G163" t="s">
        <v>701</v>
      </c>
      <c r="H163" t="s">
        <v>702</v>
      </c>
    </row>
    <row r="164" spans="2:8" ht="15">
      <c r="B164" s="7"/>
      <c r="C164" t="s">
        <v>2081</v>
      </c>
      <c r="D164" t="s">
        <v>2054</v>
      </c>
      <c r="E164" s="6">
        <v>39637</v>
      </c>
      <c r="F164" t="s">
        <v>707</v>
      </c>
      <c r="G164" t="s">
        <v>2082</v>
      </c>
      <c r="H164" t="s">
        <v>2083</v>
      </c>
    </row>
    <row r="165" spans="2:8" ht="15">
      <c r="B165" s="1">
        <v>83</v>
      </c>
      <c r="C165" t="str">
        <f ca="1">IFERROR(__xludf.DUMMYFUNCTION((TRANSPOSE(ImportHTML("http://spending.data.al/sq/moneypower/view/id/83/year/2011", "table", 0)))),"*Emër Subjekti*")</f>
        <v>*Emër Subjekti*</v>
      </c>
      <c r="D165" t="s">
        <v>698</v>
      </c>
      <c r="E165" t="s">
        <v>699</v>
      </c>
      <c r="F165" t="s">
        <v>700</v>
      </c>
      <c r="G165" t="s">
        <v>701</v>
      </c>
      <c r="H165" t="s">
        <v>702</v>
      </c>
    </row>
    <row r="166" spans="2:8" ht="15">
      <c r="B166" s="7"/>
      <c r="C166" t="s">
        <v>2084</v>
      </c>
      <c r="D166" t="s">
        <v>2054</v>
      </c>
      <c r="E166" s="6">
        <v>39637</v>
      </c>
      <c r="F166" t="s">
        <v>707</v>
      </c>
      <c r="G166" t="s">
        <v>2085</v>
      </c>
      <c r="H166" t="s">
        <v>2086</v>
      </c>
    </row>
    <row r="167" spans="2:8" ht="15">
      <c r="B167" s="1">
        <v>84</v>
      </c>
      <c r="C167" t="str">
        <f ca="1">IFERROR(__xludf.DUMMYFUNCTION((TRANSPOSE(ImportHTML("http://spending.data.al/sq/moneypower/view/id/84/year/2011", "table", 0)))),"*Emër Subjekti*")</f>
        <v>*Emër Subjekti*</v>
      </c>
      <c r="D167" t="s">
        <v>698</v>
      </c>
      <c r="E167" t="s">
        <v>699</v>
      </c>
      <c r="F167" t="s">
        <v>700</v>
      </c>
      <c r="G167" t="s">
        <v>701</v>
      </c>
      <c r="H167" t="s">
        <v>702</v>
      </c>
    </row>
    <row r="168" spans="2:8" ht="15">
      <c r="B168" s="7"/>
      <c r="C168" t="s">
        <v>2087</v>
      </c>
      <c r="D168" t="s">
        <v>2054</v>
      </c>
      <c r="E168" s="6">
        <v>39657</v>
      </c>
      <c r="F168" t="s">
        <v>707</v>
      </c>
      <c r="G168" t="s">
        <v>2088</v>
      </c>
      <c r="H168" t="s">
        <v>2089</v>
      </c>
    </row>
    <row r="169" spans="2:8" ht="15">
      <c r="B169" s="1">
        <v>85</v>
      </c>
      <c r="C169" t="str">
        <f ca="1">IFERROR(__xludf.DUMMYFUNCTION((TRANSPOSE(ImportHTML("http://spending.data.al/sq/moneypower/view/id/85/year/2011", "table", 0)))),"*Emër Subjekti*")</f>
        <v>*Emër Subjekti*</v>
      </c>
      <c r="D169" t="s">
        <v>698</v>
      </c>
      <c r="E169" t="s">
        <v>699</v>
      </c>
      <c r="F169" t="s">
        <v>700</v>
      </c>
      <c r="G169" t="s">
        <v>701</v>
      </c>
      <c r="H169" t="s">
        <v>702</v>
      </c>
    </row>
    <row r="170" spans="2:8" ht="15">
      <c r="B170" s="7"/>
      <c r="C170" t="s">
        <v>2090</v>
      </c>
      <c r="D170" t="s">
        <v>2054</v>
      </c>
      <c r="E170" s="6">
        <v>40367</v>
      </c>
      <c r="F170" t="s">
        <v>707</v>
      </c>
      <c r="G170" t="s">
        <v>2091</v>
      </c>
      <c r="H170" t="s">
        <v>707</v>
      </c>
    </row>
    <row r="171" spans="2:8" ht="15">
      <c r="B171" s="1">
        <v>86</v>
      </c>
      <c r="C171" t="str">
        <f ca="1">IFERROR(__xludf.DUMMYFUNCTION((TRANSPOSE(ImportHTML("http://spending.data.al/sq/moneypower/view/id/86/year/2011", "table", 0)))),"*Emër Subjekti*")</f>
        <v>*Emër Subjekti*</v>
      </c>
      <c r="D171" t="s">
        <v>698</v>
      </c>
      <c r="E171" t="s">
        <v>699</v>
      </c>
      <c r="F171" t="s">
        <v>700</v>
      </c>
      <c r="G171" t="s">
        <v>701</v>
      </c>
      <c r="H171" t="s">
        <v>702</v>
      </c>
    </row>
    <row r="172" spans="2:8" ht="15">
      <c r="B172" s="7"/>
      <c r="C172" t="s">
        <v>2092</v>
      </c>
      <c r="D172" t="s">
        <v>2054</v>
      </c>
      <c r="E172">
        <v>2009</v>
      </c>
      <c r="F172" t="s">
        <v>707</v>
      </c>
      <c r="G172" t="s">
        <v>2093</v>
      </c>
      <c r="H172" t="s">
        <v>2094</v>
      </c>
    </row>
    <row r="173" spans="2:8" ht="15">
      <c r="B173" s="1">
        <v>87</v>
      </c>
      <c r="C173" t="str">
        <f ca="1">IFERROR(__xludf.DUMMYFUNCTION((TRANSPOSE(ImportHTML("http://spending.data.al/sq/moneypower/view/id/87/year/2011", "table", 0)))),"*Emër Subjekti*")</f>
        <v>*Emër Subjekti*</v>
      </c>
      <c r="D173" t="s">
        <v>698</v>
      </c>
      <c r="E173" t="s">
        <v>699</v>
      </c>
      <c r="F173" t="s">
        <v>700</v>
      </c>
      <c r="G173" t="s">
        <v>701</v>
      </c>
      <c r="H173" t="s">
        <v>702</v>
      </c>
    </row>
    <row r="174" spans="2:8" ht="15">
      <c r="B174" s="7"/>
      <c r="C174" t="s">
        <v>2095</v>
      </c>
      <c r="D174" t="s">
        <v>2054</v>
      </c>
      <c r="E174" s="6">
        <v>40710</v>
      </c>
      <c r="F174" t="s">
        <v>707</v>
      </c>
      <c r="G174" t="s">
        <v>2096</v>
      </c>
      <c r="H174" t="s">
        <v>2097</v>
      </c>
    </row>
    <row r="175" spans="2:8" ht="15">
      <c r="B175" s="1">
        <v>88</v>
      </c>
      <c r="C175" t="str">
        <f ca="1">IFERROR(__xludf.DUMMYFUNCTION((TRANSPOSE(ImportHTML("http://spending.data.al/sq/moneypower/view/id/88/year/2011", "table", 0)))),"*Emër Subjekti*")</f>
        <v>*Emër Subjekti*</v>
      </c>
      <c r="D175" t="s">
        <v>698</v>
      </c>
      <c r="E175" t="s">
        <v>699</v>
      </c>
      <c r="F175" t="s">
        <v>700</v>
      </c>
      <c r="G175" t="s">
        <v>701</v>
      </c>
      <c r="H175" t="s">
        <v>702</v>
      </c>
    </row>
    <row r="176" spans="2:8" ht="15">
      <c r="B176" s="7"/>
      <c r="C176" t="s">
        <v>2098</v>
      </c>
      <c r="D176" t="s">
        <v>2054</v>
      </c>
      <c r="E176" s="6">
        <v>41389</v>
      </c>
      <c r="F176" t="s">
        <v>707</v>
      </c>
      <c r="G176" t="s">
        <v>2099</v>
      </c>
      <c r="H176" t="s">
        <v>2100</v>
      </c>
    </row>
    <row r="177" spans="2:10" ht="15">
      <c r="B177" s="1">
        <v>89</v>
      </c>
      <c r="C177" t="str">
        <f ca="1">IFERROR(__xludf.DUMMYFUNCTION((TRANSPOSE(ImportHTML("http://spending.data.al/sq/moneypower/view/id/89/year/2011", "table", 0)))),"*Emër Subjekti*")</f>
        <v>*Emër Subjekti*</v>
      </c>
      <c r="D177" t="s">
        <v>698</v>
      </c>
      <c r="E177" t="s">
        <v>699</v>
      </c>
      <c r="F177" t="s">
        <v>698</v>
      </c>
      <c r="G177" t="s">
        <v>699</v>
      </c>
      <c r="H177" t="s">
        <v>700</v>
      </c>
      <c r="I177" t="s">
        <v>701</v>
      </c>
      <c r="J177" t="s">
        <v>702</v>
      </c>
    </row>
    <row r="178" spans="2:10" ht="15">
      <c r="B178" s="7"/>
      <c r="C178" t="s">
        <v>2101</v>
      </c>
      <c r="D178" t="s">
        <v>1879</v>
      </c>
      <c r="F178" t="s">
        <v>2102</v>
      </c>
      <c r="G178" s="6">
        <v>41373</v>
      </c>
      <c r="H178" t="s">
        <v>707</v>
      </c>
      <c r="I178" t="s">
        <v>2103</v>
      </c>
      <c r="J178" t="s">
        <v>2104</v>
      </c>
    </row>
    <row r="179" spans="2:10" ht="15">
      <c r="B179" s="1">
        <v>90</v>
      </c>
      <c r="C179" t="str">
        <f ca="1">IFERROR(__xludf.DUMMYFUNCTION((TRANSPOSE(ImportHTML("http://spending.data.al/sq/moneypower/view/id/90/year/2011", "table", 0)))),"*Emër Subjekti*")</f>
        <v>*Emër Subjekti*</v>
      </c>
      <c r="D179" t="s">
        <v>698</v>
      </c>
      <c r="E179" t="s">
        <v>699</v>
      </c>
      <c r="F179" t="s">
        <v>700</v>
      </c>
      <c r="G179" t="s">
        <v>701</v>
      </c>
      <c r="H179" t="s">
        <v>702</v>
      </c>
    </row>
    <row r="180" spans="2:10" ht="15">
      <c r="B180" s="7"/>
      <c r="C180" t="s">
        <v>2105</v>
      </c>
      <c r="D180" t="s">
        <v>2106</v>
      </c>
      <c r="E180" s="6">
        <v>41250</v>
      </c>
      <c r="F180" t="s">
        <v>707</v>
      </c>
      <c r="G180" t="s">
        <v>2107</v>
      </c>
      <c r="H180" t="s">
        <v>2108</v>
      </c>
    </row>
    <row r="181" spans="2:10" ht="15">
      <c r="B181" s="1">
        <v>91</v>
      </c>
      <c r="C181" t="str">
        <f ca="1">IFERROR(__xludf.DUMMYFUNCTION((TRANSPOSE(ImportHTML("http://spending.data.al/sq/moneypower/view/id/91/year/2011", "table", 0)))),"*Emër Subjekti*")</f>
        <v>*Emër Subjekti*</v>
      </c>
      <c r="D181" t="s">
        <v>698</v>
      </c>
      <c r="E181" t="s">
        <v>699</v>
      </c>
      <c r="F181" t="s">
        <v>700</v>
      </c>
      <c r="G181" t="s">
        <v>701</v>
      </c>
      <c r="H181" t="s">
        <v>702</v>
      </c>
    </row>
    <row r="182" spans="2:10" ht="15">
      <c r="B182" s="7"/>
      <c r="C182" t="s">
        <v>2109</v>
      </c>
      <c r="D182" t="s">
        <v>2110</v>
      </c>
      <c r="E182" s="6">
        <v>41556</v>
      </c>
      <c r="F182" t="s">
        <v>707</v>
      </c>
      <c r="G182" t="s">
        <v>2111</v>
      </c>
      <c r="H182" t="s">
        <v>2112</v>
      </c>
    </row>
    <row r="183" spans="2:10" ht="15">
      <c r="B183" s="1">
        <v>92</v>
      </c>
      <c r="C183" t="str">
        <f ca="1">IFERROR(__xludf.DUMMYFUNCTION((TRANSPOSE(ImportHTML("http://spending.data.al/sq/moneypower/view/id/92/year/2011", "table", 0)))),"*Emër Subjekti*")</f>
        <v>*Emër Subjekti*</v>
      </c>
      <c r="D183" t="s">
        <v>698</v>
      </c>
      <c r="E183" t="s">
        <v>699</v>
      </c>
      <c r="F183" t="s">
        <v>700</v>
      </c>
      <c r="G183" t="s">
        <v>701</v>
      </c>
      <c r="H183" t="s">
        <v>702</v>
      </c>
    </row>
    <row r="184" spans="2:10" ht="15">
      <c r="B184" s="7"/>
      <c r="C184" t="s">
        <v>2113</v>
      </c>
      <c r="D184" t="s">
        <v>2114</v>
      </c>
      <c r="E184" s="6">
        <v>41548</v>
      </c>
      <c r="F184" t="s">
        <v>707</v>
      </c>
      <c r="G184" t="s">
        <v>2115</v>
      </c>
      <c r="H184" t="s">
        <v>707</v>
      </c>
    </row>
    <row r="185" spans="2:10" ht="15">
      <c r="B185" s="1">
        <v>93</v>
      </c>
      <c r="C185" t="str">
        <f ca="1">IFERROR(__xludf.DUMMYFUNCTION((TRANSPOSE(ImportHTML("http://spending.data.al/sq/moneypower/view/id/93/year/2011", "table", 0)))),"*Emër Subjekti*")</f>
        <v>*Emër Subjekti*</v>
      </c>
      <c r="D185" t="s">
        <v>698</v>
      </c>
      <c r="E185" t="s">
        <v>699</v>
      </c>
      <c r="F185" t="s">
        <v>700</v>
      </c>
      <c r="G185" t="s">
        <v>701</v>
      </c>
      <c r="H185" t="s">
        <v>702</v>
      </c>
    </row>
    <row r="186" spans="2:10" ht="15">
      <c r="B186" s="7"/>
      <c r="C186" t="s">
        <v>2116</v>
      </c>
      <c r="D186" t="s">
        <v>2117</v>
      </c>
      <c r="E186" s="6">
        <v>41548</v>
      </c>
      <c r="F186" t="s">
        <v>707</v>
      </c>
      <c r="G186" t="s">
        <v>2118</v>
      </c>
      <c r="H186" t="s">
        <v>707</v>
      </c>
    </row>
    <row r="187" spans="2:10" ht="15">
      <c r="B187" s="1">
        <v>94</v>
      </c>
      <c r="C187" t="str">
        <f ca="1">IFERROR(__xludf.DUMMYFUNCTION((TRANSPOSE(ImportHTML("http://spending.data.al/sq/moneypower/view/id/94/year/2011", "table", 0)))),"*Emër Subjekti*")</f>
        <v>*Emër Subjekti*</v>
      </c>
      <c r="D187" t="s">
        <v>698</v>
      </c>
      <c r="E187" t="s">
        <v>699</v>
      </c>
      <c r="F187" t="s">
        <v>700</v>
      </c>
      <c r="G187" t="s">
        <v>701</v>
      </c>
      <c r="H187" t="s">
        <v>702</v>
      </c>
    </row>
    <row r="188" spans="2:10" ht="15">
      <c r="B188" s="7"/>
      <c r="C188" t="s">
        <v>2119</v>
      </c>
      <c r="D188" t="s">
        <v>2120</v>
      </c>
      <c r="E188" s="6">
        <v>40900</v>
      </c>
      <c r="F188" t="s">
        <v>707</v>
      </c>
      <c r="G188" t="s">
        <v>2121</v>
      </c>
      <c r="H188" t="s">
        <v>2122</v>
      </c>
    </row>
    <row r="189" spans="2:10" ht="15">
      <c r="B189" s="1">
        <v>95</v>
      </c>
      <c r="C189" t="str">
        <f ca="1">IFERROR(__xludf.DUMMYFUNCTION((TRANSPOSE(ImportHTML("http://spending.data.al/sq/moneypower/view/id/95/year/2011", "table", 0)))),"*Emër Subjekti*")</f>
        <v>*Emër Subjekti*</v>
      </c>
      <c r="D189" t="s">
        <v>698</v>
      </c>
      <c r="E189" t="s">
        <v>699</v>
      </c>
      <c r="F189" t="s">
        <v>698</v>
      </c>
      <c r="G189" t="s">
        <v>699</v>
      </c>
      <c r="H189" t="s">
        <v>700</v>
      </c>
      <c r="I189" t="s">
        <v>701</v>
      </c>
      <c r="J189" t="s">
        <v>702</v>
      </c>
    </row>
    <row r="190" spans="2:10" ht="15">
      <c r="B190" s="7"/>
      <c r="C190" t="s">
        <v>2123</v>
      </c>
      <c r="D190" t="s">
        <v>2124</v>
      </c>
      <c r="E190" s="6">
        <v>41115</v>
      </c>
      <c r="F190" t="s">
        <v>1879</v>
      </c>
      <c r="H190" t="s">
        <v>707</v>
      </c>
      <c r="I190" t="s">
        <v>2125</v>
      </c>
      <c r="J190" t="s">
        <v>2126</v>
      </c>
    </row>
    <row r="191" spans="2:10" ht="15">
      <c r="B191" s="1">
        <v>96</v>
      </c>
      <c r="C191" t="str">
        <f ca="1">IFERROR(__xludf.DUMMYFUNCTION((TRANSPOSE(ImportHTML("http://spending.data.al/sq/moneypower/view/id/96/year/2011", "table", 0)))),"*Emër Subjekti*")</f>
        <v>*Emër Subjekti*</v>
      </c>
      <c r="D191" t="s">
        <v>698</v>
      </c>
      <c r="E191" t="s">
        <v>699</v>
      </c>
      <c r="F191" t="s">
        <v>700</v>
      </c>
      <c r="G191" t="s">
        <v>701</v>
      </c>
      <c r="H191" t="s">
        <v>702</v>
      </c>
    </row>
    <row r="192" spans="2:10" ht="15">
      <c r="B192" s="7"/>
      <c r="C192" t="s">
        <v>2127</v>
      </c>
      <c r="D192" t="s">
        <v>2128</v>
      </c>
      <c r="E192" s="6">
        <v>41548</v>
      </c>
      <c r="F192" t="s">
        <v>707</v>
      </c>
      <c r="G192" t="s">
        <v>2129</v>
      </c>
      <c r="H192" t="s">
        <v>707</v>
      </c>
    </row>
    <row r="193" spans="2:8" ht="15">
      <c r="B193" s="1">
        <v>97</v>
      </c>
      <c r="C193" t="str">
        <f ca="1">IFERROR(__xludf.DUMMYFUNCTION((TRANSPOSE(ImportHTML("http://spending.data.al/sq/moneypower/view/id/97/year/2011", "table", 0)))),"*Emër Subjekti*")</f>
        <v>*Emër Subjekti*</v>
      </c>
      <c r="D193" t="s">
        <v>698</v>
      </c>
      <c r="E193" t="s">
        <v>699</v>
      </c>
      <c r="F193" t="s">
        <v>700</v>
      </c>
      <c r="G193" t="s">
        <v>701</v>
      </c>
      <c r="H193" t="s">
        <v>702</v>
      </c>
    </row>
    <row r="194" spans="2:8" ht="15">
      <c r="B194" s="7"/>
      <c r="C194" t="s">
        <v>2130</v>
      </c>
      <c r="D194" t="s">
        <v>2131</v>
      </c>
      <c r="E194" s="6">
        <v>40899</v>
      </c>
      <c r="F194" t="s">
        <v>707</v>
      </c>
      <c r="G194" t="s">
        <v>2132</v>
      </c>
      <c r="H194" t="s">
        <v>2133</v>
      </c>
    </row>
    <row r="195" spans="2:8" ht="15">
      <c r="B195" s="1">
        <v>98</v>
      </c>
      <c r="C195" t="str">
        <f ca="1">IFERROR(__xludf.DUMMYFUNCTION((TRANSPOSE(ImportHTML("http://spending.data.al/sq/moneypower/view/id/98/year/2011", "table", 0)))),"*Emër Subjekti*")</f>
        <v>*Emër Subjekti*</v>
      </c>
      <c r="D195" t="s">
        <v>698</v>
      </c>
      <c r="E195" t="s">
        <v>699</v>
      </c>
      <c r="F195" t="s">
        <v>700</v>
      </c>
      <c r="G195" t="s">
        <v>701</v>
      </c>
      <c r="H195" t="s">
        <v>702</v>
      </c>
    </row>
    <row r="196" spans="2:8" ht="15">
      <c r="B196" s="7"/>
      <c r="C196" t="s">
        <v>2134</v>
      </c>
      <c r="D196" t="s">
        <v>2135</v>
      </c>
      <c r="E196" s="6">
        <v>41130</v>
      </c>
      <c r="F196" t="s">
        <v>707</v>
      </c>
      <c r="G196" t="s">
        <v>2136</v>
      </c>
      <c r="H196" t="s">
        <v>2137</v>
      </c>
    </row>
    <row r="197" spans="2:8" ht="15">
      <c r="B197" s="1">
        <v>99</v>
      </c>
      <c r="C197" t="str">
        <f ca="1">IFERROR(__xludf.DUMMYFUNCTION((TRANSPOSE(ImportHTML("http://spending.data.al/sq/moneypower/view/id/99/year/2011", "table", 0)))),"*Emër Subjekti*")</f>
        <v>*Emër Subjekti*</v>
      </c>
      <c r="D197" t="s">
        <v>698</v>
      </c>
      <c r="E197" t="s">
        <v>699</v>
      </c>
      <c r="F197" t="s">
        <v>700</v>
      </c>
      <c r="G197" t="s">
        <v>701</v>
      </c>
      <c r="H197" t="s">
        <v>702</v>
      </c>
    </row>
    <row r="198" spans="2:8" ht="15">
      <c r="B198" s="7"/>
      <c r="C198" t="s">
        <v>2138</v>
      </c>
      <c r="D198" t="s">
        <v>1879</v>
      </c>
      <c r="E198" t="s">
        <v>2139</v>
      </c>
      <c r="F198" t="s">
        <v>707</v>
      </c>
      <c r="G198" t="s">
        <v>2140</v>
      </c>
      <c r="H198" t="s">
        <v>2141</v>
      </c>
    </row>
    <row r="199" spans="2:8" ht="15">
      <c r="B199" s="1">
        <v>100</v>
      </c>
      <c r="C199" t="str">
        <f ca="1">IFERROR(__xludf.DUMMYFUNCTION((TRANSPOSE(ImportHTML("http://spending.data.al/sq/moneypower/view/id/100/year/2011", "table", 0)))),"*Emër Subjekti*")</f>
        <v>*Emër Subjekti*</v>
      </c>
      <c r="D199" t="s">
        <v>698</v>
      </c>
      <c r="E199" t="s">
        <v>699</v>
      </c>
      <c r="F199" t="s">
        <v>700</v>
      </c>
      <c r="G199" t="s">
        <v>701</v>
      </c>
      <c r="H199" t="s">
        <v>702</v>
      </c>
    </row>
    <row r="200" spans="2:8" ht="15">
      <c r="B200" s="7"/>
      <c r="C200" t="s">
        <v>2142</v>
      </c>
      <c r="D200" t="s">
        <v>1879</v>
      </c>
      <c r="E200" s="6">
        <v>41557</v>
      </c>
      <c r="F200" t="s">
        <v>707</v>
      </c>
      <c r="G200" t="s">
        <v>2143</v>
      </c>
      <c r="H200" t="s">
        <v>2144</v>
      </c>
    </row>
    <row r="201" spans="2:8" ht="15">
      <c r="B201" s="1">
        <v>101</v>
      </c>
      <c r="C201" t="str">
        <f ca="1">IFERROR(__xludf.DUMMYFUNCTION((TRANSPOSE(ImportHTML("http://spending.data.al/sq/moneypower/view/id/101/year/2011", "table", 0)))),"*Emër Subjekti*")</f>
        <v>*Emër Subjekti*</v>
      </c>
      <c r="D201" t="s">
        <v>698</v>
      </c>
      <c r="E201" t="s">
        <v>699</v>
      </c>
      <c r="F201" t="s">
        <v>700</v>
      </c>
      <c r="G201" t="s">
        <v>701</v>
      </c>
      <c r="H201" t="s">
        <v>702</v>
      </c>
    </row>
    <row r="202" spans="2:8" ht="15">
      <c r="B202" s="7"/>
      <c r="C202" t="s">
        <v>2145</v>
      </c>
      <c r="D202" t="s">
        <v>1879</v>
      </c>
      <c r="E202" s="6">
        <v>41389</v>
      </c>
      <c r="F202" t="s">
        <v>707</v>
      </c>
      <c r="G202" t="s">
        <v>2146</v>
      </c>
      <c r="H202" t="s">
        <v>707</v>
      </c>
    </row>
    <row r="203" spans="2:8" ht="15">
      <c r="B203" s="1">
        <v>102</v>
      </c>
      <c r="C203" t="str">
        <f ca="1">IFERROR(__xludf.DUMMYFUNCTION((TRANSPOSE(ImportHTML("http://spending.data.al/sq/moneypower/view/id/102/year/2011", "table", 0)))),"*Emër Subjekti*")</f>
        <v>*Emër Subjekti*</v>
      </c>
      <c r="D203" t="s">
        <v>698</v>
      </c>
      <c r="E203" t="s">
        <v>699</v>
      </c>
      <c r="F203" t="s">
        <v>700</v>
      </c>
      <c r="G203" t="s">
        <v>701</v>
      </c>
      <c r="H203" t="s">
        <v>702</v>
      </c>
    </row>
    <row r="204" spans="2:8" ht="15">
      <c r="B204" s="7"/>
      <c r="C204" t="s">
        <v>2147</v>
      </c>
      <c r="D204" t="s">
        <v>1879</v>
      </c>
      <c r="E204" t="s">
        <v>2148</v>
      </c>
      <c r="F204" t="s">
        <v>707</v>
      </c>
      <c r="G204" t="s">
        <v>2149</v>
      </c>
      <c r="H204" t="s">
        <v>2150</v>
      </c>
    </row>
    <row r="205" spans="2:8" ht="15">
      <c r="B205" s="1">
        <v>103</v>
      </c>
      <c r="C205" t="str">
        <f ca="1">IFERROR(__xludf.DUMMYFUNCTION((TRANSPOSE(ImportHTML("http://spending.data.al/sq/moneypower/view/id/103/year/2011", "table", 0)))),"*Emër Subjekti*")</f>
        <v>*Emër Subjekti*</v>
      </c>
      <c r="D205" t="s">
        <v>698</v>
      </c>
      <c r="E205" t="s">
        <v>699</v>
      </c>
      <c r="F205" t="s">
        <v>700</v>
      </c>
      <c r="G205" t="s">
        <v>701</v>
      </c>
      <c r="H205" t="s">
        <v>702</v>
      </c>
    </row>
    <row r="206" spans="2:8" ht="15">
      <c r="B206" s="7"/>
      <c r="C206" t="s">
        <v>2151</v>
      </c>
      <c r="D206" t="s">
        <v>1879</v>
      </c>
      <c r="E206" t="s">
        <v>2152</v>
      </c>
      <c r="F206" t="s">
        <v>707</v>
      </c>
      <c r="G206" t="s">
        <v>2153</v>
      </c>
      <c r="H206" t="s">
        <v>2154</v>
      </c>
    </row>
    <row r="207" spans="2:8" ht="15">
      <c r="B207" s="1">
        <v>104</v>
      </c>
      <c r="C207" t="str">
        <f ca="1">IFERROR(__xludf.DUMMYFUNCTION((TRANSPOSE(ImportHTML("http://spending.data.al/sq/moneypower/view/id/104/year/2011", "table", 0)))),"*Emër Subjekti*")</f>
        <v>*Emër Subjekti*</v>
      </c>
      <c r="D207" t="s">
        <v>698</v>
      </c>
      <c r="E207" t="s">
        <v>699</v>
      </c>
      <c r="F207" t="s">
        <v>700</v>
      </c>
      <c r="G207" t="s">
        <v>701</v>
      </c>
      <c r="H207" t="s">
        <v>702</v>
      </c>
    </row>
    <row r="208" spans="2:8" ht="15">
      <c r="B208" s="7"/>
      <c r="C208" t="s">
        <v>2155</v>
      </c>
      <c r="D208" t="s">
        <v>1879</v>
      </c>
      <c r="E208" t="s">
        <v>2156</v>
      </c>
      <c r="F208" t="s">
        <v>707</v>
      </c>
      <c r="G208" t="s">
        <v>2157</v>
      </c>
      <c r="H208" t="s">
        <v>2158</v>
      </c>
    </row>
    <row r="209" spans="2:8" ht="15">
      <c r="B209" s="1">
        <v>105</v>
      </c>
      <c r="C209" t="str">
        <f ca="1">IFERROR(__xludf.DUMMYFUNCTION((TRANSPOSE(ImportHTML("http://spending.data.al/sq/moneypower/view/id/105/year/2011", "table", 0)))),"*Emër Subjekti*")</f>
        <v>*Emër Subjekti*</v>
      </c>
      <c r="D209" t="s">
        <v>698</v>
      </c>
      <c r="E209" t="s">
        <v>699</v>
      </c>
      <c r="F209" t="s">
        <v>700</v>
      </c>
      <c r="G209" t="s">
        <v>701</v>
      </c>
      <c r="H209" t="s">
        <v>702</v>
      </c>
    </row>
    <row r="210" spans="2:8" ht="15">
      <c r="B210" s="7"/>
      <c r="C210" t="s">
        <v>2159</v>
      </c>
      <c r="D210" t="s">
        <v>1879</v>
      </c>
      <c r="E210" t="s">
        <v>2160</v>
      </c>
      <c r="F210" t="s">
        <v>707</v>
      </c>
      <c r="G210" t="s">
        <v>2161</v>
      </c>
      <c r="H210" t="s">
        <v>2162</v>
      </c>
    </row>
    <row r="211" spans="2:8" ht="15">
      <c r="B211" s="1">
        <v>106</v>
      </c>
      <c r="C211" t="str">
        <f ca="1">IFERROR(__xludf.DUMMYFUNCTION((TRANSPOSE(ImportHTML("http://spending.data.al/sq/moneypower/view/id/106/year/2011", "table", 0)))),"*Emër Subjekti*")</f>
        <v>*Emër Subjekti*</v>
      </c>
      <c r="D211" t="s">
        <v>698</v>
      </c>
      <c r="E211" t="s">
        <v>699</v>
      </c>
      <c r="F211" t="s">
        <v>700</v>
      </c>
      <c r="G211" t="s">
        <v>701</v>
      </c>
      <c r="H211" t="s">
        <v>702</v>
      </c>
    </row>
    <row r="212" spans="2:8" ht="15">
      <c r="B212" s="7"/>
      <c r="C212" t="s">
        <v>2163</v>
      </c>
      <c r="D212" t="s">
        <v>1879</v>
      </c>
      <c r="E212" s="6">
        <v>41128</v>
      </c>
      <c r="F212" t="s">
        <v>707</v>
      </c>
      <c r="G212" t="s">
        <v>2164</v>
      </c>
      <c r="H212" t="s">
        <v>2165</v>
      </c>
    </row>
    <row r="213" spans="2:8" ht="15">
      <c r="B213" s="1">
        <v>107</v>
      </c>
      <c r="C213" t="str">
        <f ca="1">IFERROR(__xludf.DUMMYFUNCTION((TRANSPOSE(ImportHTML("http://spending.data.al/sq/moneypower/view/id/107/year/2011", "table", 0)))),"*Emër Subjekti*")</f>
        <v>*Emër Subjekti*</v>
      </c>
      <c r="D213" t="s">
        <v>698</v>
      </c>
      <c r="E213" t="s">
        <v>699</v>
      </c>
      <c r="F213" t="s">
        <v>700</v>
      </c>
      <c r="G213" t="s">
        <v>701</v>
      </c>
      <c r="H213" t="s">
        <v>702</v>
      </c>
    </row>
    <row r="214" spans="2:8" ht="15">
      <c r="B214" s="7"/>
      <c r="C214" t="s">
        <v>2166</v>
      </c>
      <c r="D214" t="s">
        <v>1879</v>
      </c>
      <c r="E214" t="s">
        <v>2167</v>
      </c>
      <c r="F214" t="s">
        <v>707</v>
      </c>
      <c r="G214" t="s">
        <v>2168</v>
      </c>
      <c r="H214" t="s">
        <v>2169</v>
      </c>
    </row>
    <row r="215" spans="2:8" ht="15">
      <c r="B215" s="1">
        <v>108</v>
      </c>
      <c r="C215" t="str">
        <f ca="1">IFERROR(__xludf.DUMMYFUNCTION((TRANSPOSE(ImportHTML("http://spending.data.al/sq/moneypower/view/id/108/year/2011", "table", 0)))),"*Emër Subjekti*")</f>
        <v>*Emër Subjekti*</v>
      </c>
      <c r="D215" t="s">
        <v>698</v>
      </c>
      <c r="E215" t="s">
        <v>699</v>
      </c>
      <c r="F215" t="s">
        <v>700</v>
      </c>
      <c r="G215" t="s">
        <v>701</v>
      </c>
      <c r="H215" t="s">
        <v>702</v>
      </c>
    </row>
    <row r="216" spans="2:8" ht="15">
      <c r="B216" s="7"/>
      <c r="C216" t="s">
        <v>2170</v>
      </c>
      <c r="D216" t="s">
        <v>1879</v>
      </c>
      <c r="E216" t="s">
        <v>2171</v>
      </c>
      <c r="F216" t="s">
        <v>707</v>
      </c>
      <c r="G216" t="s">
        <v>2172</v>
      </c>
      <c r="H216" t="s">
        <v>1918</v>
      </c>
    </row>
    <row r="217" spans="2:8" ht="15">
      <c r="B217" s="1">
        <v>109</v>
      </c>
      <c r="C217" t="str">
        <f ca="1">IFERROR(__xludf.DUMMYFUNCTION((TRANSPOSE(ImportHTML("http://spending.data.al/sq/moneypower/view/id/109/year/2011", "table", 0)))),"*Emër Subjekti*")</f>
        <v>*Emër Subjekti*</v>
      </c>
      <c r="D217" t="s">
        <v>698</v>
      </c>
      <c r="E217" t="s">
        <v>699</v>
      </c>
      <c r="F217" t="s">
        <v>700</v>
      </c>
      <c r="G217" t="s">
        <v>701</v>
      </c>
      <c r="H217" t="s">
        <v>702</v>
      </c>
    </row>
    <row r="218" spans="2:8" ht="15">
      <c r="B218" s="7"/>
      <c r="C218" t="s">
        <v>2173</v>
      </c>
      <c r="D218" t="s">
        <v>1879</v>
      </c>
      <c r="E218" t="s">
        <v>2174</v>
      </c>
      <c r="F218" t="s">
        <v>707</v>
      </c>
      <c r="G218" t="s">
        <v>2175</v>
      </c>
      <c r="H218" t="s">
        <v>2176</v>
      </c>
    </row>
    <row r="219" spans="2:8" ht="15">
      <c r="B219" s="1">
        <v>110</v>
      </c>
      <c r="C219" t="str">
        <f ca="1">IFERROR(__xludf.DUMMYFUNCTION((TRANSPOSE(ImportHTML("http://spending.data.al/sq/moneypower/view/id/110/year/2011", "table", 0)))),"*Emër Subjekti*")</f>
        <v>*Emër Subjekti*</v>
      </c>
      <c r="D219" t="s">
        <v>698</v>
      </c>
      <c r="E219" t="s">
        <v>699</v>
      </c>
      <c r="F219" t="s">
        <v>700</v>
      </c>
      <c r="G219" t="s">
        <v>701</v>
      </c>
      <c r="H219" t="s">
        <v>702</v>
      </c>
    </row>
    <row r="220" spans="2:8" ht="15">
      <c r="B220" s="7"/>
      <c r="C220" t="s">
        <v>2177</v>
      </c>
      <c r="D220" t="s">
        <v>711</v>
      </c>
      <c r="E220" t="s">
        <v>2178</v>
      </c>
      <c r="F220" t="s">
        <v>712</v>
      </c>
      <c r="G220" t="s">
        <v>2179</v>
      </c>
      <c r="H220" t="s">
        <v>708</v>
      </c>
    </row>
    <row r="221" spans="2:8" ht="15">
      <c r="B221" s="1">
        <v>111</v>
      </c>
      <c r="C221" t="str">
        <f ca="1">IFERROR(__xludf.DUMMYFUNCTION((TRANSPOSE(ImportHTML("http://spending.data.al/sq/moneypower/view/id/111/year/2011", "table", 0)))),"*Emër Subjekti*")</f>
        <v>*Emër Subjekti*</v>
      </c>
      <c r="D221" t="s">
        <v>698</v>
      </c>
      <c r="E221" t="s">
        <v>699</v>
      </c>
      <c r="F221" t="s">
        <v>700</v>
      </c>
      <c r="G221" t="s">
        <v>701</v>
      </c>
      <c r="H221" t="s">
        <v>702</v>
      </c>
    </row>
    <row r="222" spans="2:8" ht="15">
      <c r="B222" s="7"/>
      <c r="C222" t="s">
        <v>2180</v>
      </c>
      <c r="D222" t="s">
        <v>711</v>
      </c>
      <c r="E222" t="s">
        <v>2178</v>
      </c>
      <c r="F222" t="s">
        <v>2181</v>
      </c>
      <c r="G222" t="s">
        <v>2182</v>
      </c>
      <c r="H222" t="s">
        <v>2183</v>
      </c>
    </row>
    <row r="223" spans="2:8" ht="15">
      <c r="B223" s="1">
        <v>112</v>
      </c>
      <c r="C223" t="str">
        <f ca="1">IFERROR(__xludf.DUMMYFUNCTION((TRANSPOSE(ImportHTML("http://spending.data.al/sq/moneypower/view/id/112/year/2011", "table", 0)))),"*Emër Subjekti*")</f>
        <v>*Emër Subjekti*</v>
      </c>
      <c r="D223" t="s">
        <v>698</v>
      </c>
      <c r="E223" t="s">
        <v>699</v>
      </c>
      <c r="F223" t="s">
        <v>700</v>
      </c>
      <c r="G223" t="s">
        <v>701</v>
      </c>
      <c r="H223" t="s">
        <v>702</v>
      </c>
    </row>
    <row r="224" spans="2:8" ht="15">
      <c r="B224" s="7"/>
      <c r="C224" t="s">
        <v>2184</v>
      </c>
      <c r="D224" t="s">
        <v>711</v>
      </c>
      <c r="E224" t="s">
        <v>2185</v>
      </c>
      <c r="F224" t="s">
        <v>2186</v>
      </c>
      <c r="G224" t="s">
        <v>2187</v>
      </c>
      <c r="H224" t="s">
        <v>2188</v>
      </c>
    </row>
    <row r="225" spans="2:8" ht="15">
      <c r="B225" s="1">
        <v>113</v>
      </c>
      <c r="C225" t="str">
        <f ca="1">IFERROR(__xludf.DUMMYFUNCTION((TRANSPOSE(ImportHTML("http://spending.data.al/sq/moneypower/view/id/113/year/2011", "table", 0)))),"*Emër Subjekti*")</f>
        <v>*Emër Subjekti*</v>
      </c>
      <c r="D225" t="s">
        <v>698</v>
      </c>
      <c r="E225" t="s">
        <v>699</v>
      </c>
      <c r="F225" t="s">
        <v>700</v>
      </c>
      <c r="G225" t="s">
        <v>701</v>
      </c>
      <c r="H225" t="s">
        <v>702</v>
      </c>
    </row>
    <row r="226" spans="2:8" ht="15">
      <c r="B226" s="7"/>
      <c r="C226" t="s">
        <v>2189</v>
      </c>
      <c r="D226" t="s">
        <v>711</v>
      </c>
      <c r="E226" t="s">
        <v>2190</v>
      </c>
      <c r="F226" t="s">
        <v>2191</v>
      </c>
      <c r="G226" t="s">
        <v>2192</v>
      </c>
      <c r="H226" t="s">
        <v>2193</v>
      </c>
    </row>
    <row r="227" spans="2:8" ht="15">
      <c r="B227" s="1">
        <v>114</v>
      </c>
      <c r="C227" t="str">
        <f ca="1">IFERROR(__xludf.DUMMYFUNCTION((TRANSPOSE(ImportHTML("http://spending.data.al/sq/moneypower/view/id/114/year/2011", "table", 0)))),"*Emër Subjekti*")</f>
        <v>*Emër Subjekti*</v>
      </c>
      <c r="D227" t="s">
        <v>698</v>
      </c>
      <c r="E227" t="s">
        <v>699</v>
      </c>
      <c r="F227" t="s">
        <v>700</v>
      </c>
      <c r="G227" t="s">
        <v>701</v>
      </c>
      <c r="H227" t="s">
        <v>702</v>
      </c>
    </row>
    <row r="228" spans="2:8" ht="15">
      <c r="B228" s="7"/>
      <c r="C228" t="s">
        <v>2194</v>
      </c>
      <c r="D228" t="s">
        <v>711</v>
      </c>
      <c r="E228" t="s">
        <v>2190</v>
      </c>
      <c r="F228" t="s">
        <v>2191</v>
      </c>
      <c r="G228" t="s">
        <v>2195</v>
      </c>
      <c r="H228" t="s">
        <v>2196</v>
      </c>
    </row>
    <row r="229" spans="2:8" ht="15">
      <c r="B229" s="1">
        <v>115</v>
      </c>
      <c r="C229" t="str">
        <f ca="1">IFERROR(__xludf.DUMMYFUNCTION((TRANSPOSE(ImportHTML("http://spending.data.al/sq/moneypower/view/id/115/year/2011", "table", 0)))),"*Emër Subjekti*")</f>
        <v>*Emër Subjekti*</v>
      </c>
      <c r="D229" t="s">
        <v>698</v>
      </c>
      <c r="E229" t="s">
        <v>699</v>
      </c>
      <c r="F229" t="s">
        <v>700</v>
      </c>
      <c r="G229" t="s">
        <v>701</v>
      </c>
      <c r="H229" t="s">
        <v>702</v>
      </c>
    </row>
    <row r="230" spans="2:8" ht="15">
      <c r="B230" s="7"/>
      <c r="C230" t="s">
        <v>2197</v>
      </c>
      <c r="D230" t="s">
        <v>711</v>
      </c>
      <c r="E230" t="s">
        <v>2190</v>
      </c>
      <c r="F230" t="s">
        <v>2191</v>
      </c>
      <c r="G230" t="s">
        <v>2198</v>
      </c>
      <c r="H230" t="s">
        <v>2199</v>
      </c>
    </row>
    <row r="231" spans="2:8" ht="15">
      <c r="B231" s="1">
        <v>116</v>
      </c>
      <c r="C231" t="str">
        <f ca="1">IFERROR(__xludf.DUMMYFUNCTION((TRANSPOSE(ImportHTML("http://spending.data.al/sq/moneypower/view/id/116/year/2011", "table", 0)))),"*Emër Subjekti*")</f>
        <v>*Emër Subjekti*</v>
      </c>
      <c r="D231" t="s">
        <v>698</v>
      </c>
      <c r="E231" t="s">
        <v>699</v>
      </c>
      <c r="F231" t="s">
        <v>700</v>
      </c>
      <c r="G231" t="s">
        <v>701</v>
      </c>
      <c r="H231" t="s">
        <v>702</v>
      </c>
    </row>
    <row r="232" spans="2:8" ht="15">
      <c r="B232" s="7"/>
      <c r="C232" t="s">
        <v>2200</v>
      </c>
      <c r="D232" t="s">
        <v>711</v>
      </c>
      <c r="E232" t="s">
        <v>2190</v>
      </c>
      <c r="F232" t="s">
        <v>2186</v>
      </c>
      <c r="G232" t="s">
        <v>2201</v>
      </c>
      <c r="H232" t="s">
        <v>1918</v>
      </c>
    </row>
    <row r="233" spans="2:8" ht="15">
      <c r="B233" s="1">
        <v>117</v>
      </c>
      <c r="C233" t="str">
        <f ca="1">IFERROR(__xludf.DUMMYFUNCTION((TRANSPOSE(ImportHTML("http://spending.data.al/sq/moneypower/view/id/117/year/2011", "table", 0)))),"*Emër Subjekti*")</f>
        <v>*Emër Subjekti*</v>
      </c>
      <c r="D233" t="s">
        <v>698</v>
      </c>
      <c r="E233" t="s">
        <v>699</v>
      </c>
      <c r="F233" t="s">
        <v>700</v>
      </c>
      <c r="G233" t="s">
        <v>701</v>
      </c>
      <c r="H233" t="s">
        <v>702</v>
      </c>
    </row>
    <row r="234" spans="2:8" ht="15">
      <c r="B234" s="7"/>
      <c r="C234" t="s">
        <v>2202</v>
      </c>
      <c r="D234" t="s">
        <v>711</v>
      </c>
      <c r="E234" t="s">
        <v>2203</v>
      </c>
      <c r="F234" t="s">
        <v>2191</v>
      </c>
      <c r="G234" t="s">
        <v>2204</v>
      </c>
      <c r="H234" t="s">
        <v>2205</v>
      </c>
    </row>
    <row r="235" spans="2:8" ht="15">
      <c r="B235" s="1">
        <v>118</v>
      </c>
      <c r="C235" t="str">
        <f ca="1">IFERROR(__xludf.DUMMYFUNCTION((TRANSPOSE(ImportHTML("http://spending.data.al/sq/moneypower/view/id/118/year/2011", "table", 0)))),"*Emër Subjekti*")</f>
        <v>*Emër Subjekti*</v>
      </c>
      <c r="D235" t="s">
        <v>698</v>
      </c>
      <c r="E235" t="s">
        <v>699</v>
      </c>
      <c r="F235" t="s">
        <v>700</v>
      </c>
      <c r="G235" t="s">
        <v>701</v>
      </c>
      <c r="H235" t="s">
        <v>702</v>
      </c>
    </row>
    <row r="236" spans="2:8" ht="15">
      <c r="B236" s="7"/>
      <c r="C236" t="s">
        <v>2206</v>
      </c>
      <c r="D236" t="s">
        <v>711</v>
      </c>
      <c r="E236" t="s">
        <v>2207</v>
      </c>
      <c r="F236" t="s">
        <v>2191</v>
      </c>
      <c r="G236" t="s">
        <v>2208</v>
      </c>
      <c r="H236" t="s">
        <v>707</v>
      </c>
    </row>
    <row r="237" spans="2:8" ht="15">
      <c r="B237" s="1">
        <v>119</v>
      </c>
      <c r="C237" t="str">
        <f ca="1">IFERROR(__xludf.DUMMYFUNCTION((TRANSPOSE(ImportHTML("http://spending.data.al/sq/moneypower/view/id/119/year/2011", "table", 0)))),"*Emër Subjekti*")</f>
        <v>*Emër Subjekti*</v>
      </c>
      <c r="D237" t="s">
        <v>698</v>
      </c>
      <c r="E237" t="s">
        <v>699</v>
      </c>
      <c r="F237" t="s">
        <v>700</v>
      </c>
      <c r="G237" t="s">
        <v>701</v>
      </c>
      <c r="H237" t="s">
        <v>702</v>
      </c>
    </row>
    <row r="238" spans="2:8" ht="15">
      <c r="B238" s="7"/>
      <c r="C238" t="s">
        <v>2209</v>
      </c>
      <c r="D238" t="s">
        <v>711</v>
      </c>
      <c r="E238" t="s">
        <v>2210</v>
      </c>
      <c r="F238" t="s">
        <v>2191</v>
      </c>
      <c r="G238" t="s">
        <v>2211</v>
      </c>
      <c r="H238" t="s">
        <v>2212</v>
      </c>
    </row>
    <row r="239" spans="2:8" ht="15">
      <c r="B239" s="1">
        <v>120</v>
      </c>
      <c r="C239" t="str">
        <f ca="1">IFERROR(__xludf.DUMMYFUNCTION((TRANSPOSE(ImportHTML("http://spending.data.al/sq/moneypower/view/id/120/year/2011", "table", 0)))),"*Emër Subjekti*")</f>
        <v>*Emër Subjekti*</v>
      </c>
      <c r="D239" t="s">
        <v>698</v>
      </c>
      <c r="E239" t="s">
        <v>699</v>
      </c>
      <c r="F239" t="s">
        <v>700</v>
      </c>
      <c r="G239" t="s">
        <v>701</v>
      </c>
      <c r="H239" t="s">
        <v>702</v>
      </c>
    </row>
    <row r="240" spans="2:8" ht="15">
      <c r="B240" s="7"/>
      <c r="C240" t="s">
        <v>2213</v>
      </c>
      <c r="D240" t="s">
        <v>711</v>
      </c>
      <c r="E240" t="s">
        <v>2207</v>
      </c>
      <c r="F240" t="s">
        <v>2191</v>
      </c>
      <c r="G240" t="s">
        <v>2214</v>
      </c>
      <c r="H240" t="s">
        <v>2215</v>
      </c>
    </row>
    <row r="241" spans="2:8" ht="15">
      <c r="B241" s="1">
        <v>121</v>
      </c>
      <c r="C241" t="str">
        <f ca="1">IFERROR(__xludf.DUMMYFUNCTION((TRANSPOSE(ImportHTML("http://spending.data.al/sq/moneypower/view/id/121/year/2011", "table", 0)))),"*Emër Subjekti*")</f>
        <v>*Emër Subjekti*</v>
      </c>
      <c r="D241" t="s">
        <v>698</v>
      </c>
      <c r="E241" t="s">
        <v>699</v>
      </c>
      <c r="F241" t="s">
        <v>700</v>
      </c>
      <c r="G241" t="s">
        <v>701</v>
      </c>
      <c r="H241" t="s">
        <v>702</v>
      </c>
    </row>
    <row r="242" spans="2:8" ht="15">
      <c r="B242" s="7"/>
      <c r="C242" t="s">
        <v>2216</v>
      </c>
      <c r="D242" t="s">
        <v>711</v>
      </c>
      <c r="E242" t="s">
        <v>2210</v>
      </c>
      <c r="F242" t="s">
        <v>2191</v>
      </c>
      <c r="G242" t="s">
        <v>2217</v>
      </c>
      <c r="H242" t="s">
        <v>2218</v>
      </c>
    </row>
    <row r="243" spans="2:8" ht="15">
      <c r="B243" s="1">
        <v>122</v>
      </c>
      <c r="C243" t="str">
        <f ca="1">IFERROR(__xludf.DUMMYFUNCTION((TRANSPOSE(ImportHTML("http://spending.data.al/sq/moneypower/view/id/122/year/2011", "table", 0)))),"*Emër Subjekti*")</f>
        <v>*Emër Subjekti*</v>
      </c>
      <c r="D243" t="s">
        <v>698</v>
      </c>
      <c r="E243" t="s">
        <v>699</v>
      </c>
      <c r="F243" t="s">
        <v>700</v>
      </c>
      <c r="G243" t="s">
        <v>701</v>
      </c>
      <c r="H243" t="s">
        <v>702</v>
      </c>
    </row>
    <row r="244" spans="2:8" ht="15">
      <c r="B244" s="7"/>
      <c r="C244" t="s">
        <v>2219</v>
      </c>
      <c r="D244" t="s">
        <v>711</v>
      </c>
      <c r="E244" t="s">
        <v>2190</v>
      </c>
      <c r="F244" t="s">
        <v>2191</v>
      </c>
      <c r="G244" t="s">
        <v>2220</v>
      </c>
      <c r="H244" t="s">
        <v>2221</v>
      </c>
    </row>
    <row r="245" spans="2:8" ht="15">
      <c r="B245" s="1">
        <v>123</v>
      </c>
      <c r="C245" t="str">
        <f ca="1">IFERROR(__xludf.DUMMYFUNCTION((TRANSPOSE(ImportHTML("http://spending.data.al/sq/moneypower/view/id/123/year/2011", "table", 0)))),"*Emër Subjekti*")</f>
        <v>*Emër Subjekti*</v>
      </c>
      <c r="D245" t="s">
        <v>698</v>
      </c>
      <c r="E245" t="s">
        <v>699</v>
      </c>
      <c r="F245" t="s">
        <v>700</v>
      </c>
      <c r="G245" t="s">
        <v>701</v>
      </c>
      <c r="H245" t="s">
        <v>702</v>
      </c>
    </row>
    <row r="246" spans="2:8" ht="15">
      <c r="B246" s="7"/>
      <c r="C246" t="s">
        <v>2222</v>
      </c>
      <c r="D246" t="s">
        <v>711</v>
      </c>
      <c r="E246" t="s">
        <v>2178</v>
      </c>
      <c r="F246" t="s">
        <v>2191</v>
      </c>
      <c r="G246" t="s">
        <v>2223</v>
      </c>
      <c r="H246" t="s">
        <v>2224</v>
      </c>
    </row>
    <row r="247" spans="2:8" ht="15">
      <c r="B247" s="1">
        <v>124</v>
      </c>
      <c r="C247" t="str">
        <f ca="1">IFERROR(__xludf.DUMMYFUNCTION((TRANSPOSE(ImportHTML("http://spending.data.al/sq/moneypower/view/id/124/year/2011", "table", 0)))),"*Emër Subjekti*")</f>
        <v>*Emër Subjekti*</v>
      </c>
      <c r="D247" t="s">
        <v>698</v>
      </c>
      <c r="E247" t="s">
        <v>699</v>
      </c>
      <c r="F247" t="s">
        <v>700</v>
      </c>
      <c r="G247" t="s">
        <v>701</v>
      </c>
      <c r="H247" t="s">
        <v>702</v>
      </c>
    </row>
    <row r="248" spans="2:8" ht="15">
      <c r="B248" s="7"/>
      <c r="C248" t="s">
        <v>2225</v>
      </c>
      <c r="D248" t="s">
        <v>711</v>
      </c>
      <c r="E248" t="s">
        <v>2178</v>
      </c>
      <c r="F248" t="s">
        <v>2226</v>
      </c>
      <c r="G248" t="s">
        <v>2227</v>
      </c>
      <c r="H248" t="s">
        <v>2228</v>
      </c>
    </row>
    <row r="249" spans="2:8" ht="15">
      <c r="B249" s="1">
        <v>125</v>
      </c>
      <c r="C249" t="str">
        <f ca="1">IFERROR(__xludf.DUMMYFUNCTION((TRANSPOSE(ImportHTML("http://spending.data.al/sq/moneypower/view/id/125/year/2011", "table", 0)))),"*Emër Subjekti*")</f>
        <v>*Emër Subjekti*</v>
      </c>
      <c r="D249" t="s">
        <v>698</v>
      </c>
      <c r="E249" t="s">
        <v>699</v>
      </c>
      <c r="F249" t="s">
        <v>700</v>
      </c>
      <c r="G249" t="s">
        <v>701</v>
      </c>
      <c r="H249" t="s">
        <v>702</v>
      </c>
    </row>
    <row r="250" spans="2:8" ht="15">
      <c r="B250" s="7"/>
      <c r="C250" t="s">
        <v>2229</v>
      </c>
      <c r="D250" t="s">
        <v>711</v>
      </c>
      <c r="E250" t="s">
        <v>2190</v>
      </c>
      <c r="F250" t="s">
        <v>2226</v>
      </c>
      <c r="G250" t="s">
        <v>2230</v>
      </c>
      <c r="H250" t="s">
        <v>707</v>
      </c>
    </row>
    <row r="251" spans="2:8" ht="15">
      <c r="B251" s="1">
        <v>126</v>
      </c>
      <c r="C251" t="str">
        <f ca="1">IFERROR(__xludf.DUMMYFUNCTION((TRANSPOSE(ImportHTML("http://spending.data.al/sq/moneypower/view/id/126/year/2011", "table", 0)))),"*Emër Subjekti*")</f>
        <v>*Emër Subjekti*</v>
      </c>
      <c r="D251" t="s">
        <v>698</v>
      </c>
      <c r="E251" t="s">
        <v>699</v>
      </c>
      <c r="F251" t="s">
        <v>700</v>
      </c>
      <c r="G251" t="s">
        <v>701</v>
      </c>
      <c r="H251" t="s">
        <v>702</v>
      </c>
    </row>
    <row r="252" spans="2:8" ht="15">
      <c r="B252" s="7"/>
      <c r="C252" t="s">
        <v>2231</v>
      </c>
      <c r="D252" t="s">
        <v>711</v>
      </c>
      <c r="E252" t="s">
        <v>2178</v>
      </c>
      <c r="F252" t="s">
        <v>2226</v>
      </c>
      <c r="G252" t="s">
        <v>2232</v>
      </c>
      <c r="H252" t="s">
        <v>2233</v>
      </c>
    </row>
    <row r="253" spans="2:8" ht="15">
      <c r="B253" s="1">
        <v>127</v>
      </c>
      <c r="C253" t="str">
        <f ca="1">IFERROR(__xludf.DUMMYFUNCTION((TRANSPOSE(ImportHTML("http://spending.data.al/sq/moneypower/view/id/127/year/2011", "table", 0)))),"*Emër Subjekti*")</f>
        <v>*Emër Subjekti*</v>
      </c>
      <c r="D253" t="s">
        <v>698</v>
      </c>
      <c r="E253" t="s">
        <v>699</v>
      </c>
      <c r="F253" t="s">
        <v>700</v>
      </c>
      <c r="G253" t="s">
        <v>701</v>
      </c>
      <c r="H253" t="s">
        <v>702</v>
      </c>
    </row>
    <row r="254" spans="2:8" ht="15">
      <c r="B254" s="7"/>
      <c r="C254" t="s">
        <v>2234</v>
      </c>
      <c r="D254" t="s">
        <v>711</v>
      </c>
      <c r="E254" t="s">
        <v>2178</v>
      </c>
      <c r="F254" t="s">
        <v>712</v>
      </c>
      <c r="G254" t="s">
        <v>2235</v>
      </c>
      <c r="H254" t="s">
        <v>2236</v>
      </c>
    </row>
    <row r="255" spans="2:8" ht="15">
      <c r="B255" s="1">
        <v>128</v>
      </c>
      <c r="C255" t="str">
        <f ca="1">IFERROR(__xludf.DUMMYFUNCTION((TRANSPOSE(ImportHTML("http://spending.data.al/sq/moneypower/view/id/128/year/2011", "table", 0)))),"*Emër Subjekti*")</f>
        <v>*Emër Subjekti*</v>
      </c>
      <c r="D255" t="s">
        <v>698</v>
      </c>
      <c r="E255" t="s">
        <v>699</v>
      </c>
      <c r="F255" t="s">
        <v>700</v>
      </c>
      <c r="G255" t="s">
        <v>701</v>
      </c>
      <c r="H255" t="s">
        <v>702</v>
      </c>
    </row>
    <row r="256" spans="2:8" ht="15">
      <c r="B256" s="7"/>
      <c r="C256" t="s">
        <v>2237</v>
      </c>
      <c r="D256" t="s">
        <v>711</v>
      </c>
      <c r="E256" t="s">
        <v>2238</v>
      </c>
      <c r="F256" t="s">
        <v>712</v>
      </c>
      <c r="G256" t="s">
        <v>2239</v>
      </c>
      <c r="H256" t="s">
        <v>2240</v>
      </c>
    </row>
    <row r="257" spans="2:8" ht="15">
      <c r="B257" s="1">
        <v>129</v>
      </c>
      <c r="C257" t="str">
        <f ca="1">IFERROR(__xludf.DUMMYFUNCTION((TRANSPOSE(ImportHTML("http://spending.data.al/sq/moneypower/view/id/129/year/2011", "table", 0)))),"*Emër Subjekti*")</f>
        <v>*Emër Subjekti*</v>
      </c>
      <c r="D257" t="s">
        <v>698</v>
      </c>
      <c r="E257" t="s">
        <v>699</v>
      </c>
      <c r="F257" t="s">
        <v>700</v>
      </c>
      <c r="G257" t="s">
        <v>701</v>
      </c>
      <c r="H257" t="s">
        <v>702</v>
      </c>
    </row>
    <row r="258" spans="2:8" ht="15">
      <c r="B258" s="7"/>
      <c r="C258" t="s">
        <v>2241</v>
      </c>
      <c r="D258" t="s">
        <v>711</v>
      </c>
      <c r="E258" t="s">
        <v>2178</v>
      </c>
      <c r="F258" t="s">
        <v>712</v>
      </c>
      <c r="G258" t="s">
        <v>2242</v>
      </c>
      <c r="H258" t="s">
        <v>2243</v>
      </c>
    </row>
    <row r="259" spans="2:8" ht="15">
      <c r="B259" s="1">
        <v>130</v>
      </c>
      <c r="C259" t="str">
        <f ca="1">IFERROR(__xludf.DUMMYFUNCTION((TRANSPOSE(ImportHTML("http://spending.data.al/sq/moneypower/view/id/130/year/2011", "table", 0)))),"*Emër Subjekti*")</f>
        <v>*Emër Subjekti*</v>
      </c>
      <c r="D259" t="s">
        <v>698</v>
      </c>
      <c r="E259" t="s">
        <v>699</v>
      </c>
      <c r="F259" t="s">
        <v>700</v>
      </c>
      <c r="G259" t="s">
        <v>701</v>
      </c>
      <c r="H259" t="s">
        <v>702</v>
      </c>
    </row>
    <row r="260" spans="2:8" ht="15">
      <c r="B260" s="7"/>
      <c r="C260" t="s">
        <v>2244</v>
      </c>
      <c r="D260" t="s">
        <v>711</v>
      </c>
      <c r="E260" t="s">
        <v>2190</v>
      </c>
      <c r="F260" t="s">
        <v>712</v>
      </c>
      <c r="G260" t="s">
        <v>2245</v>
      </c>
      <c r="H260" t="s">
        <v>707</v>
      </c>
    </row>
    <row r="261" spans="2:8" ht="15">
      <c r="B261" s="1">
        <v>131</v>
      </c>
      <c r="C261" t="str">
        <f ca="1">IFERROR(__xludf.DUMMYFUNCTION((TRANSPOSE(ImportHTML("http://spending.data.al/sq/moneypower/view/id/131/year/2011", "table", 0)))),"*Emër Subjekti*")</f>
        <v>*Emër Subjekti*</v>
      </c>
      <c r="D261" t="s">
        <v>698</v>
      </c>
      <c r="E261" t="s">
        <v>699</v>
      </c>
      <c r="F261" t="s">
        <v>700</v>
      </c>
      <c r="G261" t="s">
        <v>701</v>
      </c>
      <c r="H261" t="s">
        <v>702</v>
      </c>
    </row>
    <row r="262" spans="2:8" ht="15">
      <c r="B262" s="7"/>
      <c r="C262" t="s">
        <v>2246</v>
      </c>
      <c r="D262" t="s">
        <v>711</v>
      </c>
      <c r="E262" t="s">
        <v>2178</v>
      </c>
      <c r="F262" t="s">
        <v>2226</v>
      </c>
      <c r="G262" t="s">
        <v>2247</v>
      </c>
      <c r="H262" t="s">
        <v>2248</v>
      </c>
    </row>
    <row r="263" spans="2:8" ht="15">
      <c r="B263" s="1">
        <v>132</v>
      </c>
      <c r="C263" t="str">
        <f ca="1">IFERROR(__xludf.DUMMYFUNCTION((TRANSPOSE(ImportHTML("http://spending.data.al/sq/moneypower/view/id/132/year/2011", "table", 0)))),"*Emër Subjekti*")</f>
        <v>*Emër Subjekti*</v>
      </c>
      <c r="D263" t="s">
        <v>698</v>
      </c>
      <c r="E263" t="s">
        <v>699</v>
      </c>
      <c r="F263" t="s">
        <v>700</v>
      </c>
      <c r="G263" t="s">
        <v>701</v>
      </c>
      <c r="H263" t="s">
        <v>702</v>
      </c>
    </row>
    <row r="264" spans="2:8" ht="15">
      <c r="B264" s="7"/>
      <c r="C264" t="s">
        <v>2249</v>
      </c>
      <c r="D264" t="s">
        <v>711</v>
      </c>
      <c r="E264" t="s">
        <v>2190</v>
      </c>
      <c r="F264" t="s">
        <v>712</v>
      </c>
      <c r="G264" t="s">
        <v>2250</v>
      </c>
      <c r="H264" t="s">
        <v>2251</v>
      </c>
    </row>
    <row r="265" spans="2:8" ht="15">
      <c r="B265" s="1">
        <v>133</v>
      </c>
      <c r="C265" t="str">
        <f ca="1">IFERROR(__xludf.DUMMYFUNCTION((TRANSPOSE(ImportHTML("http://spending.data.al/sq/moneypower/view/id/133/year/2011", "table", 0)))),"*Emër Subjekti*")</f>
        <v>*Emër Subjekti*</v>
      </c>
      <c r="D265" t="s">
        <v>698</v>
      </c>
      <c r="E265" t="s">
        <v>699</v>
      </c>
      <c r="F265" t="s">
        <v>700</v>
      </c>
      <c r="G265" t="s">
        <v>701</v>
      </c>
      <c r="H265" t="s">
        <v>702</v>
      </c>
    </row>
    <row r="266" spans="2:8" ht="15">
      <c r="B266" s="7"/>
      <c r="C266" t="s">
        <v>2252</v>
      </c>
      <c r="D266" t="s">
        <v>711</v>
      </c>
      <c r="E266" t="s">
        <v>2253</v>
      </c>
      <c r="F266" t="s">
        <v>2191</v>
      </c>
      <c r="G266" t="s">
        <v>2254</v>
      </c>
      <c r="H266" t="s">
        <v>2255</v>
      </c>
    </row>
    <row r="267" spans="2:8" ht="15">
      <c r="B267" s="1">
        <v>134</v>
      </c>
      <c r="C267" t="str">
        <f ca="1">IFERROR(__xludf.DUMMYFUNCTION((TRANSPOSE(ImportHTML("http://spending.data.al/sq/moneypower/view/id/134/year/2011", "table", 0)))),"*Emër Subjekti*")</f>
        <v>*Emër Subjekti*</v>
      </c>
      <c r="D267" t="s">
        <v>698</v>
      </c>
      <c r="E267" t="s">
        <v>699</v>
      </c>
      <c r="F267" t="s">
        <v>700</v>
      </c>
      <c r="G267" t="s">
        <v>701</v>
      </c>
      <c r="H267" t="s">
        <v>702</v>
      </c>
    </row>
    <row r="268" spans="2:8" ht="15">
      <c r="B268" s="7"/>
      <c r="C268" t="s">
        <v>2256</v>
      </c>
      <c r="D268" t="s">
        <v>711</v>
      </c>
      <c r="E268" t="s">
        <v>2178</v>
      </c>
      <c r="F268" t="s">
        <v>712</v>
      </c>
      <c r="G268" t="s">
        <v>2257</v>
      </c>
      <c r="H268" t="s">
        <v>2258</v>
      </c>
    </row>
    <row r="269" spans="2:8" ht="15">
      <c r="B269" s="1">
        <v>135</v>
      </c>
      <c r="C269" t="str">
        <f ca="1">IFERROR(__xludf.DUMMYFUNCTION((TRANSPOSE(ImportHTML("http://spending.data.al/sq/moneypower/view/id/135/year/2011", "table", 0)))),"*Emër Subjekti*")</f>
        <v>*Emër Subjekti*</v>
      </c>
      <c r="D269" t="s">
        <v>698</v>
      </c>
      <c r="E269" t="s">
        <v>699</v>
      </c>
      <c r="F269" t="s">
        <v>700</v>
      </c>
      <c r="G269" t="s">
        <v>701</v>
      </c>
      <c r="H269" t="s">
        <v>702</v>
      </c>
    </row>
    <row r="270" spans="2:8" ht="15">
      <c r="B270" s="7"/>
      <c r="C270" t="s">
        <v>2259</v>
      </c>
      <c r="D270" t="s">
        <v>711</v>
      </c>
      <c r="E270" t="s">
        <v>2178</v>
      </c>
      <c r="F270" t="s">
        <v>2191</v>
      </c>
      <c r="G270" t="s">
        <v>2260</v>
      </c>
      <c r="H270" t="s">
        <v>707</v>
      </c>
    </row>
    <row r="271" spans="2:8" ht="15">
      <c r="B271" s="1">
        <v>136</v>
      </c>
      <c r="C271" t="str">
        <f ca="1">IFERROR(__xludf.DUMMYFUNCTION((TRANSPOSE(ImportHTML("http://spending.data.al/sq/moneypower/view/id/136/year/2011", "table", 0)))),"*Emër Subjekti*")</f>
        <v>*Emër Subjekti*</v>
      </c>
      <c r="D271" t="s">
        <v>698</v>
      </c>
      <c r="E271" t="s">
        <v>699</v>
      </c>
      <c r="F271" t="s">
        <v>700</v>
      </c>
      <c r="G271" t="s">
        <v>701</v>
      </c>
      <c r="H271" t="s">
        <v>702</v>
      </c>
    </row>
    <row r="272" spans="2:8" ht="15">
      <c r="B272" s="7"/>
      <c r="C272" t="s">
        <v>2261</v>
      </c>
      <c r="D272" t="s">
        <v>711</v>
      </c>
      <c r="E272" t="s">
        <v>2190</v>
      </c>
      <c r="F272" t="s">
        <v>2191</v>
      </c>
      <c r="G272" t="s">
        <v>2262</v>
      </c>
      <c r="H272" t="s">
        <v>2263</v>
      </c>
    </row>
    <row r="273" spans="2:8" ht="15">
      <c r="B273" s="1">
        <v>137</v>
      </c>
      <c r="C273" t="str">
        <f ca="1">IFERROR(__xludf.DUMMYFUNCTION((TRANSPOSE(ImportHTML("http://spending.data.al/sq/moneypower/view/id/137/year/2011", "table", 0)))),"*Emër Subjekti*")</f>
        <v>*Emër Subjekti*</v>
      </c>
      <c r="D273" t="s">
        <v>698</v>
      </c>
      <c r="E273" t="s">
        <v>699</v>
      </c>
      <c r="F273" t="s">
        <v>700</v>
      </c>
      <c r="G273" t="s">
        <v>701</v>
      </c>
      <c r="H273" t="s">
        <v>702</v>
      </c>
    </row>
    <row r="274" spans="2:8" ht="15">
      <c r="B274" s="7"/>
      <c r="C274" t="s">
        <v>2264</v>
      </c>
      <c r="D274" t="s">
        <v>711</v>
      </c>
      <c r="E274" t="s">
        <v>2190</v>
      </c>
      <c r="F274" t="s">
        <v>712</v>
      </c>
      <c r="G274" t="s">
        <v>2265</v>
      </c>
      <c r="H274" t="s">
        <v>2266</v>
      </c>
    </row>
    <row r="275" spans="2:8" ht="15">
      <c r="B275" s="1">
        <v>138</v>
      </c>
      <c r="C275" t="str">
        <f ca="1">IFERROR(__xludf.DUMMYFUNCTION((TRANSPOSE(ImportHTML("http://spending.data.al/sq/moneypower/view/id/138/year/2011", "table", 0)))),"*Emër Subjekti*")</f>
        <v>*Emër Subjekti*</v>
      </c>
      <c r="D275" t="s">
        <v>698</v>
      </c>
      <c r="E275" t="s">
        <v>699</v>
      </c>
      <c r="F275" t="s">
        <v>700</v>
      </c>
      <c r="G275" t="s">
        <v>701</v>
      </c>
      <c r="H275" t="s">
        <v>702</v>
      </c>
    </row>
    <row r="276" spans="2:8" ht="15">
      <c r="B276" s="7"/>
      <c r="C276" t="s">
        <v>2267</v>
      </c>
      <c r="D276" t="s">
        <v>711</v>
      </c>
      <c r="E276" t="s">
        <v>2190</v>
      </c>
      <c r="F276" t="s">
        <v>712</v>
      </c>
      <c r="G276" t="s">
        <v>2268</v>
      </c>
      <c r="H276" t="s">
        <v>2269</v>
      </c>
    </row>
    <row r="277" spans="2:8" ht="15">
      <c r="B277" s="1">
        <v>139</v>
      </c>
      <c r="C277" t="str">
        <f ca="1">IFERROR(__xludf.DUMMYFUNCTION((TRANSPOSE(ImportHTML("http://spending.data.al/sq/moneypower/view/id/139/year/2011", "table", 0)))),"*Emër Subjekti*")</f>
        <v>*Emër Subjekti*</v>
      </c>
      <c r="D277" t="s">
        <v>698</v>
      </c>
      <c r="E277" t="s">
        <v>699</v>
      </c>
      <c r="F277" t="s">
        <v>700</v>
      </c>
      <c r="G277" t="s">
        <v>701</v>
      </c>
      <c r="H277" t="s">
        <v>702</v>
      </c>
    </row>
    <row r="278" spans="2:8" ht="15">
      <c r="B278" s="7"/>
      <c r="C278" t="s">
        <v>2270</v>
      </c>
      <c r="D278" t="s">
        <v>711</v>
      </c>
      <c r="E278" t="s">
        <v>2207</v>
      </c>
      <c r="F278" t="s">
        <v>712</v>
      </c>
      <c r="G278" t="s">
        <v>2271</v>
      </c>
      <c r="H278" t="s">
        <v>707</v>
      </c>
    </row>
    <row r="279" spans="2:8" ht="15">
      <c r="B279" s="1">
        <v>140</v>
      </c>
      <c r="C279" t="str">
        <f ca="1">IFERROR(__xludf.DUMMYFUNCTION((TRANSPOSE(ImportHTML("http://spending.data.al/sq/moneypower/view/id/140/year/2011", "table", 0)))),"*Emër Subjekti*")</f>
        <v>*Emër Subjekti*</v>
      </c>
      <c r="D279" t="s">
        <v>698</v>
      </c>
      <c r="E279" t="s">
        <v>699</v>
      </c>
      <c r="F279" t="s">
        <v>700</v>
      </c>
      <c r="G279" t="s">
        <v>701</v>
      </c>
      <c r="H279" t="s">
        <v>702</v>
      </c>
    </row>
    <row r="280" spans="2:8" ht="15">
      <c r="B280" s="7"/>
      <c r="C280" t="s">
        <v>2272</v>
      </c>
      <c r="D280" t="s">
        <v>711</v>
      </c>
      <c r="E280" t="s">
        <v>2190</v>
      </c>
      <c r="F280" t="s">
        <v>712</v>
      </c>
      <c r="G280" t="s">
        <v>2273</v>
      </c>
      <c r="H280" t="s">
        <v>707</v>
      </c>
    </row>
    <row r="281" spans="2:8" ht="15">
      <c r="B281" s="1">
        <v>141</v>
      </c>
      <c r="C281" t="str">
        <f ca="1">IFERROR(__xludf.DUMMYFUNCTION((TRANSPOSE(ImportHTML("http://spending.data.al/sq/moneypower/view/id/141/year/2011", "table", 0)))),"*Emër Subjekti*")</f>
        <v>*Emër Subjekti*</v>
      </c>
      <c r="D281" t="s">
        <v>698</v>
      </c>
      <c r="E281" t="s">
        <v>699</v>
      </c>
      <c r="F281" t="s">
        <v>700</v>
      </c>
      <c r="G281" t="s">
        <v>701</v>
      </c>
      <c r="H281" t="s">
        <v>702</v>
      </c>
    </row>
    <row r="282" spans="2:8" ht="15">
      <c r="B282" s="7"/>
      <c r="C282" t="s">
        <v>2274</v>
      </c>
      <c r="D282" t="s">
        <v>711</v>
      </c>
      <c r="E282" t="s">
        <v>2178</v>
      </c>
      <c r="F282" t="s">
        <v>712</v>
      </c>
      <c r="G282" t="s">
        <v>2275</v>
      </c>
      <c r="H282" t="s">
        <v>707</v>
      </c>
    </row>
    <row r="283" spans="2:8" ht="15">
      <c r="B283" s="1">
        <v>142</v>
      </c>
      <c r="C283" t="str">
        <f ca="1">IFERROR(__xludf.DUMMYFUNCTION((TRANSPOSE(ImportHTML("http://spending.data.al/sq/moneypower/view/id/142/year/2011", "table", 0)))),"*Emër Subjekti*")</f>
        <v>*Emër Subjekti*</v>
      </c>
      <c r="D283" t="s">
        <v>698</v>
      </c>
      <c r="E283" t="s">
        <v>699</v>
      </c>
      <c r="F283" t="s">
        <v>700</v>
      </c>
      <c r="G283" t="s">
        <v>701</v>
      </c>
      <c r="H283" t="s">
        <v>702</v>
      </c>
    </row>
    <row r="284" spans="2:8" ht="15">
      <c r="B284" s="7"/>
      <c r="C284" t="s">
        <v>2276</v>
      </c>
      <c r="D284" t="s">
        <v>711</v>
      </c>
      <c r="E284" t="s">
        <v>2210</v>
      </c>
      <c r="F284" t="s">
        <v>2191</v>
      </c>
      <c r="G284" t="s">
        <v>2277</v>
      </c>
      <c r="H284" t="s">
        <v>2278</v>
      </c>
    </row>
    <row r="285" spans="2:8" ht="15">
      <c r="B285" s="1">
        <v>143</v>
      </c>
      <c r="C285" t="str">
        <f ca="1">IFERROR(__xludf.DUMMYFUNCTION((TRANSPOSE(ImportHTML("http://spending.data.al/sq/moneypower/view/id/143/year/2011", "table", 0)))),"*Emër Subjekti*")</f>
        <v>*Emër Subjekti*</v>
      </c>
      <c r="D285" t="s">
        <v>698</v>
      </c>
      <c r="E285" t="s">
        <v>699</v>
      </c>
      <c r="F285" t="s">
        <v>700</v>
      </c>
      <c r="G285" t="s">
        <v>701</v>
      </c>
      <c r="H285" t="s">
        <v>702</v>
      </c>
    </row>
    <row r="286" spans="2:8" ht="15">
      <c r="B286" s="7"/>
      <c r="C286" t="s">
        <v>2279</v>
      </c>
      <c r="D286" t="s">
        <v>711</v>
      </c>
      <c r="E286" t="s">
        <v>2178</v>
      </c>
      <c r="F286" t="s">
        <v>2191</v>
      </c>
      <c r="G286" t="s">
        <v>2280</v>
      </c>
      <c r="H286" t="s">
        <v>2281</v>
      </c>
    </row>
    <row r="287" spans="2:8" ht="15">
      <c r="B287" s="1">
        <v>144</v>
      </c>
      <c r="C287" t="str">
        <f ca="1">IFERROR(__xludf.DUMMYFUNCTION((TRANSPOSE(ImportHTML("http://spending.data.al/sq/moneypower/view/id/144/year/2011", "table", 0)))),"*Emër Subjekti*")</f>
        <v>*Emër Subjekti*</v>
      </c>
      <c r="D287" t="s">
        <v>698</v>
      </c>
      <c r="E287" t="s">
        <v>699</v>
      </c>
      <c r="F287" t="s">
        <v>700</v>
      </c>
      <c r="G287" t="s">
        <v>701</v>
      </c>
      <c r="H287" t="s">
        <v>702</v>
      </c>
    </row>
    <row r="288" spans="2:8" ht="15">
      <c r="B288" s="7"/>
      <c r="C288" t="s">
        <v>2282</v>
      </c>
      <c r="D288" t="s">
        <v>711</v>
      </c>
      <c r="E288" t="s">
        <v>2190</v>
      </c>
      <c r="F288" t="s">
        <v>712</v>
      </c>
      <c r="G288" t="s">
        <v>2283</v>
      </c>
      <c r="H288" t="s">
        <v>2284</v>
      </c>
    </row>
    <row r="289" spans="2:8" ht="15">
      <c r="B289" s="1">
        <v>145</v>
      </c>
      <c r="C289" t="str">
        <f ca="1">IFERROR(__xludf.DUMMYFUNCTION((TRANSPOSE(ImportHTML("http://spending.data.al/sq/moneypower/view/id/145/year/2011", "table", 0)))),"*Emër Subjekti*")</f>
        <v>*Emër Subjekti*</v>
      </c>
      <c r="D289" t="s">
        <v>698</v>
      </c>
      <c r="E289" t="s">
        <v>699</v>
      </c>
      <c r="F289" t="s">
        <v>700</v>
      </c>
      <c r="G289" t="s">
        <v>701</v>
      </c>
      <c r="H289" t="s">
        <v>702</v>
      </c>
    </row>
    <row r="290" spans="2:8" ht="15">
      <c r="B290" s="7"/>
      <c r="C290" t="s">
        <v>2285</v>
      </c>
      <c r="D290" t="s">
        <v>711</v>
      </c>
      <c r="E290" t="s">
        <v>2190</v>
      </c>
      <c r="F290" t="s">
        <v>2191</v>
      </c>
      <c r="G290" t="s">
        <v>2286</v>
      </c>
      <c r="H290" t="s">
        <v>1918</v>
      </c>
    </row>
    <row r="291" spans="2:8" ht="15">
      <c r="B291" s="1">
        <v>146</v>
      </c>
      <c r="C291" t="str">
        <f ca="1">IFERROR(__xludf.DUMMYFUNCTION((TRANSPOSE(ImportHTML("http://spending.data.al/sq/moneypower/view/id/146/year/2011", "table", 0)))),"*Emër Subjekti*")</f>
        <v>*Emër Subjekti*</v>
      </c>
      <c r="D291" t="s">
        <v>698</v>
      </c>
      <c r="E291" t="s">
        <v>699</v>
      </c>
      <c r="F291" t="s">
        <v>700</v>
      </c>
      <c r="G291" t="s">
        <v>701</v>
      </c>
      <c r="H291" t="s">
        <v>702</v>
      </c>
    </row>
    <row r="292" spans="2:8" ht="15">
      <c r="B292" s="7"/>
      <c r="C292" t="s">
        <v>2287</v>
      </c>
      <c r="D292" t="s">
        <v>711</v>
      </c>
      <c r="E292" t="s">
        <v>2178</v>
      </c>
      <c r="F292" t="s">
        <v>2191</v>
      </c>
      <c r="G292" t="s">
        <v>2288</v>
      </c>
      <c r="H292" t="s">
        <v>2289</v>
      </c>
    </row>
    <row r="293" spans="2:8" ht="15">
      <c r="B293" s="1">
        <v>147</v>
      </c>
      <c r="C293" t="str">
        <f ca="1">IFERROR(__xludf.DUMMYFUNCTION((TRANSPOSE(ImportHTML("http://spending.data.al/sq/moneypower/view/id/147/year/2011", "table", 0)))),"*Emër Subjekti*")</f>
        <v>*Emër Subjekti*</v>
      </c>
      <c r="D293" t="s">
        <v>698</v>
      </c>
      <c r="E293" t="s">
        <v>699</v>
      </c>
      <c r="F293" t="s">
        <v>700</v>
      </c>
      <c r="G293" t="s">
        <v>701</v>
      </c>
      <c r="H293" t="s">
        <v>702</v>
      </c>
    </row>
    <row r="294" spans="2:8" ht="15">
      <c r="B294" s="7"/>
      <c r="C294" t="s">
        <v>2290</v>
      </c>
      <c r="D294" t="s">
        <v>711</v>
      </c>
      <c r="E294" t="s">
        <v>2203</v>
      </c>
      <c r="F294" t="s">
        <v>712</v>
      </c>
      <c r="G294" t="s">
        <v>2291</v>
      </c>
      <c r="H294" t="s">
        <v>2292</v>
      </c>
    </row>
    <row r="295" spans="2:8" ht="15">
      <c r="B295" s="1">
        <v>148</v>
      </c>
      <c r="C295" t="str">
        <f ca="1">IFERROR(__xludf.DUMMYFUNCTION((TRANSPOSE(ImportHTML("http://spending.data.al/sq/moneypower/view/id/148/year/2011", "table", 0)))),"*Emër Subjekti*")</f>
        <v>*Emër Subjekti*</v>
      </c>
      <c r="D295" t="s">
        <v>698</v>
      </c>
      <c r="E295" t="s">
        <v>699</v>
      </c>
      <c r="F295" t="s">
        <v>700</v>
      </c>
      <c r="G295" t="s">
        <v>701</v>
      </c>
      <c r="H295" t="s">
        <v>702</v>
      </c>
    </row>
    <row r="296" spans="2:8" ht="15">
      <c r="B296" s="7"/>
      <c r="C296" t="s">
        <v>2293</v>
      </c>
      <c r="D296" t="s">
        <v>711</v>
      </c>
      <c r="E296" t="s">
        <v>2190</v>
      </c>
      <c r="F296" t="s">
        <v>712</v>
      </c>
      <c r="G296" t="s">
        <v>2294</v>
      </c>
      <c r="H296" t="s">
        <v>2295</v>
      </c>
    </row>
    <row r="297" spans="2:8" ht="15">
      <c r="B297" s="1">
        <v>149</v>
      </c>
      <c r="C297" t="str">
        <f ca="1">IFERROR(__xludf.DUMMYFUNCTION((TRANSPOSE(ImportHTML("http://spending.data.al/sq/moneypower/view/id/149/year/2011", "table", 0)))),"*Emër Subjekti*")</f>
        <v>*Emër Subjekti*</v>
      </c>
      <c r="D297" t="s">
        <v>698</v>
      </c>
      <c r="E297" t="s">
        <v>699</v>
      </c>
      <c r="F297" t="s">
        <v>700</v>
      </c>
      <c r="G297" t="s">
        <v>701</v>
      </c>
      <c r="H297" t="s">
        <v>702</v>
      </c>
    </row>
    <row r="298" spans="2:8" ht="15">
      <c r="B298" s="7"/>
      <c r="C298" t="s">
        <v>2296</v>
      </c>
      <c r="D298" t="s">
        <v>2297</v>
      </c>
      <c r="E298" s="6">
        <v>40558</v>
      </c>
      <c r="F298" t="s">
        <v>707</v>
      </c>
      <c r="G298" t="s">
        <v>2298</v>
      </c>
      <c r="H298" t="s">
        <v>707</v>
      </c>
    </row>
    <row r="299" spans="2:8" ht="15">
      <c r="B299" s="1">
        <v>150</v>
      </c>
      <c r="C299" t="str">
        <f ca="1">IFERROR(__xludf.DUMMYFUNCTION((TRANSPOSE(ImportHTML("http://spending.data.al/sq/moneypower/view/id/150/year/2011", "table", 0)))),"*Emër Subjekti*")</f>
        <v>*Emër Subjekti*</v>
      </c>
      <c r="D299" t="s">
        <v>698</v>
      </c>
      <c r="E299" t="s">
        <v>699</v>
      </c>
      <c r="F299" t="s">
        <v>700</v>
      </c>
      <c r="G299" t="s">
        <v>701</v>
      </c>
      <c r="H299" t="s">
        <v>702</v>
      </c>
    </row>
    <row r="300" spans="2:8" ht="15">
      <c r="B300" s="7"/>
      <c r="C300" t="s">
        <v>2299</v>
      </c>
      <c r="D300" t="s">
        <v>2300</v>
      </c>
      <c r="E300" s="6">
        <v>40436</v>
      </c>
      <c r="F300" t="s">
        <v>707</v>
      </c>
      <c r="G300" t="s">
        <v>2301</v>
      </c>
      <c r="H300" t="s">
        <v>2302</v>
      </c>
    </row>
    <row r="301" spans="2:8" ht="15">
      <c r="B301" s="1">
        <v>151</v>
      </c>
      <c r="C301" t="str">
        <f ca="1">IFERROR(__xludf.DUMMYFUNCTION((TRANSPOSE(ImportHTML("http://spending.data.al/sq/moneypower/view/id/151/year/2011", "table", 0)))),"*Emër Subjekti*")</f>
        <v>*Emër Subjekti*</v>
      </c>
      <c r="D301" t="s">
        <v>698</v>
      </c>
      <c r="E301" t="s">
        <v>699</v>
      </c>
      <c r="F301" t="s">
        <v>700</v>
      </c>
      <c r="G301" t="s">
        <v>701</v>
      </c>
      <c r="H301" t="s">
        <v>702</v>
      </c>
    </row>
    <row r="302" spans="2:8" ht="15">
      <c r="B302" s="7"/>
      <c r="C302" t="s">
        <v>2303</v>
      </c>
      <c r="D302" t="s">
        <v>2304</v>
      </c>
      <c r="E302" s="6">
        <v>41681</v>
      </c>
      <c r="F302" t="s">
        <v>707</v>
      </c>
      <c r="G302" t="s">
        <v>2305</v>
      </c>
      <c r="H302" t="s">
        <v>707</v>
      </c>
    </row>
    <row r="303" spans="2:8" ht="15">
      <c r="B303" s="1">
        <v>152</v>
      </c>
      <c r="C303" t="str">
        <f ca="1">IFERROR(__xludf.DUMMYFUNCTION((TRANSPOSE(ImportHTML("http://spending.data.al/sq/moneypower/view/id/152/year/2011", "table", 0)))),"*Emër Subjekti*")</f>
        <v>*Emër Subjekti*</v>
      </c>
      <c r="D303" t="s">
        <v>698</v>
      </c>
      <c r="E303" t="s">
        <v>699</v>
      </c>
      <c r="F303" t="s">
        <v>700</v>
      </c>
      <c r="G303" t="s">
        <v>701</v>
      </c>
      <c r="H303" t="s">
        <v>702</v>
      </c>
    </row>
    <row r="304" spans="2:8" ht="15">
      <c r="B304" s="7"/>
      <c r="C304" t="s">
        <v>2306</v>
      </c>
      <c r="D304" t="s">
        <v>2307</v>
      </c>
      <c r="E304" t="s">
        <v>2308</v>
      </c>
      <c r="F304" t="s">
        <v>707</v>
      </c>
      <c r="G304" t="s">
        <v>2309</v>
      </c>
      <c r="H304" t="s">
        <v>2310</v>
      </c>
    </row>
    <row r="305" spans="2:8" ht="15">
      <c r="B305" s="1">
        <v>153</v>
      </c>
      <c r="C305" t="str">
        <f ca="1">IFERROR(__xludf.DUMMYFUNCTION((TRANSPOSE(ImportHTML("http://spending.data.al/sq/moneypower/view/id/153/year/2011", "table", 0)))),"*Emër Subjekti*")</f>
        <v>*Emër Subjekti*</v>
      </c>
      <c r="D305" t="s">
        <v>698</v>
      </c>
      <c r="E305" t="s">
        <v>699</v>
      </c>
      <c r="F305" t="s">
        <v>700</v>
      </c>
      <c r="G305" t="s">
        <v>701</v>
      </c>
      <c r="H305" t="s">
        <v>702</v>
      </c>
    </row>
    <row r="306" spans="2:8" ht="15">
      <c r="B306" s="7"/>
      <c r="C306" t="s">
        <v>2311</v>
      </c>
      <c r="D306" t="s">
        <v>2312</v>
      </c>
      <c r="E306" s="6">
        <v>40311</v>
      </c>
      <c r="F306" t="s">
        <v>707</v>
      </c>
      <c r="G306" t="s">
        <v>2313</v>
      </c>
      <c r="H306" t="s">
        <v>1918</v>
      </c>
    </row>
    <row r="307" spans="2:8" ht="15">
      <c r="B307" s="1">
        <v>154</v>
      </c>
      <c r="C307" t="str">
        <f ca="1">IFERROR(__xludf.DUMMYFUNCTION((TRANSPOSE(ImportHTML("http://spending.data.al/sq/moneypower/view/id/154/year/2011", "table", 0)))),"*Emër Subjekti*")</f>
        <v>*Emër Subjekti*</v>
      </c>
      <c r="D307" t="s">
        <v>698</v>
      </c>
      <c r="E307" t="s">
        <v>699</v>
      </c>
      <c r="F307" t="s">
        <v>700</v>
      </c>
      <c r="G307" t="s">
        <v>701</v>
      </c>
      <c r="H307" t="s">
        <v>702</v>
      </c>
    </row>
    <row r="308" spans="2:8" ht="15">
      <c r="B308" s="7"/>
      <c r="C308" t="s">
        <v>2314</v>
      </c>
      <c r="D308" t="s">
        <v>2315</v>
      </c>
      <c r="E308" s="6">
        <v>40647</v>
      </c>
      <c r="F308" t="s">
        <v>707</v>
      </c>
      <c r="G308" t="s">
        <v>2316</v>
      </c>
      <c r="H308" t="s">
        <v>707</v>
      </c>
    </row>
    <row r="309" spans="2:8" ht="15">
      <c r="B309" s="1">
        <v>155</v>
      </c>
      <c r="C309" t="str">
        <f ca="1">IFERROR(__xludf.DUMMYFUNCTION((TRANSPOSE(ImportHTML("http://spending.data.al/sq/moneypower/view/id/155/year/2011", "table", 0)))),"*Emër Subjekti*")</f>
        <v>*Emër Subjekti*</v>
      </c>
      <c r="D309" t="s">
        <v>698</v>
      </c>
      <c r="E309" t="s">
        <v>699</v>
      </c>
      <c r="F309" t="s">
        <v>700</v>
      </c>
      <c r="G309" t="s">
        <v>701</v>
      </c>
      <c r="H309" t="s">
        <v>702</v>
      </c>
    </row>
    <row r="310" spans="2:8" ht="15">
      <c r="B310" s="7"/>
      <c r="C310" t="s">
        <v>2317</v>
      </c>
      <c r="D310" t="s">
        <v>2318</v>
      </c>
      <c r="E310" s="6">
        <v>39904</v>
      </c>
      <c r="F310" t="s">
        <v>707</v>
      </c>
      <c r="G310" t="s">
        <v>2319</v>
      </c>
      <c r="H310" t="s">
        <v>707</v>
      </c>
    </row>
    <row r="311" spans="2:8" ht="15">
      <c r="B311" s="1">
        <v>156</v>
      </c>
      <c r="C311" t="str">
        <f ca="1">IFERROR(__xludf.DUMMYFUNCTION((TRANSPOSE(ImportHTML("http://spending.data.al/sq/moneypower/view/id/156/year/2011", "table", 0)))),"*Emër Subjekti*")</f>
        <v>*Emër Subjekti*</v>
      </c>
      <c r="D311" t="s">
        <v>698</v>
      </c>
      <c r="E311" t="s">
        <v>699</v>
      </c>
      <c r="F311" t="s">
        <v>700</v>
      </c>
      <c r="G311" t="s">
        <v>701</v>
      </c>
      <c r="H311" t="s">
        <v>702</v>
      </c>
    </row>
    <row r="312" spans="2:8" ht="15">
      <c r="B312" s="7"/>
      <c r="C312" t="s">
        <v>2320</v>
      </c>
      <c r="D312" t="s">
        <v>2321</v>
      </c>
      <c r="E312" s="6">
        <v>40391</v>
      </c>
      <c r="F312" t="s">
        <v>707</v>
      </c>
      <c r="G312" t="s">
        <v>2322</v>
      </c>
      <c r="H312" t="s">
        <v>2323</v>
      </c>
    </row>
    <row r="313" spans="2:8" ht="15">
      <c r="B313" s="1">
        <v>157</v>
      </c>
      <c r="C313" t="str">
        <f ca="1">IFERROR(__xludf.DUMMYFUNCTION((TRANSPOSE(ImportHTML("http://spending.data.al/sq/moneypower/view/id/157/year/2011", "table", 0)))),"*Emër Subjekti*")</f>
        <v>*Emër Subjekti*</v>
      </c>
      <c r="D313" t="s">
        <v>698</v>
      </c>
      <c r="E313" t="s">
        <v>699</v>
      </c>
      <c r="F313" t="s">
        <v>700</v>
      </c>
      <c r="G313" t="s">
        <v>701</v>
      </c>
      <c r="H313" t="s">
        <v>702</v>
      </c>
    </row>
    <row r="314" spans="2:8" ht="15">
      <c r="B314" s="7"/>
      <c r="C314" t="s">
        <v>2324</v>
      </c>
      <c r="D314" t="s">
        <v>2325</v>
      </c>
      <c r="E314" s="6">
        <v>41359</v>
      </c>
      <c r="F314" t="s">
        <v>707</v>
      </c>
      <c r="G314" t="s">
        <v>2326</v>
      </c>
      <c r="H314" t="s">
        <v>2327</v>
      </c>
    </row>
    <row r="315" spans="2:8" ht="15">
      <c r="B315" s="1">
        <v>158</v>
      </c>
      <c r="C315" t="str">
        <f ca="1">IFERROR(__xludf.DUMMYFUNCTION((TRANSPOSE(ImportHTML("http://spending.data.al/sq/moneypower/view/id/158/year/2011", "table", 0)))),"*Emër Subjekti*")</f>
        <v>*Emër Subjekti*</v>
      </c>
      <c r="D315" t="s">
        <v>698</v>
      </c>
      <c r="E315" t="s">
        <v>699</v>
      </c>
      <c r="F315" t="s">
        <v>700</v>
      </c>
      <c r="G315" t="s">
        <v>701</v>
      </c>
      <c r="H315" t="s">
        <v>702</v>
      </c>
    </row>
    <row r="316" spans="2:8" ht="15">
      <c r="B316" s="7"/>
      <c r="C316" t="s">
        <v>2328</v>
      </c>
      <c r="D316" t="s">
        <v>2329</v>
      </c>
      <c r="E316" s="6">
        <v>39994</v>
      </c>
      <c r="F316" t="s">
        <v>707</v>
      </c>
      <c r="G316" t="s">
        <v>2330</v>
      </c>
      <c r="H316" t="s">
        <v>2331</v>
      </c>
    </row>
    <row r="317" spans="2:8" ht="15">
      <c r="B317" s="1">
        <v>159</v>
      </c>
      <c r="C317" t="str">
        <f ca="1">IFERROR(__xludf.DUMMYFUNCTION((TRANSPOSE(ImportHTML("http://spending.data.al/sq/moneypower/view/id/159/year/2011", "table", 0)))),"*Emër Subjekti*")</f>
        <v>*Emër Subjekti*</v>
      </c>
      <c r="D317" t="s">
        <v>698</v>
      </c>
      <c r="E317" t="s">
        <v>699</v>
      </c>
      <c r="F317" t="s">
        <v>700</v>
      </c>
      <c r="G317" t="s">
        <v>701</v>
      </c>
      <c r="H317" t="s">
        <v>702</v>
      </c>
    </row>
    <row r="318" spans="2:8" ht="15">
      <c r="B318" s="7"/>
      <c r="C318" t="s">
        <v>2332</v>
      </c>
      <c r="D318" t="s">
        <v>2333</v>
      </c>
      <c r="E318" t="s">
        <v>2334</v>
      </c>
      <c r="F318" t="s">
        <v>707</v>
      </c>
      <c r="G318" t="s">
        <v>2335</v>
      </c>
      <c r="H318" t="s">
        <v>2336</v>
      </c>
    </row>
    <row r="319" spans="2:8" ht="15">
      <c r="B319" s="1">
        <v>160</v>
      </c>
      <c r="C319" t="str">
        <f ca="1">IFERROR(__xludf.DUMMYFUNCTION((TRANSPOSE(ImportHTML("http://spending.data.al/sq/moneypower/view/id/160/year/2011", "table", 0)))),"*Emër Subjekti*")</f>
        <v>*Emër Subjekti*</v>
      </c>
      <c r="D319" t="s">
        <v>698</v>
      </c>
      <c r="E319" t="s">
        <v>699</v>
      </c>
      <c r="F319" t="s">
        <v>700</v>
      </c>
      <c r="G319" t="s">
        <v>701</v>
      </c>
      <c r="H319" t="s">
        <v>702</v>
      </c>
    </row>
    <row r="320" spans="2:8" ht="15">
      <c r="B320" s="7"/>
      <c r="C320" t="s">
        <v>2337</v>
      </c>
      <c r="D320" t="s">
        <v>2338</v>
      </c>
      <c r="E320" s="6">
        <v>40060</v>
      </c>
      <c r="F320" t="s">
        <v>707</v>
      </c>
      <c r="G320" t="s">
        <v>2339</v>
      </c>
      <c r="H320" t="s">
        <v>2340</v>
      </c>
    </row>
    <row r="321" spans="2:8" ht="15">
      <c r="B321" s="1">
        <v>161</v>
      </c>
      <c r="C321" t="str">
        <f ca="1">IFERROR(__xludf.DUMMYFUNCTION((TRANSPOSE(ImportHTML("http://spending.data.al/sq/moneypower/view/id/161/year/2011", "table", 0)))),"*Emër Subjekti*")</f>
        <v>*Emër Subjekti*</v>
      </c>
      <c r="D321" t="s">
        <v>698</v>
      </c>
      <c r="E321" t="s">
        <v>699</v>
      </c>
      <c r="F321" t="s">
        <v>700</v>
      </c>
      <c r="G321" t="s">
        <v>701</v>
      </c>
      <c r="H321" t="s">
        <v>702</v>
      </c>
    </row>
    <row r="322" spans="2:8" ht="15">
      <c r="B322" s="7"/>
      <c r="C322" t="s">
        <v>2341</v>
      </c>
      <c r="D322" t="s">
        <v>2342</v>
      </c>
      <c r="E322" s="6">
        <v>40418</v>
      </c>
      <c r="F322" t="s">
        <v>707</v>
      </c>
      <c r="G322" t="s">
        <v>2343</v>
      </c>
      <c r="H322" t="s">
        <v>2344</v>
      </c>
    </row>
    <row r="323" spans="2:8" ht="15">
      <c r="B323" s="1">
        <v>162</v>
      </c>
      <c r="C323" t="str">
        <f ca="1">IFERROR(__xludf.DUMMYFUNCTION((TRANSPOSE(ImportHTML("http://spending.data.al/sq/moneypower/view/id/162/year/2011", "table", 0)))),"*Emër Subjekti*")</f>
        <v>*Emër Subjekti*</v>
      </c>
      <c r="D323" t="s">
        <v>698</v>
      </c>
      <c r="E323" t="s">
        <v>699</v>
      </c>
      <c r="F323" t="s">
        <v>700</v>
      </c>
      <c r="G323" t="s">
        <v>701</v>
      </c>
      <c r="H323" t="s">
        <v>702</v>
      </c>
    </row>
    <row r="324" spans="2:8" ht="15">
      <c r="B324" s="7"/>
      <c r="C324" t="s">
        <v>2345</v>
      </c>
      <c r="D324" t="s">
        <v>2346</v>
      </c>
      <c r="F324" t="s">
        <v>707</v>
      </c>
      <c r="G324" t="s">
        <v>2347</v>
      </c>
      <c r="H324" t="s">
        <v>1918</v>
      </c>
    </row>
    <row r="325" spans="2:8" ht="15">
      <c r="B325" s="1">
        <v>163</v>
      </c>
      <c r="C325" t="str">
        <f ca="1">IFERROR(__xludf.DUMMYFUNCTION((TRANSPOSE(ImportHTML("http://spending.data.al/sq/moneypower/view/id/163/year/2011", "table", 0)))),"*Emër Subjekti*")</f>
        <v>*Emër Subjekti*</v>
      </c>
      <c r="D325" t="s">
        <v>698</v>
      </c>
      <c r="E325" t="s">
        <v>699</v>
      </c>
      <c r="F325" t="s">
        <v>700</v>
      </c>
      <c r="G325" t="s">
        <v>701</v>
      </c>
      <c r="H325" t="s">
        <v>702</v>
      </c>
    </row>
    <row r="326" spans="2:8" ht="15">
      <c r="B326" s="7"/>
      <c r="C326" t="s">
        <v>2348</v>
      </c>
      <c r="D326" t="s">
        <v>2346</v>
      </c>
      <c r="E326" s="6">
        <v>41246</v>
      </c>
      <c r="F326" t="s">
        <v>707</v>
      </c>
      <c r="G326" t="s">
        <v>2349</v>
      </c>
      <c r="H326" t="s">
        <v>2350</v>
      </c>
    </row>
    <row r="327" spans="2:8" ht="15">
      <c r="B327" s="1">
        <v>164</v>
      </c>
      <c r="C327" t="str">
        <f ca="1">IFERROR(__xludf.DUMMYFUNCTION((TRANSPOSE(ImportHTML("http://spending.data.al/sq/moneypower/view/id/164/year/2011", "table", 0)))),"*Emër Subjekti*")</f>
        <v>*Emër Subjekti*</v>
      </c>
      <c r="D327" t="s">
        <v>698</v>
      </c>
      <c r="E327" t="s">
        <v>699</v>
      </c>
      <c r="F327" t="s">
        <v>700</v>
      </c>
      <c r="G327" t="s">
        <v>701</v>
      </c>
      <c r="H327" t="s">
        <v>702</v>
      </c>
    </row>
    <row r="328" spans="2:8" ht="15">
      <c r="B328" s="7"/>
      <c r="C328" t="s">
        <v>2351</v>
      </c>
      <c r="D328" t="s">
        <v>2352</v>
      </c>
      <c r="E328" s="6">
        <v>40311</v>
      </c>
      <c r="F328" t="s">
        <v>707</v>
      </c>
      <c r="G328" t="s">
        <v>2353</v>
      </c>
      <c r="H328" t="s">
        <v>707</v>
      </c>
    </row>
    <row r="329" spans="2:8" ht="15">
      <c r="B329" s="1">
        <v>165</v>
      </c>
      <c r="C329" t="str">
        <f ca="1">IFERROR(__xludf.DUMMYFUNCTION((TRANSPOSE(ImportHTML("http://spending.data.al/sq/moneypower/view/id/165/year/2011", "table", 0)))),"*Emër Subjekti*")</f>
        <v>*Emër Subjekti*</v>
      </c>
      <c r="D329" t="s">
        <v>698</v>
      </c>
      <c r="E329" t="s">
        <v>699</v>
      </c>
      <c r="F329" t="s">
        <v>700</v>
      </c>
      <c r="G329" t="s">
        <v>701</v>
      </c>
      <c r="H329" t="s">
        <v>702</v>
      </c>
    </row>
    <row r="330" spans="2:8" ht="15">
      <c r="B330" s="7"/>
      <c r="C330" t="s">
        <v>2354</v>
      </c>
      <c r="D330" t="s">
        <v>2355</v>
      </c>
      <c r="E330" s="6">
        <v>40527</v>
      </c>
      <c r="F330" t="s">
        <v>707</v>
      </c>
      <c r="G330" t="s">
        <v>2356</v>
      </c>
      <c r="H330" t="s">
        <v>2357</v>
      </c>
    </row>
    <row r="331" spans="2:8" ht="15">
      <c r="B331" s="1">
        <v>166</v>
      </c>
      <c r="C331" t="str">
        <f ca="1">IFERROR(__xludf.DUMMYFUNCTION((TRANSPOSE(ImportHTML("http://spending.data.al/sq/moneypower/view/id/166/year/2011", "table", 0)))),"*Emër Subjekti*")</f>
        <v>*Emër Subjekti*</v>
      </c>
      <c r="D331" t="s">
        <v>698</v>
      </c>
      <c r="E331" t="s">
        <v>699</v>
      </c>
      <c r="F331" t="s">
        <v>700</v>
      </c>
      <c r="G331" t="s">
        <v>701</v>
      </c>
      <c r="H331" t="s">
        <v>702</v>
      </c>
    </row>
    <row r="332" spans="2:8" ht="15">
      <c r="B332" s="7"/>
      <c r="C332" t="s">
        <v>2358</v>
      </c>
      <c r="D332" t="s">
        <v>2359</v>
      </c>
      <c r="E332" s="6">
        <v>41334</v>
      </c>
      <c r="F332" t="s">
        <v>707</v>
      </c>
      <c r="G332" t="s">
        <v>2360</v>
      </c>
      <c r="H332" t="s">
        <v>1918</v>
      </c>
    </row>
    <row r="333" spans="2:8" ht="15">
      <c r="B333" s="1">
        <v>167</v>
      </c>
      <c r="C333" t="str">
        <f ca="1">IFERROR(__xludf.DUMMYFUNCTION((TRANSPOSE(ImportHTML("http://spending.data.al/sq/moneypower/view/id/167/year/2011", "table", 0)))),"*Emër Subjekti*")</f>
        <v>*Emër Subjekti*</v>
      </c>
      <c r="D333" t="s">
        <v>698</v>
      </c>
      <c r="E333" t="s">
        <v>699</v>
      </c>
      <c r="F333" t="s">
        <v>700</v>
      </c>
      <c r="G333" t="s">
        <v>701</v>
      </c>
      <c r="H333" t="s">
        <v>702</v>
      </c>
    </row>
    <row r="334" spans="2:8" ht="15">
      <c r="B334" s="7"/>
      <c r="C334" t="s">
        <v>2361</v>
      </c>
      <c r="D334" t="s">
        <v>2362</v>
      </c>
      <c r="E334" s="6">
        <v>40529</v>
      </c>
      <c r="F334" t="s">
        <v>707</v>
      </c>
      <c r="G334" t="s">
        <v>2363</v>
      </c>
      <c r="H334" t="s">
        <v>2364</v>
      </c>
    </row>
    <row r="335" spans="2:8" ht="15">
      <c r="B335" s="1">
        <v>168</v>
      </c>
      <c r="C335" t="str">
        <f ca="1">IFERROR(__xludf.DUMMYFUNCTION((TRANSPOSE(ImportHTML("http://spending.data.al/sq/moneypower/view/id/168/year/2011", "table", 0)))),"*Emër Subjekti*")</f>
        <v>*Emër Subjekti*</v>
      </c>
      <c r="D335" t="s">
        <v>698</v>
      </c>
      <c r="E335" t="s">
        <v>699</v>
      </c>
      <c r="F335" t="s">
        <v>700</v>
      </c>
      <c r="G335" t="s">
        <v>701</v>
      </c>
      <c r="H335" t="s">
        <v>702</v>
      </c>
    </row>
    <row r="336" spans="2:8" ht="15">
      <c r="B336" s="7"/>
      <c r="C336" t="s">
        <v>2365</v>
      </c>
      <c r="D336" t="s">
        <v>2366</v>
      </c>
      <c r="E336" s="6">
        <v>40625</v>
      </c>
      <c r="F336" t="s">
        <v>707</v>
      </c>
      <c r="G336" t="s">
        <v>2367</v>
      </c>
      <c r="H336" t="s">
        <v>2368</v>
      </c>
    </row>
    <row r="337" spans="2:8" ht="15">
      <c r="B337" s="1">
        <v>169</v>
      </c>
      <c r="C337" t="str">
        <f ca="1">IFERROR(__xludf.DUMMYFUNCTION((TRANSPOSE(ImportHTML("http://spending.data.al/sq/moneypower/view/id/169/year/2011", "table", 0)))),"*Emër Subjekti*")</f>
        <v>*Emër Subjekti*</v>
      </c>
      <c r="D337" t="s">
        <v>698</v>
      </c>
      <c r="E337" t="s">
        <v>699</v>
      </c>
      <c r="F337" t="s">
        <v>700</v>
      </c>
      <c r="G337" t="s">
        <v>701</v>
      </c>
      <c r="H337" t="s">
        <v>702</v>
      </c>
    </row>
    <row r="338" spans="2:8" ht="15">
      <c r="B338" s="7"/>
      <c r="C338" t="s">
        <v>2369</v>
      </c>
      <c r="D338" t="s">
        <v>2370</v>
      </c>
      <c r="F338" t="s">
        <v>707</v>
      </c>
      <c r="G338" t="s">
        <v>2371</v>
      </c>
      <c r="H338" t="s">
        <v>2372</v>
      </c>
    </row>
    <row r="339" spans="2:8" ht="15">
      <c r="B339" s="1">
        <v>170</v>
      </c>
      <c r="C339" t="str">
        <f ca="1">IFERROR(__xludf.DUMMYFUNCTION((TRANSPOSE(ImportHTML("http://spending.data.al/sq/moneypower/view/id/170/year/2011", "table", 0)))),"*Emër Subjekti*")</f>
        <v>*Emër Subjekti*</v>
      </c>
      <c r="D339" t="s">
        <v>698</v>
      </c>
      <c r="E339" t="s">
        <v>699</v>
      </c>
      <c r="F339" t="s">
        <v>700</v>
      </c>
      <c r="G339" t="s">
        <v>701</v>
      </c>
      <c r="H339" t="s">
        <v>702</v>
      </c>
    </row>
    <row r="340" spans="2:8" ht="15">
      <c r="B340" s="7"/>
      <c r="C340" t="s">
        <v>2373</v>
      </c>
      <c r="D340" t="s">
        <v>2374</v>
      </c>
      <c r="E340" s="6">
        <v>40378</v>
      </c>
      <c r="F340" t="s">
        <v>707</v>
      </c>
      <c r="G340" t="s">
        <v>2375</v>
      </c>
      <c r="H340" t="s">
        <v>2376</v>
      </c>
    </row>
    <row r="341" spans="2:8" ht="15">
      <c r="B341" s="1">
        <v>171</v>
      </c>
      <c r="C341" t="str">
        <f ca="1">IFERROR(__xludf.DUMMYFUNCTION((TRANSPOSE(ImportHTML("http://spending.data.al/sq/moneypower/view/id/171/year/2011", "table", 0)))),"*Emër Subjekti*")</f>
        <v>*Emër Subjekti*</v>
      </c>
      <c r="D341" t="s">
        <v>698</v>
      </c>
      <c r="E341" t="s">
        <v>699</v>
      </c>
      <c r="F341" t="s">
        <v>700</v>
      </c>
      <c r="G341" t="s">
        <v>701</v>
      </c>
      <c r="H341" t="s">
        <v>702</v>
      </c>
    </row>
    <row r="342" spans="2:8" ht="15">
      <c r="B342" s="7"/>
      <c r="C342" t="s">
        <v>2377</v>
      </c>
      <c r="D342" t="s">
        <v>2378</v>
      </c>
      <c r="E342" s="6">
        <v>40192</v>
      </c>
      <c r="F342" t="s">
        <v>707</v>
      </c>
      <c r="G342" t="s">
        <v>2379</v>
      </c>
      <c r="H342" t="s">
        <v>2380</v>
      </c>
    </row>
    <row r="343" spans="2:8" ht="15">
      <c r="B343" s="1">
        <v>172</v>
      </c>
      <c r="C343" t="str">
        <f ca="1">IFERROR(__xludf.DUMMYFUNCTION((TRANSPOSE(ImportHTML("http://spending.data.al/sq/moneypower/view/id/172/year/2011", "table", 0)))),"*Emër Subjekti*")</f>
        <v>*Emër Subjekti*</v>
      </c>
      <c r="D343" t="s">
        <v>698</v>
      </c>
      <c r="E343" t="s">
        <v>699</v>
      </c>
      <c r="F343" t="s">
        <v>700</v>
      </c>
      <c r="G343" t="s">
        <v>701</v>
      </c>
      <c r="H343" t="s">
        <v>702</v>
      </c>
    </row>
    <row r="344" spans="2:8" ht="15">
      <c r="B344" s="7"/>
      <c r="C344" t="s">
        <v>2381</v>
      </c>
      <c r="D344" t="s">
        <v>2382</v>
      </c>
      <c r="E344" s="6">
        <v>41351</v>
      </c>
      <c r="F344" t="s">
        <v>707</v>
      </c>
      <c r="G344" t="s">
        <v>2383</v>
      </c>
      <c r="H344" t="s">
        <v>2384</v>
      </c>
    </row>
    <row r="345" spans="2:8" ht="15">
      <c r="B345" s="1">
        <v>173</v>
      </c>
      <c r="C345" t="str">
        <f ca="1">IFERROR(__xludf.DUMMYFUNCTION((TRANSPOSE(ImportHTML("http://spending.data.al/sq/moneypower/view/id/173/year/2011", "table", 0)))),"*Emër Subjekti*")</f>
        <v>*Emër Subjekti*</v>
      </c>
      <c r="D345" t="s">
        <v>698</v>
      </c>
      <c r="E345" t="s">
        <v>699</v>
      </c>
      <c r="F345" t="s">
        <v>700</v>
      </c>
      <c r="G345" t="s">
        <v>701</v>
      </c>
      <c r="H345" t="s">
        <v>702</v>
      </c>
    </row>
    <row r="346" spans="2:8" ht="15">
      <c r="B346" s="7"/>
      <c r="C346" t="s">
        <v>2385</v>
      </c>
      <c r="D346" t="s">
        <v>2386</v>
      </c>
      <c r="E346" s="6">
        <v>40662</v>
      </c>
      <c r="F346" t="s">
        <v>707</v>
      </c>
      <c r="G346" t="s">
        <v>2387</v>
      </c>
      <c r="H346" t="s">
        <v>2388</v>
      </c>
    </row>
    <row r="347" spans="2:8" ht="15">
      <c r="B347" s="1">
        <v>174</v>
      </c>
      <c r="C347" t="str">
        <f ca="1">IFERROR(__xludf.DUMMYFUNCTION((TRANSPOSE(ImportHTML("http://spending.data.al/sq/moneypower/view/id/174/year/2011", "table", 0)))),"*Emër Subjekti*")</f>
        <v>*Emër Subjekti*</v>
      </c>
      <c r="D347" t="s">
        <v>698</v>
      </c>
      <c r="E347" t="s">
        <v>699</v>
      </c>
      <c r="F347" t="s">
        <v>700</v>
      </c>
      <c r="G347" t="s">
        <v>701</v>
      </c>
      <c r="H347" t="s">
        <v>702</v>
      </c>
    </row>
    <row r="348" spans="2:8" ht="15">
      <c r="B348" s="7"/>
      <c r="C348" t="s">
        <v>2389</v>
      </c>
      <c r="D348" t="s">
        <v>2307</v>
      </c>
      <c r="E348" s="6">
        <v>38597</v>
      </c>
      <c r="F348" t="s">
        <v>707</v>
      </c>
      <c r="G348" t="s">
        <v>2390</v>
      </c>
      <c r="H348" t="s">
        <v>2391</v>
      </c>
    </row>
    <row r="349" spans="2:8" ht="15">
      <c r="B349" s="1">
        <v>175</v>
      </c>
      <c r="C349" t="str">
        <f ca="1">IFERROR(__xludf.DUMMYFUNCTION((TRANSPOSE(ImportHTML("http://spending.data.al/sq/moneypower/view/id/175/year/2011", "table", 0)))),"*Emër Subjekti*")</f>
        <v>*Emër Subjekti*</v>
      </c>
      <c r="D349" t="s">
        <v>698</v>
      </c>
      <c r="E349" t="s">
        <v>699</v>
      </c>
      <c r="F349" t="s">
        <v>700</v>
      </c>
      <c r="G349" t="s">
        <v>701</v>
      </c>
      <c r="H349" t="s">
        <v>702</v>
      </c>
    </row>
    <row r="350" spans="2:8" ht="15">
      <c r="B350" s="7"/>
      <c r="C350" t="s">
        <v>2392</v>
      </c>
      <c r="D350" t="s">
        <v>2393</v>
      </c>
      <c r="E350" s="6">
        <v>41263</v>
      </c>
      <c r="F350" t="s">
        <v>707</v>
      </c>
      <c r="G350" t="s">
        <v>2394</v>
      </c>
      <c r="H350" t="s">
        <v>2395</v>
      </c>
    </row>
    <row r="351" spans="2:8" ht="15">
      <c r="B351" s="1">
        <v>176</v>
      </c>
      <c r="C351" t="str">
        <f ca="1">IFERROR(__xludf.DUMMYFUNCTION((TRANSPOSE(ImportHTML("http://spending.data.al/sq/moneypower/view/id/176/year/2011", "table", 0)))),"*Emër Subjekti*")</f>
        <v>*Emër Subjekti*</v>
      </c>
      <c r="D351" t="s">
        <v>698</v>
      </c>
      <c r="E351" t="s">
        <v>699</v>
      </c>
      <c r="F351" t="s">
        <v>700</v>
      </c>
      <c r="G351" t="s">
        <v>701</v>
      </c>
      <c r="H351" t="s">
        <v>702</v>
      </c>
    </row>
    <row r="352" spans="2:8" ht="15">
      <c r="B352" s="7"/>
      <c r="C352" t="s">
        <v>2396</v>
      </c>
      <c r="D352" t="s">
        <v>2397</v>
      </c>
      <c r="E352">
        <v>2007</v>
      </c>
      <c r="F352" t="s">
        <v>707</v>
      </c>
      <c r="G352" t="s">
        <v>2398</v>
      </c>
      <c r="H352" t="s">
        <v>2399</v>
      </c>
    </row>
    <row r="353" spans="2:8" ht="15">
      <c r="B353" s="1">
        <v>177</v>
      </c>
      <c r="C353" t="str">
        <f ca="1">IFERROR(__xludf.DUMMYFUNCTION((TRANSPOSE(ImportHTML("http://spending.data.al/sq/moneypower/view/id/177/year/2011", "table", 0)))),"*Emër Subjekti*")</f>
        <v>*Emër Subjekti*</v>
      </c>
      <c r="D353" t="s">
        <v>698</v>
      </c>
      <c r="E353" t="s">
        <v>699</v>
      </c>
      <c r="F353" t="s">
        <v>700</v>
      </c>
      <c r="G353" t="s">
        <v>701</v>
      </c>
      <c r="H353" t="s">
        <v>702</v>
      </c>
    </row>
    <row r="354" spans="2:8" ht="15">
      <c r="B354" s="7"/>
      <c r="C354" t="s">
        <v>2400</v>
      </c>
      <c r="D354" t="s">
        <v>2401</v>
      </c>
      <c r="E354" s="6">
        <v>40571</v>
      </c>
      <c r="F354" t="s">
        <v>707</v>
      </c>
      <c r="G354" t="s">
        <v>2402</v>
      </c>
      <c r="H354" t="s">
        <v>707</v>
      </c>
    </row>
    <row r="355" spans="2:8" ht="15">
      <c r="B355" s="1">
        <v>178</v>
      </c>
      <c r="C355" t="str">
        <f ca="1">IFERROR(__xludf.DUMMYFUNCTION((TRANSPOSE(ImportHTML("http://spending.data.al/sq/moneypower/view/id/178/year/2011", "table", 0)))),"*Emër Subjekti*")</f>
        <v>*Emër Subjekti*</v>
      </c>
      <c r="D355" t="s">
        <v>698</v>
      </c>
      <c r="E355" t="s">
        <v>699</v>
      </c>
      <c r="F355" t="s">
        <v>700</v>
      </c>
      <c r="G355" t="s">
        <v>701</v>
      </c>
      <c r="H355" t="s">
        <v>702</v>
      </c>
    </row>
    <row r="356" spans="2:8" ht="15">
      <c r="B356" s="7"/>
      <c r="C356" t="s">
        <v>2403</v>
      </c>
      <c r="D356" t="s">
        <v>2404</v>
      </c>
      <c r="E356" s="6">
        <v>41348</v>
      </c>
      <c r="F356" t="s">
        <v>707</v>
      </c>
      <c r="G356" t="s">
        <v>2405</v>
      </c>
      <c r="H356" t="s">
        <v>707</v>
      </c>
    </row>
    <row r="357" spans="2:8" ht="15">
      <c r="B357" s="1">
        <v>179</v>
      </c>
      <c r="C357" t="str">
        <f ca="1">IFERROR(__xludf.DUMMYFUNCTION((TRANSPOSE(ImportHTML("http://spending.data.al/sq/moneypower/view/id/179/year/2011", "table", 0)))),"*Emër Subjekti*")</f>
        <v>*Emër Subjekti*</v>
      </c>
      <c r="D357" t="s">
        <v>698</v>
      </c>
      <c r="E357" t="s">
        <v>699</v>
      </c>
      <c r="F357" t="s">
        <v>700</v>
      </c>
      <c r="G357" t="s">
        <v>701</v>
      </c>
      <c r="H357" t="s">
        <v>702</v>
      </c>
    </row>
    <row r="358" spans="2:8" ht="15">
      <c r="B358" s="7"/>
      <c r="C358" t="s">
        <v>2406</v>
      </c>
      <c r="D358" t="s">
        <v>2407</v>
      </c>
      <c r="E358" s="6">
        <v>40042</v>
      </c>
      <c r="F358" t="s">
        <v>707</v>
      </c>
      <c r="G358" t="s">
        <v>2408</v>
      </c>
      <c r="H358" t="s">
        <v>707</v>
      </c>
    </row>
    <row r="359" spans="2:8" ht="15">
      <c r="B359" s="1">
        <v>180</v>
      </c>
      <c r="C359" t="str">
        <f ca="1">IFERROR(__xludf.DUMMYFUNCTION((TRANSPOSE(ImportHTML("http://spending.data.al/sq/moneypower/view/id/180/year/2011", "table", 0)))),"*Emër Subjekti*")</f>
        <v>*Emër Subjekti*</v>
      </c>
      <c r="D359" t="s">
        <v>698</v>
      </c>
      <c r="E359" t="s">
        <v>699</v>
      </c>
      <c r="F359" t="s">
        <v>700</v>
      </c>
      <c r="G359" t="s">
        <v>701</v>
      </c>
      <c r="H359" t="s">
        <v>702</v>
      </c>
    </row>
    <row r="360" spans="2:8" ht="15">
      <c r="B360" s="7"/>
      <c r="C360" t="s">
        <v>2409</v>
      </c>
      <c r="D360" t="s">
        <v>2410</v>
      </c>
      <c r="E360" s="6">
        <v>39295</v>
      </c>
      <c r="F360" t="s">
        <v>707</v>
      </c>
      <c r="G360" t="s">
        <v>2411</v>
      </c>
      <c r="H360" t="s">
        <v>2412</v>
      </c>
    </row>
    <row r="361" spans="2:8" ht="15">
      <c r="B361" s="1">
        <v>181</v>
      </c>
      <c r="C361" t="str">
        <f ca="1">IFERROR(__xludf.DUMMYFUNCTION((TRANSPOSE(ImportHTML("http://spending.data.al/sq/moneypower/view/id/181/year/2011", "table", 0)))),"*Emër Subjekti*")</f>
        <v>*Emër Subjekti*</v>
      </c>
      <c r="D361" t="s">
        <v>698</v>
      </c>
      <c r="E361" t="s">
        <v>699</v>
      </c>
      <c r="F361" t="s">
        <v>700</v>
      </c>
      <c r="G361" t="s">
        <v>701</v>
      </c>
      <c r="H361" t="s">
        <v>702</v>
      </c>
    </row>
    <row r="362" spans="2:8" ht="15">
      <c r="B362" s="7"/>
      <c r="C362" t="s">
        <v>2413</v>
      </c>
      <c r="D362" t="s">
        <v>2414</v>
      </c>
      <c r="E362" s="6">
        <v>41711</v>
      </c>
      <c r="F362" t="s">
        <v>707</v>
      </c>
      <c r="G362" t="s">
        <v>2415</v>
      </c>
      <c r="H362" t="s">
        <v>2416</v>
      </c>
    </row>
    <row r="363" spans="2:8" ht="15">
      <c r="B363" s="1">
        <v>182</v>
      </c>
      <c r="C363" t="str">
        <f ca="1">IFERROR(__xludf.DUMMYFUNCTION((TRANSPOSE(ImportHTML("http://spending.data.al/sq/moneypower/view/id/182/year/2011", "table", 0)))),"*Emër Subjekti*")</f>
        <v>*Emër Subjekti*</v>
      </c>
      <c r="D363" t="s">
        <v>698</v>
      </c>
      <c r="E363" t="s">
        <v>699</v>
      </c>
      <c r="F363" t="s">
        <v>700</v>
      </c>
      <c r="G363" t="s">
        <v>701</v>
      </c>
      <c r="H363" t="s">
        <v>702</v>
      </c>
    </row>
    <row r="364" spans="2:8" ht="15">
      <c r="B364" s="7"/>
      <c r="C364" t="s">
        <v>2417</v>
      </c>
      <c r="D364" t="s">
        <v>2418</v>
      </c>
      <c r="E364" s="6">
        <v>40550</v>
      </c>
      <c r="F364" t="s">
        <v>707</v>
      </c>
      <c r="G364" t="s">
        <v>2419</v>
      </c>
      <c r="H364" t="s">
        <v>2420</v>
      </c>
    </row>
    <row r="365" spans="2:8" ht="15">
      <c r="B365" s="1">
        <v>183</v>
      </c>
      <c r="C365" t="str">
        <f ca="1">IFERROR(__xludf.DUMMYFUNCTION((TRANSPOSE(ImportHTML("http://spending.data.al/sq/moneypower/view/id/183/year/2011", "table", 0)))),"*Emër Subjekti*")</f>
        <v>*Emër Subjekti*</v>
      </c>
      <c r="D365" t="s">
        <v>698</v>
      </c>
      <c r="E365" t="s">
        <v>699</v>
      </c>
      <c r="F365" t="s">
        <v>700</v>
      </c>
      <c r="G365" t="s">
        <v>701</v>
      </c>
      <c r="H365" t="s">
        <v>702</v>
      </c>
    </row>
    <row r="366" spans="2:8" ht="15">
      <c r="B366" s="7"/>
      <c r="C366" t="s">
        <v>2421</v>
      </c>
      <c r="D366" t="s">
        <v>2422</v>
      </c>
      <c r="E366" s="6">
        <v>41631</v>
      </c>
      <c r="F366" t="s">
        <v>707</v>
      </c>
      <c r="G366" t="s">
        <v>2423</v>
      </c>
      <c r="H366" t="s">
        <v>2424</v>
      </c>
    </row>
    <row r="367" spans="2:8" ht="15">
      <c r="B367" s="1">
        <v>184</v>
      </c>
      <c r="C367" t="str">
        <f ca="1">IFERROR(__xludf.DUMMYFUNCTION((TRANSPOSE(ImportHTML("http://spending.data.al/sq/moneypower/view/id/184/year/2011", "table", 0)))),"*Emër Subjekti*")</f>
        <v>*Emër Subjekti*</v>
      </c>
      <c r="D367" t="s">
        <v>698</v>
      </c>
      <c r="E367" t="s">
        <v>699</v>
      </c>
      <c r="F367" t="s">
        <v>700</v>
      </c>
      <c r="G367" t="s">
        <v>701</v>
      </c>
      <c r="H367" t="s">
        <v>702</v>
      </c>
    </row>
    <row r="368" spans="2:8" ht="15">
      <c r="B368" s="7"/>
      <c r="C368" t="s">
        <v>2425</v>
      </c>
      <c r="D368" t="s">
        <v>2426</v>
      </c>
      <c r="E368" s="6">
        <v>40120</v>
      </c>
      <c r="F368" t="s">
        <v>707</v>
      </c>
      <c r="G368" t="s">
        <v>2427</v>
      </c>
      <c r="H368" t="s">
        <v>707</v>
      </c>
    </row>
    <row r="369" spans="2:8" ht="15">
      <c r="B369" s="1">
        <v>185</v>
      </c>
      <c r="C369" t="str">
        <f ca="1">IFERROR(__xludf.DUMMYFUNCTION((TRANSPOSE(ImportHTML("http://spending.data.al/sq/moneypower/view/id/185/year/2011", "table", 0)))),"*Emër Subjekti*")</f>
        <v>*Emër Subjekti*</v>
      </c>
      <c r="D369" t="s">
        <v>698</v>
      </c>
      <c r="E369" t="s">
        <v>699</v>
      </c>
      <c r="F369" t="s">
        <v>700</v>
      </c>
      <c r="G369" t="s">
        <v>701</v>
      </c>
      <c r="H369" t="s">
        <v>702</v>
      </c>
    </row>
    <row r="370" spans="2:8" ht="15">
      <c r="B370" s="7"/>
      <c r="C370" t="s">
        <v>2428</v>
      </c>
      <c r="D370" t="s">
        <v>2429</v>
      </c>
      <c r="E370" s="6">
        <v>40466</v>
      </c>
      <c r="F370" t="s">
        <v>707</v>
      </c>
      <c r="G370" t="s">
        <v>2430</v>
      </c>
      <c r="H370" t="s">
        <v>2431</v>
      </c>
    </row>
    <row r="371" spans="2:8" ht="15">
      <c r="B371" s="1">
        <v>186</v>
      </c>
      <c r="C371" t="str">
        <f ca="1">IFERROR(__xludf.DUMMYFUNCTION((TRANSPOSE(ImportHTML("http://spending.data.al/sq/moneypower/view/id/186/year/2011", "table", 0)))),"*Emër Subjekti*")</f>
        <v>*Emër Subjekti*</v>
      </c>
      <c r="D371" t="s">
        <v>698</v>
      </c>
      <c r="E371" t="s">
        <v>699</v>
      </c>
      <c r="F371" t="s">
        <v>700</v>
      </c>
      <c r="G371" t="s">
        <v>701</v>
      </c>
      <c r="H371" t="s">
        <v>702</v>
      </c>
    </row>
    <row r="372" spans="2:8" ht="15">
      <c r="B372" s="7"/>
      <c r="C372" t="s">
        <v>2432</v>
      </c>
      <c r="D372" t="s">
        <v>2433</v>
      </c>
      <c r="E372" s="6">
        <v>41067</v>
      </c>
      <c r="F372" t="s">
        <v>707</v>
      </c>
      <c r="G372" t="s">
        <v>2434</v>
      </c>
      <c r="H372" t="s">
        <v>2435</v>
      </c>
    </row>
    <row r="373" spans="2:8" ht="15">
      <c r="B373" s="1">
        <v>187</v>
      </c>
      <c r="C373" t="str">
        <f ca="1">IFERROR(__xludf.DUMMYFUNCTION((TRANSPOSE(ImportHTML("http://spending.data.al/sq/moneypower/view/id/187/year/2011", "table", 0)))),"*Emër Subjekti*")</f>
        <v>*Emër Subjekti*</v>
      </c>
      <c r="D373" t="s">
        <v>698</v>
      </c>
      <c r="E373" t="s">
        <v>699</v>
      </c>
      <c r="F373" t="s">
        <v>700</v>
      </c>
      <c r="G373" t="s">
        <v>701</v>
      </c>
      <c r="H373" t="s">
        <v>702</v>
      </c>
    </row>
    <row r="374" spans="2:8" ht="15">
      <c r="B374" s="7"/>
      <c r="C374" t="s">
        <v>2436</v>
      </c>
      <c r="D374" t="s">
        <v>2437</v>
      </c>
      <c r="E374" s="6">
        <v>40002</v>
      </c>
      <c r="F374" t="s">
        <v>707</v>
      </c>
      <c r="G374" t="s">
        <v>2438</v>
      </c>
      <c r="H374" t="s">
        <v>707</v>
      </c>
    </row>
    <row r="375" spans="2:8" ht="15">
      <c r="B375" s="1">
        <v>188</v>
      </c>
      <c r="C375" t="str">
        <f ca="1">IFERROR(__xludf.DUMMYFUNCTION((TRANSPOSE(ImportHTML("http://spending.data.al/sq/moneypower/view/id/188/year/2011", "table", 0)))),"*Emër Subjekti*")</f>
        <v>*Emër Subjekti*</v>
      </c>
      <c r="D375" t="s">
        <v>698</v>
      </c>
      <c r="E375" t="s">
        <v>699</v>
      </c>
      <c r="F375" t="s">
        <v>700</v>
      </c>
      <c r="G375" t="s">
        <v>701</v>
      </c>
      <c r="H375" t="s">
        <v>702</v>
      </c>
    </row>
    <row r="376" spans="2:8" ht="15">
      <c r="B376" s="7"/>
      <c r="C376" t="s">
        <v>2439</v>
      </c>
      <c r="D376" t="s">
        <v>2422</v>
      </c>
      <c r="E376" s="6">
        <v>40535</v>
      </c>
      <c r="F376" t="s">
        <v>707</v>
      </c>
      <c r="G376" t="s">
        <v>2440</v>
      </c>
      <c r="H376" t="s">
        <v>2441</v>
      </c>
    </row>
    <row r="377" spans="2:8" ht="15">
      <c r="B377" s="1">
        <v>189</v>
      </c>
      <c r="C377" t="str">
        <f ca="1">IFERROR(__xludf.DUMMYFUNCTION((TRANSPOSE(ImportHTML("http://spending.data.al/sq/moneypower/view/id/189/year/2011", "table", 0)))),"*Emër Subjekti*")</f>
        <v>*Emër Subjekti*</v>
      </c>
      <c r="D377" t="s">
        <v>698</v>
      </c>
      <c r="E377" t="s">
        <v>699</v>
      </c>
      <c r="F377" t="s">
        <v>700</v>
      </c>
      <c r="G377" t="s">
        <v>701</v>
      </c>
      <c r="H377" t="s">
        <v>702</v>
      </c>
    </row>
    <row r="378" spans="2:8" ht="15">
      <c r="B378" s="7"/>
      <c r="C378" t="s">
        <v>2442</v>
      </c>
      <c r="D378" t="s">
        <v>2443</v>
      </c>
      <c r="E378" t="s">
        <v>2444</v>
      </c>
      <c r="F378" t="s">
        <v>707</v>
      </c>
      <c r="G378" t="s">
        <v>2445</v>
      </c>
      <c r="H378" t="s">
        <v>2446</v>
      </c>
    </row>
    <row r="379" spans="2:8" ht="15">
      <c r="B379" s="1">
        <v>190</v>
      </c>
      <c r="C379" t="str">
        <f ca="1">IFERROR(__xludf.DUMMYFUNCTION((TRANSPOSE(ImportHTML("http://spending.data.al/sq/moneypower/view/id/190/year/2011", "table", 0)))),"*Emër Subjekti*")</f>
        <v>*Emër Subjekti*</v>
      </c>
      <c r="D379" t="s">
        <v>698</v>
      </c>
      <c r="E379" t="s">
        <v>699</v>
      </c>
      <c r="F379" t="s">
        <v>700</v>
      </c>
      <c r="G379" t="s">
        <v>701</v>
      </c>
      <c r="H379" t="s">
        <v>702</v>
      </c>
    </row>
    <row r="380" spans="2:8" ht="15">
      <c r="B380" s="7"/>
      <c r="C380" t="s">
        <v>2447</v>
      </c>
      <c r="D380" t="s">
        <v>2448</v>
      </c>
      <c r="F380" t="s">
        <v>707</v>
      </c>
      <c r="G380" t="s">
        <v>2449</v>
      </c>
      <c r="H380" t="s">
        <v>2450</v>
      </c>
    </row>
    <row r="381" spans="2:8" ht="15">
      <c r="B381" s="1">
        <v>191</v>
      </c>
      <c r="C381" t="str">
        <f ca="1">IFERROR(__xludf.DUMMYFUNCTION((TRANSPOSE(ImportHTML("http://spending.data.al/sq/moneypower/view/id/191/year/2011", "table", 0)))),"*Emër Subjekti*")</f>
        <v>*Emër Subjekti*</v>
      </c>
      <c r="D381" t="s">
        <v>698</v>
      </c>
      <c r="E381" t="s">
        <v>699</v>
      </c>
      <c r="F381" t="s">
        <v>700</v>
      </c>
      <c r="G381" t="s">
        <v>701</v>
      </c>
      <c r="H381" t="s">
        <v>702</v>
      </c>
    </row>
    <row r="382" spans="2:8" ht="15">
      <c r="B382" s="7"/>
      <c r="C382" t="s">
        <v>2451</v>
      </c>
      <c r="D382" t="s">
        <v>2452</v>
      </c>
      <c r="E382" s="6">
        <v>39995</v>
      </c>
      <c r="F382" t="s">
        <v>707</v>
      </c>
      <c r="G382" t="s">
        <v>2453</v>
      </c>
      <c r="H382" t="s">
        <v>707</v>
      </c>
    </row>
    <row r="383" spans="2:8" ht="15">
      <c r="B383" s="1">
        <v>192</v>
      </c>
      <c r="C383" t="str">
        <f ca="1">IFERROR(__xludf.DUMMYFUNCTION((TRANSPOSE(ImportHTML("http://spending.data.al/sq/moneypower/view/id/192/year/2011", "table", 0)))),"*Emër Subjekti*")</f>
        <v>*Emër Subjekti*</v>
      </c>
      <c r="D383" t="s">
        <v>698</v>
      </c>
      <c r="E383" t="s">
        <v>699</v>
      </c>
      <c r="F383" t="s">
        <v>700</v>
      </c>
      <c r="G383" t="s">
        <v>701</v>
      </c>
      <c r="H383" t="s">
        <v>702</v>
      </c>
    </row>
    <row r="384" spans="2:8" ht="15">
      <c r="B384" s="7"/>
      <c r="C384" t="s">
        <v>2454</v>
      </c>
      <c r="D384" t="s">
        <v>711</v>
      </c>
      <c r="E384" t="s">
        <v>2178</v>
      </c>
      <c r="F384" t="s">
        <v>2455</v>
      </c>
      <c r="G384" t="s">
        <v>2456</v>
      </c>
      <c r="H384" t="s">
        <v>2457</v>
      </c>
    </row>
    <row r="385" spans="2:8" ht="15">
      <c r="B385" s="1">
        <v>193</v>
      </c>
      <c r="C385" t="str">
        <f ca="1">IFERROR(__xludf.DUMMYFUNCTION((TRANSPOSE(ImportHTML("http://spending.data.al/sq/moneypower/view/id/193/year/2011", "table", 0)))),"*Emër Subjekti*")</f>
        <v>*Emër Subjekti*</v>
      </c>
      <c r="D385" t="s">
        <v>698</v>
      </c>
      <c r="E385" t="s">
        <v>699</v>
      </c>
      <c r="F385" t="s">
        <v>700</v>
      </c>
      <c r="G385" t="s">
        <v>701</v>
      </c>
      <c r="H385" t="s">
        <v>702</v>
      </c>
    </row>
    <row r="386" spans="2:8" ht="15">
      <c r="B386" s="7"/>
      <c r="C386" t="s">
        <v>2458</v>
      </c>
      <c r="D386" t="s">
        <v>711</v>
      </c>
      <c r="E386" t="s">
        <v>2210</v>
      </c>
      <c r="F386" t="s">
        <v>712</v>
      </c>
      <c r="G386" t="s">
        <v>2459</v>
      </c>
      <c r="H386" t="s">
        <v>2460</v>
      </c>
    </row>
    <row r="387" spans="2:8" ht="15">
      <c r="B387" s="1">
        <v>194</v>
      </c>
      <c r="C387" t="str">
        <f ca="1">IFERROR(__xludf.DUMMYFUNCTION((TRANSPOSE(ImportHTML("http://spending.data.al/sq/moneypower/view/id/194/year/2011", "table", 0)))),"*Emër Subjekti*")</f>
        <v>*Emër Subjekti*</v>
      </c>
      <c r="D387" t="s">
        <v>698</v>
      </c>
      <c r="E387" t="s">
        <v>699</v>
      </c>
      <c r="F387" t="s">
        <v>700</v>
      </c>
      <c r="G387" t="s">
        <v>701</v>
      </c>
      <c r="H387" t="s">
        <v>702</v>
      </c>
    </row>
    <row r="388" spans="2:8" ht="15">
      <c r="B388" s="7"/>
      <c r="C388" t="s">
        <v>2461</v>
      </c>
      <c r="D388" t="s">
        <v>711</v>
      </c>
      <c r="E388" t="s">
        <v>2178</v>
      </c>
      <c r="F388" t="s">
        <v>2181</v>
      </c>
      <c r="G388" t="s">
        <v>2462</v>
      </c>
      <c r="H388" t="s">
        <v>2463</v>
      </c>
    </row>
    <row r="389" spans="2:8" ht="15">
      <c r="B389" s="1">
        <v>195</v>
      </c>
      <c r="C389" t="str">
        <f ca="1">IFERROR(__xludf.DUMMYFUNCTION((TRANSPOSE(ImportHTML("http://spending.data.al/sq/moneypower/view/id/195/year/2011", "table", 0)))),"*Emër Subjekti*")</f>
        <v>*Emër Subjekti*</v>
      </c>
      <c r="D389" t="s">
        <v>698</v>
      </c>
      <c r="E389" t="s">
        <v>699</v>
      </c>
      <c r="F389" t="s">
        <v>700</v>
      </c>
      <c r="G389" t="s">
        <v>701</v>
      </c>
      <c r="H389" t="s">
        <v>702</v>
      </c>
    </row>
    <row r="390" spans="2:8" ht="15">
      <c r="B390" s="7"/>
      <c r="C390" t="s">
        <v>2464</v>
      </c>
      <c r="D390" t="s">
        <v>711</v>
      </c>
      <c r="E390" t="s">
        <v>2190</v>
      </c>
      <c r="F390" t="s">
        <v>2226</v>
      </c>
      <c r="G390" t="s">
        <v>2465</v>
      </c>
      <c r="H390" t="s">
        <v>707</v>
      </c>
    </row>
    <row r="391" spans="2:8" ht="15">
      <c r="B391" s="1">
        <v>196</v>
      </c>
      <c r="C391" t="str">
        <f ca="1">IFERROR(__xludf.DUMMYFUNCTION((TRANSPOSE(ImportHTML("http://spending.data.al/sq/moneypower/view/id/196/year/2011", "table", 0)))),"*Emër Subjekti*")</f>
        <v>*Emër Subjekti*</v>
      </c>
      <c r="D391" t="s">
        <v>698</v>
      </c>
      <c r="E391" t="s">
        <v>699</v>
      </c>
      <c r="F391" t="s">
        <v>700</v>
      </c>
      <c r="G391" t="s">
        <v>701</v>
      </c>
      <c r="H391" t="s">
        <v>702</v>
      </c>
    </row>
    <row r="392" spans="2:8" ht="15">
      <c r="B392" s="7"/>
      <c r="C392" t="s">
        <v>2466</v>
      </c>
      <c r="D392" t="s">
        <v>711</v>
      </c>
      <c r="E392" t="s">
        <v>2178</v>
      </c>
      <c r="F392" t="s">
        <v>2181</v>
      </c>
      <c r="G392" t="s">
        <v>2467</v>
      </c>
      <c r="H392" t="s">
        <v>2468</v>
      </c>
    </row>
    <row r="393" spans="2:8" ht="15">
      <c r="B393" s="1">
        <v>197</v>
      </c>
      <c r="C393" t="str">
        <f ca="1">IFERROR(__xludf.DUMMYFUNCTION((TRANSPOSE(ImportHTML("http://spending.data.al/sq/moneypower/view/id/197/year/2011", "table", 0)))),"*Emër Subjekti*")</f>
        <v>*Emër Subjekti*</v>
      </c>
      <c r="D393" t="s">
        <v>698</v>
      </c>
      <c r="E393" t="s">
        <v>699</v>
      </c>
      <c r="F393" t="s">
        <v>700</v>
      </c>
      <c r="G393" t="s">
        <v>701</v>
      </c>
      <c r="H393" t="s">
        <v>702</v>
      </c>
    </row>
    <row r="394" spans="2:8" ht="15">
      <c r="B394" s="7"/>
      <c r="C394" t="s">
        <v>2469</v>
      </c>
      <c r="D394" t="s">
        <v>711</v>
      </c>
      <c r="E394" t="s">
        <v>2470</v>
      </c>
      <c r="F394" t="s">
        <v>2181</v>
      </c>
      <c r="G394" t="s">
        <v>2471</v>
      </c>
      <c r="H394" t="s">
        <v>2472</v>
      </c>
    </row>
    <row r="395" spans="2:8" ht="15">
      <c r="B395" s="1">
        <v>198</v>
      </c>
      <c r="C395" t="str">
        <f ca="1">IFERROR(__xludf.DUMMYFUNCTION((TRANSPOSE(ImportHTML("http://spending.data.al/sq/moneypower/view/id/198/year/2011", "table", 0)))),"*Emër Subjekti*")</f>
        <v>*Emër Subjekti*</v>
      </c>
      <c r="D395" t="s">
        <v>698</v>
      </c>
      <c r="E395" t="s">
        <v>699</v>
      </c>
      <c r="F395" t="s">
        <v>700</v>
      </c>
      <c r="G395" t="s">
        <v>701</v>
      </c>
      <c r="H395" t="s">
        <v>702</v>
      </c>
    </row>
    <row r="396" spans="2:8" ht="15">
      <c r="B396" s="7"/>
      <c r="C396" t="s">
        <v>2473</v>
      </c>
      <c r="D396" t="s">
        <v>711</v>
      </c>
      <c r="E396" t="s">
        <v>2178</v>
      </c>
      <c r="F396" t="s">
        <v>712</v>
      </c>
      <c r="G396" t="s">
        <v>2474</v>
      </c>
      <c r="H396" t="s">
        <v>2475</v>
      </c>
    </row>
    <row r="397" spans="2:8" ht="15">
      <c r="B397" s="1">
        <v>199</v>
      </c>
      <c r="C397" t="str">
        <f ca="1">IFERROR(__xludf.DUMMYFUNCTION((TRANSPOSE(ImportHTML("http://spending.data.al/sq/moneypower/view/id/199/year/2011", "table", 0)))),"*Emër Subjekti*")</f>
        <v>*Emër Subjekti*</v>
      </c>
      <c r="D397" t="s">
        <v>698</v>
      </c>
      <c r="E397" t="s">
        <v>699</v>
      </c>
      <c r="F397" t="s">
        <v>700</v>
      </c>
      <c r="G397" t="s">
        <v>701</v>
      </c>
      <c r="H397" t="s">
        <v>702</v>
      </c>
    </row>
    <row r="398" spans="2:8" ht="15">
      <c r="B398" s="7"/>
      <c r="C398" t="s">
        <v>2476</v>
      </c>
      <c r="D398" t="s">
        <v>711</v>
      </c>
      <c r="E398" t="s">
        <v>2178</v>
      </c>
      <c r="F398" t="s">
        <v>2191</v>
      </c>
      <c r="G398" t="s">
        <v>2477</v>
      </c>
      <c r="H398" t="s">
        <v>2478</v>
      </c>
    </row>
    <row r="399" spans="2:8" ht="15">
      <c r="B399" s="1">
        <v>200</v>
      </c>
      <c r="C399" t="str">
        <f ca="1">IFERROR(__xludf.DUMMYFUNCTION((TRANSPOSE(ImportHTML("http://spending.data.al/sq/moneypower/view/id/200/year/2011", "table", 0)))),"*Emër Subjekti*")</f>
        <v>*Emër Subjekti*</v>
      </c>
      <c r="D399" t="s">
        <v>698</v>
      </c>
      <c r="E399" t="s">
        <v>699</v>
      </c>
      <c r="F399" t="s">
        <v>700</v>
      </c>
      <c r="G399" t="s">
        <v>701</v>
      </c>
      <c r="H399" t="s">
        <v>702</v>
      </c>
    </row>
    <row r="400" spans="2:8" ht="15">
      <c r="B400" s="7"/>
      <c r="C400" t="s">
        <v>2479</v>
      </c>
      <c r="D400" t="s">
        <v>711</v>
      </c>
      <c r="E400" t="s">
        <v>2178</v>
      </c>
      <c r="F400" t="s">
        <v>2191</v>
      </c>
      <c r="G400" t="s">
        <v>2480</v>
      </c>
      <c r="H400" t="s">
        <v>2481</v>
      </c>
    </row>
    <row r="401" spans="2:8" ht="15">
      <c r="B401" s="1">
        <v>201</v>
      </c>
      <c r="C401" t="str">
        <f ca="1">IFERROR(__xludf.DUMMYFUNCTION((TRANSPOSE(ImportHTML("http://spending.data.al/sq/moneypower/view/id/201/year/2011", "table", 0)))),"*Emër Subjekti*")</f>
        <v>*Emër Subjekti*</v>
      </c>
      <c r="D401" t="s">
        <v>698</v>
      </c>
      <c r="E401" t="s">
        <v>699</v>
      </c>
      <c r="F401" t="s">
        <v>700</v>
      </c>
      <c r="G401" t="s">
        <v>701</v>
      </c>
      <c r="H401" t="s">
        <v>702</v>
      </c>
    </row>
    <row r="402" spans="2:8" ht="15">
      <c r="B402" s="7"/>
      <c r="C402" t="s">
        <v>2482</v>
      </c>
      <c r="D402" t="s">
        <v>711</v>
      </c>
      <c r="E402" t="s">
        <v>2190</v>
      </c>
      <c r="F402" t="s">
        <v>2191</v>
      </c>
      <c r="G402" t="s">
        <v>2483</v>
      </c>
      <c r="H402" t="s">
        <v>1918</v>
      </c>
    </row>
    <row r="403" spans="2:8" ht="15">
      <c r="B403" s="1">
        <v>202</v>
      </c>
      <c r="C403" t="str">
        <f ca="1">IFERROR(__xludf.DUMMYFUNCTION((TRANSPOSE(ImportHTML("http://spending.data.al/sq/moneypower/view/id/202/year/2011", "table", 0)))),"*Emër Subjekti*")</f>
        <v>*Emër Subjekti*</v>
      </c>
      <c r="D403" t="s">
        <v>698</v>
      </c>
      <c r="E403" t="s">
        <v>699</v>
      </c>
      <c r="F403" t="s">
        <v>700</v>
      </c>
      <c r="G403" t="s">
        <v>701</v>
      </c>
      <c r="H403" t="s">
        <v>702</v>
      </c>
    </row>
    <row r="404" spans="2:8" ht="15">
      <c r="B404" s="7"/>
      <c r="C404" t="s">
        <v>2484</v>
      </c>
      <c r="D404" t="s">
        <v>710</v>
      </c>
      <c r="E404" s="6">
        <v>42153</v>
      </c>
      <c r="F404" t="s">
        <v>712</v>
      </c>
      <c r="G404" t="s">
        <v>2485</v>
      </c>
      <c r="H404" t="s">
        <v>2486</v>
      </c>
    </row>
    <row r="405" spans="2:8" ht="15">
      <c r="B405" s="1">
        <v>203</v>
      </c>
      <c r="C405" t="str">
        <f ca="1">IFERROR(__xludf.DUMMYFUNCTION((TRANSPOSE(ImportHTML("http://spending.data.al/sq/moneypower/view/id/203/year/2011", "table", 0)))),"*Emër Subjekti*")</f>
        <v>*Emër Subjekti*</v>
      </c>
      <c r="D405" t="s">
        <v>698</v>
      </c>
      <c r="E405" t="s">
        <v>699</v>
      </c>
      <c r="F405" t="s">
        <v>700</v>
      </c>
      <c r="G405" t="s">
        <v>701</v>
      </c>
      <c r="H405" t="s">
        <v>702</v>
      </c>
    </row>
    <row r="406" spans="2:8" ht="15">
      <c r="B406" s="7"/>
      <c r="C406" t="s">
        <v>2487</v>
      </c>
      <c r="D406" t="s">
        <v>711</v>
      </c>
      <c r="E406" t="s">
        <v>2178</v>
      </c>
      <c r="F406" t="s">
        <v>2181</v>
      </c>
      <c r="G406" t="s">
        <v>2488</v>
      </c>
      <c r="H406" t="s">
        <v>2489</v>
      </c>
    </row>
    <row r="407" spans="2:8" ht="15">
      <c r="B407" s="1">
        <v>204</v>
      </c>
      <c r="C407" t="str">
        <f ca="1">IFERROR(__xludf.DUMMYFUNCTION((TRANSPOSE(ImportHTML("http://spending.data.al/sq/moneypower/view/id/204/year/2011", "table", 0)))),"*Emër Subjekti*")</f>
        <v>*Emër Subjekti*</v>
      </c>
      <c r="D407" t="s">
        <v>698</v>
      </c>
      <c r="E407" t="s">
        <v>699</v>
      </c>
      <c r="F407" t="s">
        <v>700</v>
      </c>
      <c r="G407" t="s">
        <v>701</v>
      </c>
      <c r="H407" t="s">
        <v>702</v>
      </c>
    </row>
    <row r="408" spans="2:8" ht="15">
      <c r="B408" s="7"/>
      <c r="C408" t="s">
        <v>2490</v>
      </c>
      <c r="D408" t="s">
        <v>711</v>
      </c>
      <c r="E408" s="6">
        <v>41526</v>
      </c>
      <c r="F408" t="s">
        <v>707</v>
      </c>
      <c r="G408" t="s">
        <v>2491</v>
      </c>
      <c r="H408" t="s">
        <v>707</v>
      </c>
    </row>
    <row r="409" spans="2:8" ht="15">
      <c r="B409" s="1">
        <v>205</v>
      </c>
      <c r="C409" t="str">
        <f ca="1">IFERROR(__xludf.DUMMYFUNCTION((TRANSPOSE(ImportHTML("http://spending.data.al/sq/moneypower/view/id/205/year/2011", "table", 0)))),"*Emër Subjekti*")</f>
        <v>*Emër Subjekti*</v>
      </c>
      <c r="D409" t="s">
        <v>698</v>
      </c>
      <c r="E409" t="s">
        <v>699</v>
      </c>
      <c r="F409" t="s">
        <v>700</v>
      </c>
      <c r="G409" t="s">
        <v>701</v>
      </c>
      <c r="H409" t="s">
        <v>702</v>
      </c>
    </row>
    <row r="410" spans="2:8" ht="15">
      <c r="B410" s="7"/>
      <c r="C410" t="s">
        <v>2492</v>
      </c>
      <c r="D410" t="s">
        <v>711</v>
      </c>
      <c r="E410" s="6">
        <v>41526</v>
      </c>
      <c r="F410" t="s">
        <v>707</v>
      </c>
      <c r="G410" t="s">
        <v>2493</v>
      </c>
      <c r="H410" t="s">
        <v>2494</v>
      </c>
    </row>
    <row r="411" spans="2:8" ht="15">
      <c r="B411" s="1">
        <v>206</v>
      </c>
      <c r="C411" t="str">
        <f ca="1">IFERROR(__xludf.DUMMYFUNCTION((TRANSPOSE(ImportHTML("http://spending.data.al/sq/moneypower/view/id/206/year/2011", "table", 0)))),"*Emër Subjekti*")</f>
        <v>*Emër Subjekti*</v>
      </c>
      <c r="D411" t="s">
        <v>698</v>
      </c>
      <c r="E411" t="s">
        <v>699</v>
      </c>
      <c r="F411" t="s">
        <v>700</v>
      </c>
      <c r="G411" t="s">
        <v>701</v>
      </c>
      <c r="H411" t="s">
        <v>702</v>
      </c>
    </row>
    <row r="412" spans="2:8" ht="15">
      <c r="B412" s="7"/>
      <c r="C412" t="s">
        <v>2495</v>
      </c>
      <c r="D412" t="s">
        <v>711</v>
      </c>
      <c r="E412" s="6">
        <v>40061</v>
      </c>
      <c r="F412" t="s">
        <v>707</v>
      </c>
      <c r="G412" t="s">
        <v>2496</v>
      </c>
      <c r="H412" t="s">
        <v>2497</v>
      </c>
    </row>
    <row r="413" spans="2:8" ht="15">
      <c r="B413" s="1">
        <v>207</v>
      </c>
      <c r="C413" t="str">
        <f ca="1">IFERROR(__xludf.DUMMYFUNCTION((TRANSPOSE(ImportHTML("http://spending.data.al/sq/moneypower/view/id/207/year/2011", "table", 0)))),"*Emër Subjekti*")</f>
        <v>*Emër Subjekti*</v>
      </c>
      <c r="D413" t="s">
        <v>698</v>
      </c>
      <c r="E413" t="s">
        <v>699</v>
      </c>
      <c r="F413" t="s">
        <v>700</v>
      </c>
      <c r="G413" t="s">
        <v>701</v>
      </c>
      <c r="H413" t="s">
        <v>702</v>
      </c>
    </row>
    <row r="414" spans="2:8" ht="15">
      <c r="B414" s="7"/>
      <c r="C414" t="s">
        <v>2498</v>
      </c>
      <c r="D414" t="s">
        <v>711</v>
      </c>
      <c r="E414" s="6">
        <v>41526</v>
      </c>
      <c r="F414" t="s">
        <v>2191</v>
      </c>
      <c r="G414" t="s">
        <v>2499</v>
      </c>
      <c r="H414" t="s">
        <v>2500</v>
      </c>
    </row>
    <row r="415" spans="2:8" ht="15">
      <c r="B415" s="1">
        <v>208</v>
      </c>
      <c r="C415" t="str">
        <f ca="1">IFERROR(__xludf.DUMMYFUNCTION((TRANSPOSE(ImportHTML("http://spending.data.al/sq/moneypower/view/id/208/year/2011", "table", 0)))),"*Emër Subjekti*")</f>
        <v>*Emër Subjekti*</v>
      </c>
      <c r="D415" t="s">
        <v>698</v>
      </c>
      <c r="E415" t="s">
        <v>699</v>
      </c>
      <c r="F415" t="s">
        <v>700</v>
      </c>
      <c r="G415" t="s">
        <v>701</v>
      </c>
      <c r="H415" t="s">
        <v>702</v>
      </c>
    </row>
    <row r="416" spans="2:8" ht="15">
      <c r="B416" s="7"/>
      <c r="C416" t="s">
        <v>2501</v>
      </c>
      <c r="D416" t="s">
        <v>711</v>
      </c>
      <c r="E416" s="6">
        <v>41630</v>
      </c>
      <c r="F416" t="s">
        <v>707</v>
      </c>
      <c r="G416" t="s">
        <v>2502</v>
      </c>
      <c r="H416" t="s">
        <v>2503</v>
      </c>
    </row>
    <row r="417" spans="2:16" ht="15">
      <c r="B417" s="1">
        <v>209</v>
      </c>
      <c r="C417" t="str">
        <f ca="1">IFERROR(__xludf.DUMMYFUNCTION((TRANSPOSE(ImportHTML("http://spending.data.al/sq/moneypower/view/id/209/year/2011", "table", 0)))),"*Emër Subjekti*")</f>
        <v>*Emër Subjekti*</v>
      </c>
      <c r="D417" t="s">
        <v>698</v>
      </c>
      <c r="E417" t="s">
        <v>699</v>
      </c>
      <c r="F417" t="s">
        <v>700</v>
      </c>
      <c r="G417" t="s">
        <v>701</v>
      </c>
      <c r="H417" t="s">
        <v>702</v>
      </c>
    </row>
    <row r="418" spans="2:16" ht="15">
      <c r="B418" s="7"/>
      <c r="C418" t="s">
        <v>2504</v>
      </c>
      <c r="D418" t="s">
        <v>711</v>
      </c>
      <c r="E418" t="s">
        <v>2505</v>
      </c>
      <c r="F418" t="s">
        <v>707</v>
      </c>
      <c r="G418" t="s">
        <v>2506</v>
      </c>
      <c r="H418" t="s">
        <v>2507</v>
      </c>
    </row>
    <row r="419" spans="2:16" ht="15">
      <c r="B419" s="1">
        <v>210</v>
      </c>
      <c r="C419" t="str">
        <f ca="1">IFERROR(__xludf.DUMMYFUNCTION((TRANSPOSE(ImportHTML("http://spending.data.al/sq/moneypower/view/id/210/year/2011", "table", 0)))),"*Emër Subjekti*")</f>
        <v>*Emër Subjekti*</v>
      </c>
      <c r="D419" t="s">
        <v>698</v>
      </c>
      <c r="E419" t="s">
        <v>699</v>
      </c>
      <c r="F419" t="s">
        <v>700</v>
      </c>
      <c r="G419" t="s">
        <v>701</v>
      </c>
      <c r="H419" t="s">
        <v>702</v>
      </c>
    </row>
    <row r="420" spans="2:16" ht="15">
      <c r="B420" s="7"/>
      <c r="C420" t="s">
        <v>2508</v>
      </c>
      <c r="D420" t="s">
        <v>711</v>
      </c>
      <c r="E420" t="s">
        <v>2509</v>
      </c>
      <c r="F420" t="s">
        <v>2510</v>
      </c>
      <c r="G420" t="s">
        <v>2511</v>
      </c>
      <c r="H420" t="s">
        <v>2512</v>
      </c>
    </row>
    <row r="421" spans="2:16" ht="15">
      <c r="B421" s="1">
        <v>211</v>
      </c>
      <c r="C421" t="str">
        <f ca="1">IFERROR(__xludf.DUMMYFUNCTION((TRANSPOSE(ImportHTML("http://spending.data.al/sq/moneypower/view/id/211/year/2011", "table", 0)))),"*Emër Subjekti*")</f>
        <v>*Emër Subjekti*</v>
      </c>
      <c r="D421" t="s">
        <v>698</v>
      </c>
      <c r="E421" t="s">
        <v>699</v>
      </c>
      <c r="F421" t="s">
        <v>700</v>
      </c>
      <c r="G421" t="s">
        <v>701</v>
      </c>
      <c r="H421" t="s">
        <v>702</v>
      </c>
    </row>
    <row r="422" spans="2:16" ht="15">
      <c r="B422" s="7"/>
      <c r="C422" t="s">
        <v>2513</v>
      </c>
      <c r="D422" t="s">
        <v>711</v>
      </c>
      <c r="E422" s="6">
        <v>37469</v>
      </c>
      <c r="F422" t="s">
        <v>707</v>
      </c>
      <c r="G422" t="s">
        <v>2514</v>
      </c>
      <c r="H422" t="s">
        <v>2515</v>
      </c>
    </row>
    <row r="423" spans="2:16" ht="15">
      <c r="B423" s="1">
        <v>212</v>
      </c>
      <c r="C423" t="str">
        <f ca="1">IFERROR(__xludf.DUMMYFUNCTION((TRANSPOSE(ImportHTML("http://spending.data.al/sq/moneypower/view/id/212/year/2011", "table", 0)))),"*Emër Subjekti*")</f>
        <v>*Emër Subjekti*</v>
      </c>
      <c r="D423" t="s">
        <v>698</v>
      </c>
      <c r="E423" t="s">
        <v>699</v>
      </c>
      <c r="F423" t="s">
        <v>700</v>
      </c>
      <c r="G423" t="s">
        <v>701</v>
      </c>
      <c r="H423" t="s">
        <v>702</v>
      </c>
    </row>
    <row r="424" spans="2:16" ht="15">
      <c r="B424" s="7"/>
      <c r="C424" t="s">
        <v>2516</v>
      </c>
      <c r="D424" t="s">
        <v>2517</v>
      </c>
      <c r="E424" s="6">
        <v>41696</v>
      </c>
      <c r="F424" t="s">
        <v>707</v>
      </c>
      <c r="G424" t="s">
        <v>2518</v>
      </c>
      <c r="H424" t="s">
        <v>2519</v>
      </c>
    </row>
    <row r="425" spans="2:16" ht="15">
      <c r="B425" s="1">
        <v>213</v>
      </c>
      <c r="C425" t="str">
        <f ca="1">IFERROR(__xludf.DUMMYFUNCTION((TRANSPOSE(ImportHTML("http://spending.data.al/sq/moneypower/view/id/213/year/2011", "table", 0)))),"*Kategoria*")</f>
        <v>*Kategoria*</v>
      </c>
      <c r="D425" t="s">
        <v>673</v>
      </c>
      <c r="E425" t="s">
        <v>674</v>
      </c>
      <c r="F425" t="s">
        <v>675</v>
      </c>
      <c r="G425" t="s">
        <v>676</v>
      </c>
      <c r="H425" t="s">
        <v>677</v>
      </c>
      <c r="I425" t="s">
        <v>678</v>
      </c>
      <c r="J425" t="s">
        <v>679</v>
      </c>
      <c r="K425" t="s">
        <v>680</v>
      </c>
      <c r="L425" t="s">
        <v>681</v>
      </c>
      <c r="M425" t="s">
        <v>682</v>
      </c>
      <c r="N425" t="s">
        <v>683</v>
      </c>
      <c r="O425" t="s">
        <v>684</v>
      </c>
      <c r="P425" t="s">
        <v>685</v>
      </c>
    </row>
    <row r="426" spans="2:16" ht="15">
      <c r="B426" s="7"/>
      <c r="C426" t="s">
        <v>686</v>
      </c>
      <c r="D426" t="s">
        <v>2520</v>
      </c>
      <c r="E426" t="s">
        <v>688</v>
      </c>
      <c r="F426" t="s">
        <v>1450</v>
      </c>
      <c r="G426" t="s">
        <v>688</v>
      </c>
      <c r="H426" t="s">
        <v>688</v>
      </c>
      <c r="I426" t="s">
        <v>688</v>
      </c>
      <c r="J426" t="s">
        <v>688</v>
      </c>
      <c r="K426" t="s">
        <v>688</v>
      </c>
      <c r="L426" t="s">
        <v>688</v>
      </c>
      <c r="M426" t="s">
        <v>688</v>
      </c>
      <c r="N426" t="s">
        <v>688</v>
      </c>
      <c r="O426" s="4">
        <v>1.1000000000000001</v>
      </c>
      <c r="P426" t="s">
        <v>688</v>
      </c>
    </row>
    <row r="427" spans="2:16" ht="15">
      <c r="B427" s="1">
        <v>214</v>
      </c>
      <c r="C427" t="str">
        <f ca="1">IFERROR(__xludf.DUMMYFUNCTION((TRANSPOSE(ImportHTML("http://spending.data.al/sq/moneypower/view/id/214/year/2011", "table", 0)))),"*Kategoria*")</f>
        <v>*Kategoria*</v>
      </c>
      <c r="D427" t="s">
        <v>673</v>
      </c>
      <c r="E427" t="s">
        <v>674</v>
      </c>
      <c r="F427" t="s">
        <v>675</v>
      </c>
      <c r="G427" t="s">
        <v>676</v>
      </c>
      <c r="H427" t="s">
        <v>677</v>
      </c>
      <c r="I427" t="s">
        <v>678</v>
      </c>
      <c r="J427" t="s">
        <v>679</v>
      </c>
      <c r="K427" t="s">
        <v>680</v>
      </c>
      <c r="L427" t="s">
        <v>681</v>
      </c>
      <c r="M427" t="s">
        <v>682</v>
      </c>
      <c r="N427" t="s">
        <v>683</v>
      </c>
      <c r="O427" t="s">
        <v>684</v>
      </c>
      <c r="P427" t="s">
        <v>685</v>
      </c>
    </row>
    <row r="428" spans="2:16" ht="15">
      <c r="B428" s="7"/>
      <c r="C428" t="s">
        <v>686</v>
      </c>
      <c r="D428" t="s">
        <v>2521</v>
      </c>
      <c r="E428" t="s">
        <v>688</v>
      </c>
      <c r="F428" t="s">
        <v>2522</v>
      </c>
      <c r="G428" t="s">
        <v>688</v>
      </c>
      <c r="H428" t="s">
        <v>688</v>
      </c>
      <c r="I428" t="s">
        <v>688</v>
      </c>
      <c r="J428" t="s">
        <v>688</v>
      </c>
      <c r="K428" t="s">
        <v>688</v>
      </c>
      <c r="L428" t="s">
        <v>688</v>
      </c>
      <c r="M428" t="s">
        <v>2523</v>
      </c>
      <c r="N428" t="s">
        <v>688</v>
      </c>
      <c r="O428" s="4">
        <v>1.1499999999999999</v>
      </c>
      <c r="P428" t="s">
        <v>2524</v>
      </c>
    </row>
    <row r="429" spans="2:16" ht="15">
      <c r="B429" s="1">
        <v>215</v>
      </c>
      <c r="C429" t="str">
        <f ca="1">IFERROR(__xludf.DUMMYFUNCTION((TRANSPOSE(ImportHTML("http://spending.data.al/sq/moneypower/view/id/215/year/2011", "table", 0)))),"*Kategoria*")</f>
        <v>*Kategoria*</v>
      </c>
      <c r="D429" t="s">
        <v>673</v>
      </c>
      <c r="E429" t="s">
        <v>674</v>
      </c>
      <c r="F429" t="s">
        <v>675</v>
      </c>
      <c r="G429" t="s">
        <v>676</v>
      </c>
      <c r="H429" t="s">
        <v>677</v>
      </c>
      <c r="I429" t="s">
        <v>678</v>
      </c>
      <c r="J429" t="s">
        <v>679</v>
      </c>
      <c r="K429" t="s">
        <v>680</v>
      </c>
      <c r="L429" t="s">
        <v>681</v>
      </c>
      <c r="M429" t="s">
        <v>682</v>
      </c>
      <c r="N429" t="s">
        <v>683</v>
      </c>
      <c r="O429" t="s">
        <v>684</v>
      </c>
      <c r="P429" t="s">
        <v>685</v>
      </c>
    </row>
    <row r="430" spans="2:16" thickBot="1">
      <c r="B430" s="7"/>
      <c r="C430" t="s">
        <v>686</v>
      </c>
      <c r="D430" t="s">
        <v>2525</v>
      </c>
      <c r="E430" t="s">
        <v>2526</v>
      </c>
      <c r="F430" t="s">
        <v>2527</v>
      </c>
      <c r="G430" t="s">
        <v>688</v>
      </c>
      <c r="H430" t="s">
        <v>688</v>
      </c>
      <c r="I430" t="s">
        <v>688</v>
      </c>
      <c r="J430" t="s">
        <v>688</v>
      </c>
      <c r="K430" t="s">
        <v>688</v>
      </c>
      <c r="L430" t="s">
        <v>688</v>
      </c>
      <c r="M430" t="s">
        <v>2528</v>
      </c>
      <c r="N430" t="s">
        <v>688</v>
      </c>
      <c r="O430" s="4">
        <v>1.1599999999999999</v>
      </c>
      <c r="P430" t="s">
        <v>688</v>
      </c>
    </row>
    <row r="431" spans="2:16" ht="48.75" thickBot="1">
      <c r="B431" s="8"/>
      <c r="C431" s="26" t="s">
        <v>4436</v>
      </c>
      <c r="D431" s="28" t="s">
        <v>4437</v>
      </c>
      <c r="E431" s="30" t="s">
        <v>4438</v>
      </c>
      <c r="F431" s="28" t="s">
        <v>4439</v>
      </c>
      <c r="G431" s="30" t="s">
        <v>4440</v>
      </c>
      <c r="H431" s="28" t="s">
        <v>4441</v>
      </c>
      <c r="O431" s="4"/>
    </row>
    <row r="432" spans="2:16" ht="36.75" thickBot="1">
      <c r="B432" s="1">
        <v>216</v>
      </c>
      <c r="C432" s="27" t="s">
        <v>3453</v>
      </c>
      <c r="D432" s="29" t="s">
        <v>3454</v>
      </c>
      <c r="E432" s="32">
        <v>40732</v>
      </c>
      <c r="F432" s="29" t="s">
        <v>1914</v>
      </c>
      <c r="G432" s="31" t="s">
        <v>3455</v>
      </c>
      <c r="H432" s="29" t="s">
        <v>707</v>
      </c>
    </row>
    <row r="433" spans="2:16" ht="15">
      <c r="B433" s="1">
        <v>217</v>
      </c>
      <c r="C433" t="str">
        <f ca="1">IFERROR(__xludf.DUMMYFUNCTION((TRANSPOSE(ImportHTML("http://spending.data.al/sq/moneypower/view/id/217/year/2011", "table", 0)))),"*Kategoria*")</f>
        <v>*Kategoria*</v>
      </c>
      <c r="D433" t="s">
        <v>673</v>
      </c>
      <c r="E433" t="s">
        <v>674</v>
      </c>
      <c r="F433" t="s">
        <v>675</v>
      </c>
      <c r="G433" t="s">
        <v>676</v>
      </c>
      <c r="H433" t="s">
        <v>677</v>
      </c>
      <c r="I433" t="s">
        <v>678</v>
      </c>
      <c r="J433" t="s">
        <v>679</v>
      </c>
      <c r="K433" t="s">
        <v>680</v>
      </c>
      <c r="L433" t="s">
        <v>681</v>
      </c>
      <c r="M433" t="s">
        <v>682</v>
      </c>
      <c r="N433" t="s">
        <v>683</v>
      </c>
      <c r="O433" t="s">
        <v>684</v>
      </c>
      <c r="P433" t="s">
        <v>685</v>
      </c>
    </row>
    <row r="434" spans="2:16" ht="15">
      <c r="B434" s="7"/>
      <c r="C434" t="s">
        <v>686</v>
      </c>
      <c r="D434" t="s">
        <v>2529</v>
      </c>
      <c r="E434" t="s">
        <v>688</v>
      </c>
      <c r="F434" t="s">
        <v>688</v>
      </c>
      <c r="G434" t="s">
        <v>688</v>
      </c>
      <c r="H434" t="s">
        <v>688</v>
      </c>
      <c r="I434" t="s">
        <v>688</v>
      </c>
      <c r="J434" t="s">
        <v>688</v>
      </c>
      <c r="K434" t="s">
        <v>688</v>
      </c>
      <c r="L434" t="s">
        <v>688</v>
      </c>
      <c r="M434" t="s">
        <v>2530</v>
      </c>
      <c r="N434" t="s">
        <v>688</v>
      </c>
      <c r="O434">
        <v>1</v>
      </c>
      <c r="P434" t="s">
        <v>688</v>
      </c>
    </row>
    <row r="435" spans="2:16" ht="15">
      <c r="B435" s="1">
        <v>218</v>
      </c>
      <c r="C435" t="str">
        <f ca="1">IFERROR(__xludf.DUMMYFUNCTION((TRANSPOSE(ImportHTML("http://spending.data.al/sq/moneypower/view/id/218/year/2011", "table", 0)))),"*Kategoria*")</f>
        <v>*Kategoria*</v>
      </c>
      <c r="D435" t="s">
        <v>673</v>
      </c>
      <c r="E435" t="s">
        <v>674</v>
      </c>
      <c r="F435" t="s">
        <v>675</v>
      </c>
      <c r="G435" t="s">
        <v>676</v>
      </c>
      <c r="H435" t="s">
        <v>677</v>
      </c>
      <c r="I435" t="s">
        <v>678</v>
      </c>
      <c r="J435" t="s">
        <v>679</v>
      </c>
      <c r="K435" t="s">
        <v>680</v>
      </c>
      <c r="L435" t="s">
        <v>681</v>
      </c>
      <c r="M435" t="s">
        <v>682</v>
      </c>
      <c r="N435" t="s">
        <v>683</v>
      </c>
      <c r="O435" t="s">
        <v>684</v>
      </c>
      <c r="P435" t="s">
        <v>685</v>
      </c>
    </row>
    <row r="436" spans="2:16" ht="15">
      <c r="B436" s="7"/>
      <c r="C436" t="s">
        <v>686</v>
      </c>
      <c r="D436" t="s">
        <v>2531</v>
      </c>
      <c r="E436" t="s">
        <v>688</v>
      </c>
      <c r="F436" t="s">
        <v>2532</v>
      </c>
      <c r="G436" t="s">
        <v>688</v>
      </c>
      <c r="H436" t="s">
        <v>688</v>
      </c>
      <c r="I436" t="s">
        <v>688</v>
      </c>
      <c r="J436" t="s">
        <v>688</v>
      </c>
      <c r="K436" t="s">
        <v>688</v>
      </c>
      <c r="L436" t="s">
        <v>688</v>
      </c>
      <c r="M436" t="s">
        <v>2533</v>
      </c>
      <c r="N436" t="s">
        <v>688</v>
      </c>
      <c r="O436" s="4">
        <v>1.1100000000000001</v>
      </c>
      <c r="P436" t="s">
        <v>688</v>
      </c>
    </row>
    <row r="437" spans="2:16" ht="15">
      <c r="B437" s="1">
        <v>219</v>
      </c>
      <c r="C437" t="str">
        <f ca="1">IFERROR(__xludf.DUMMYFUNCTION((TRANSPOSE(ImportHTML("http://spending.data.al/sq/moneypower/view/id/219/year/2011", "table", 0)))),"*Kategoria*")</f>
        <v>*Kategoria*</v>
      </c>
      <c r="D437" t="s">
        <v>673</v>
      </c>
      <c r="E437" t="s">
        <v>674</v>
      </c>
      <c r="F437" t="s">
        <v>675</v>
      </c>
      <c r="G437" t="s">
        <v>676</v>
      </c>
      <c r="H437" t="s">
        <v>677</v>
      </c>
      <c r="I437" t="s">
        <v>678</v>
      </c>
      <c r="J437" t="s">
        <v>679</v>
      </c>
      <c r="K437" t="s">
        <v>680</v>
      </c>
      <c r="L437" t="s">
        <v>681</v>
      </c>
      <c r="M437" t="s">
        <v>682</v>
      </c>
      <c r="N437" t="s">
        <v>683</v>
      </c>
      <c r="O437" t="s">
        <v>684</v>
      </c>
      <c r="P437" t="s">
        <v>685</v>
      </c>
    </row>
    <row r="438" spans="2:16" ht="15">
      <c r="B438" s="7"/>
      <c r="C438" t="s">
        <v>686</v>
      </c>
      <c r="D438" t="s">
        <v>2534</v>
      </c>
      <c r="E438" t="s">
        <v>688</v>
      </c>
      <c r="F438" t="s">
        <v>2535</v>
      </c>
      <c r="G438" t="s">
        <v>688</v>
      </c>
      <c r="H438" t="s">
        <v>688</v>
      </c>
      <c r="I438" t="s">
        <v>688</v>
      </c>
      <c r="J438" t="s">
        <v>688</v>
      </c>
      <c r="K438" t="s">
        <v>688</v>
      </c>
      <c r="L438" t="s">
        <v>688</v>
      </c>
      <c r="M438" t="s">
        <v>688</v>
      </c>
      <c r="N438" t="s">
        <v>688</v>
      </c>
      <c r="O438" s="4">
        <v>1.2</v>
      </c>
      <c r="P438" t="s">
        <v>688</v>
      </c>
    </row>
    <row r="439" spans="2:16" ht="15">
      <c r="B439" s="1">
        <v>220</v>
      </c>
      <c r="C439" t="str">
        <f ca="1">IFERROR(__xludf.DUMMYFUNCTION((TRANSPOSE(ImportHTML("http://spending.data.al/sq/moneypower/view/id/220/year/2011", "table", 0)))),"*Kategoria*")</f>
        <v>*Kategoria*</v>
      </c>
      <c r="D439" t="s">
        <v>673</v>
      </c>
      <c r="E439" t="s">
        <v>674</v>
      </c>
      <c r="F439" t="s">
        <v>675</v>
      </c>
      <c r="G439" t="s">
        <v>676</v>
      </c>
      <c r="H439" t="s">
        <v>677</v>
      </c>
      <c r="I439" t="s">
        <v>678</v>
      </c>
      <c r="J439" t="s">
        <v>679</v>
      </c>
      <c r="K439" t="s">
        <v>680</v>
      </c>
      <c r="L439" t="s">
        <v>681</v>
      </c>
      <c r="M439" t="s">
        <v>682</v>
      </c>
      <c r="N439" t="s">
        <v>683</v>
      </c>
      <c r="O439" t="s">
        <v>684</v>
      </c>
      <c r="P439" t="s">
        <v>685</v>
      </c>
    </row>
    <row r="440" spans="2:16" ht="15">
      <c r="B440" s="7"/>
      <c r="C440" t="s">
        <v>686</v>
      </c>
      <c r="D440" t="s">
        <v>688</v>
      </c>
      <c r="E440" t="s">
        <v>688</v>
      </c>
      <c r="F440" t="s">
        <v>688</v>
      </c>
      <c r="G440" t="s">
        <v>688</v>
      </c>
      <c r="H440" t="s">
        <v>688</v>
      </c>
      <c r="I440" t="s">
        <v>688</v>
      </c>
      <c r="J440" t="s">
        <v>688</v>
      </c>
      <c r="K440" t="s">
        <v>688</v>
      </c>
      <c r="L440" t="s">
        <v>688</v>
      </c>
      <c r="M440" t="s">
        <v>688</v>
      </c>
      <c r="N440" t="s">
        <v>688</v>
      </c>
      <c r="O440" t="s">
        <v>707</v>
      </c>
      <c r="P440" t="s">
        <v>2536</v>
      </c>
    </row>
    <row r="441" spans="2:16" ht="15">
      <c r="B441" s="1">
        <v>221</v>
      </c>
      <c r="C441" t="str">
        <f ca="1">IFERROR(__xludf.DUMMYFUNCTION((TRANSPOSE(ImportHTML("http://spending.data.al/sq/moneypower/view/id/221/year/2011", "table", 0)))),"*Kategoria*")</f>
        <v>*Kategoria*</v>
      </c>
      <c r="D441" t="s">
        <v>673</v>
      </c>
      <c r="E441" t="s">
        <v>674</v>
      </c>
      <c r="F441" t="s">
        <v>675</v>
      </c>
      <c r="G441" t="s">
        <v>676</v>
      </c>
      <c r="H441" t="s">
        <v>677</v>
      </c>
      <c r="I441" t="s">
        <v>678</v>
      </c>
      <c r="J441" t="s">
        <v>679</v>
      </c>
      <c r="K441" t="s">
        <v>680</v>
      </c>
      <c r="L441" t="s">
        <v>681</v>
      </c>
      <c r="M441" t="s">
        <v>682</v>
      </c>
      <c r="N441" t="s">
        <v>683</v>
      </c>
      <c r="O441" t="s">
        <v>684</v>
      </c>
      <c r="P441" t="s">
        <v>685</v>
      </c>
    </row>
    <row r="442" spans="2:16" ht="15">
      <c r="B442" s="7"/>
      <c r="C442" t="s">
        <v>686</v>
      </c>
      <c r="D442" t="s">
        <v>2537</v>
      </c>
      <c r="E442" t="s">
        <v>688</v>
      </c>
      <c r="F442" t="s">
        <v>688</v>
      </c>
      <c r="G442" t="s">
        <v>688</v>
      </c>
      <c r="H442" t="s">
        <v>688</v>
      </c>
      <c r="I442" t="s">
        <v>688</v>
      </c>
      <c r="J442" t="s">
        <v>688</v>
      </c>
      <c r="K442" t="s">
        <v>688</v>
      </c>
      <c r="L442" t="s">
        <v>688</v>
      </c>
      <c r="M442" t="s">
        <v>2538</v>
      </c>
      <c r="N442" t="s">
        <v>688</v>
      </c>
      <c r="O442" t="s">
        <v>707</v>
      </c>
      <c r="P442" t="s">
        <v>688</v>
      </c>
    </row>
    <row r="443" spans="2:16" ht="15">
      <c r="B443" s="1">
        <v>222</v>
      </c>
      <c r="C443" t="str">
        <f ca="1">IFERROR(__xludf.DUMMYFUNCTION((TRANSPOSE(ImportHTML("http://spending.data.al/sq/moneypower/view/id/222/year/2011", "table", 0)))),"*Kategoria*")</f>
        <v>*Kategoria*</v>
      </c>
      <c r="D443" t="s">
        <v>673</v>
      </c>
      <c r="E443" t="s">
        <v>674</v>
      </c>
      <c r="F443" t="s">
        <v>675</v>
      </c>
      <c r="G443" t="s">
        <v>676</v>
      </c>
      <c r="H443" t="s">
        <v>677</v>
      </c>
      <c r="I443" t="s">
        <v>678</v>
      </c>
      <c r="J443" t="s">
        <v>679</v>
      </c>
      <c r="K443" t="s">
        <v>680</v>
      </c>
      <c r="L443" t="s">
        <v>681</v>
      </c>
      <c r="M443" t="s">
        <v>682</v>
      </c>
      <c r="N443" t="s">
        <v>683</v>
      </c>
      <c r="O443" t="s">
        <v>684</v>
      </c>
      <c r="P443" t="s">
        <v>685</v>
      </c>
    </row>
    <row r="444" spans="2:16" ht="15">
      <c r="B444" s="7"/>
      <c r="C444" t="s">
        <v>686</v>
      </c>
      <c r="D444" t="s">
        <v>2539</v>
      </c>
      <c r="E444" t="s">
        <v>688</v>
      </c>
      <c r="F444" t="s">
        <v>2540</v>
      </c>
      <c r="G444" t="s">
        <v>688</v>
      </c>
      <c r="H444" t="s">
        <v>688</v>
      </c>
      <c r="I444" t="s">
        <v>2541</v>
      </c>
      <c r="J444" t="s">
        <v>688</v>
      </c>
      <c r="K444" t="s">
        <v>688</v>
      </c>
      <c r="L444" t="s">
        <v>688</v>
      </c>
      <c r="M444" t="s">
        <v>2542</v>
      </c>
      <c r="N444" t="s">
        <v>2543</v>
      </c>
      <c r="O444" s="4">
        <v>1.68</v>
      </c>
      <c r="P444" t="s">
        <v>688</v>
      </c>
    </row>
    <row r="445" spans="2:16" ht="15">
      <c r="B445" s="1">
        <v>223</v>
      </c>
      <c r="C445" t="str">
        <f ca="1">IFERROR(__xludf.DUMMYFUNCTION((TRANSPOSE(ImportHTML("http://spending.data.al/sq/moneypower/view/id/223/year/2011", "table", 0)))),"*Kategoria*")</f>
        <v>*Kategoria*</v>
      </c>
      <c r="D445" t="s">
        <v>673</v>
      </c>
      <c r="E445" t="s">
        <v>674</v>
      </c>
      <c r="F445" t="s">
        <v>675</v>
      </c>
      <c r="G445" t="s">
        <v>676</v>
      </c>
      <c r="H445" t="s">
        <v>677</v>
      </c>
      <c r="I445" t="s">
        <v>678</v>
      </c>
      <c r="J445" t="s">
        <v>679</v>
      </c>
      <c r="K445" t="s">
        <v>680</v>
      </c>
      <c r="L445" t="s">
        <v>681</v>
      </c>
      <c r="M445" t="s">
        <v>682</v>
      </c>
      <c r="N445" t="s">
        <v>683</v>
      </c>
      <c r="O445" t="s">
        <v>684</v>
      </c>
      <c r="P445" t="s">
        <v>685</v>
      </c>
    </row>
    <row r="446" spans="2:16" ht="15">
      <c r="B446" s="7"/>
      <c r="C446" t="s">
        <v>686</v>
      </c>
      <c r="D446" t="s">
        <v>2544</v>
      </c>
      <c r="E446" t="s">
        <v>688</v>
      </c>
      <c r="F446" t="s">
        <v>688</v>
      </c>
      <c r="G446" t="s">
        <v>688</v>
      </c>
      <c r="H446" t="s">
        <v>688</v>
      </c>
      <c r="I446" t="s">
        <v>688</v>
      </c>
      <c r="J446" t="s">
        <v>688</v>
      </c>
      <c r="K446" t="s">
        <v>688</v>
      </c>
      <c r="L446" t="s">
        <v>688</v>
      </c>
      <c r="M446" t="s">
        <v>2545</v>
      </c>
      <c r="N446" t="s">
        <v>688</v>
      </c>
      <c r="O446" s="4">
        <v>1</v>
      </c>
      <c r="P446" t="s">
        <v>2546</v>
      </c>
    </row>
    <row r="447" spans="2:16" ht="15">
      <c r="B447" s="1">
        <v>224</v>
      </c>
      <c r="C447" t="str">
        <f ca="1">IFERROR(__xludf.DUMMYFUNCTION((TRANSPOSE(ImportHTML("http://spending.data.al/sq/moneypower/view/id/224/year/2011", "table", 0)))),"*Kategoria*")</f>
        <v>*Kategoria*</v>
      </c>
      <c r="D447" t="s">
        <v>673</v>
      </c>
      <c r="E447" t="s">
        <v>674</v>
      </c>
      <c r="F447" t="s">
        <v>675</v>
      </c>
      <c r="G447" t="s">
        <v>676</v>
      </c>
      <c r="H447" t="s">
        <v>677</v>
      </c>
      <c r="I447" t="s">
        <v>678</v>
      </c>
      <c r="J447" t="s">
        <v>679</v>
      </c>
      <c r="K447" t="s">
        <v>680</v>
      </c>
      <c r="L447" t="s">
        <v>681</v>
      </c>
      <c r="M447" t="s">
        <v>682</v>
      </c>
      <c r="N447" t="s">
        <v>683</v>
      </c>
      <c r="O447" t="s">
        <v>684</v>
      </c>
      <c r="P447" t="s">
        <v>685</v>
      </c>
    </row>
    <row r="448" spans="2:16" ht="15">
      <c r="B448" s="7"/>
      <c r="C448" t="s">
        <v>686</v>
      </c>
      <c r="D448" t="s">
        <v>2547</v>
      </c>
      <c r="E448" t="s">
        <v>1486</v>
      </c>
      <c r="F448" t="s">
        <v>688</v>
      </c>
      <c r="G448" t="s">
        <v>688</v>
      </c>
      <c r="H448" t="s">
        <v>688</v>
      </c>
      <c r="I448" t="s">
        <v>688</v>
      </c>
      <c r="J448" t="s">
        <v>688</v>
      </c>
      <c r="K448" t="s">
        <v>688</v>
      </c>
      <c r="L448" t="s">
        <v>688</v>
      </c>
      <c r="M448" t="s">
        <v>2548</v>
      </c>
      <c r="N448" t="s">
        <v>688</v>
      </c>
      <c r="O448" s="4">
        <v>1.51</v>
      </c>
      <c r="P448" t="s">
        <v>688</v>
      </c>
    </row>
    <row r="449" spans="2:16" ht="15">
      <c r="B449" s="1">
        <v>225</v>
      </c>
      <c r="C449" t="str">
        <f ca="1">IFERROR(__xludf.DUMMYFUNCTION((TRANSPOSE(ImportHTML("http://spending.data.al/sq/moneypower/view/id/225/year/2011", "table", 0)))),"*Kategoria*")</f>
        <v>*Kategoria*</v>
      </c>
      <c r="D449" t="s">
        <v>673</v>
      </c>
      <c r="E449" t="s">
        <v>674</v>
      </c>
      <c r="F449" t="s">
        <v>675</v>
      </c>
      <c r="G449" t="s">
        <v>676</v>
      </c>
      <c r="H449" t="s">
        <v>677</v>
      </c>
      <c r="I449" t="s">
        <v>678</v>
      </c>
      <c r="J449" t="s">
        <v>679</v>
      </c>
      <c r="K449" t="s">
        <v>680</v>
      </c>
      <c r="L449" t="s">
        <v>681</v>
      </c>
      <c r="M449" t="s">
        <v>682</v>
      </c>
      <c r="N449" t="s">
        <v>683</v>
      </c>
      <c r="O449" t="s">
        <v>684</v>
      </c>
      <c r="P449" t="s">
        <v>685</v>
      </c>
    </row>
    <row r="450" spans="2:16" ht="15">
      <c r="B450" s="7"/>
      <c r="C450" t="s">
        <v>686</v>
      </c>
      <c r="D450" t="s">
        <v>2549</v>
      </c>
      <c r="E450" t="s">
        <v>688</v>
      </c>
      <c r="F450" t="s">
        <v>688</v>
      </c>
      <c r="G450" t="s">
        <v>688</v>
      </c>
      <c r="H450" t="s">
        <v>2550</v>
      </c>
      <c r="I450" t="s">
        <v>688</v>
      </c>
      <c r="J450" t="s">
        <v>688</v>
      </c>
      <c r="K450" t="s">
        <v>688</v>
      </c>
      <c r="L450" t="s">
        <v>688</v>
      </c>
      <c r="M450" t="s">
        <v>688</v>
      </c>
      <c r="N450" t="s">
        <v>2551</v>
      </c>
      <c r="O450" s="4">
        <v>6.09</v>
      </c>
      <c r="P450" t="s">
        <v>688</v>
      </c>
    </row>
    <row r="451" spans="2:16" ht="15">
      <c r="B451" s="1">
        <v>226</v>
      </c>
      <c r="C451" t="str">
        <f ca="1">IFERROR(__xludf.DUMMYFUNCTION((TRANSPOSE(ImportHTML("http://spending.data.al/sq/moneypower/view/id/226/year/2011", "table", 0)))),"*Kategoria*")</f>
        <v>*Kategoria*</v>
      </c>
      <c r="D451" t="s">
        <v>673</v>
      </c>
      <c r="E451" t="s">
        <v>674</v>
      </c>
      <c r="F451" t="s">
        <v>675</v>
      </c>
      <c r="G451" t="s">
        <v>676</v>
      </c>
      <c r="H451" t="s">
        <v>677</v>
      </c>
      <c r="I451" t="s">
        <v>678</v>
      </c>
      <c r="J451" t="s">
        <v>679</v>
      </c>
      <c r="K451" t="s">
        <v>680</v>
      </c>
      <c r="L451" t="s">
        <v>681</v>
      </c>
      <c r="M451" t="s">
        <v>682</v>
      </c>
      <c r="N451" t="s">
        <v>683</v>
      </c>
      <c r="O451" t="s">
        <v>684</v>
      </c>
      <c r="P451" t="s">
        <v>685</v>
      </c>
    </row>
    <row r="452" spans="2:16" ht="15">
      <c r="B452" s="7"/>
      <c r="C452" t="s">
        <v>686</v>
      </c>
      <c r="D452" t="s">
        <v>2552</v>
      </c>
      <c r="E452" t="s">
        <v>688</v>
      </c>
      <c r="F452" t="s">
        <v>2553</v>
      </c>
      <c r="G452" t="s">
        <v>688</v>
      </c>
      <c r="H452" t="s">
        <v>688</v>
      </c>
      <c r="I452" t="s">
        <v>688</v>
      </c>
      <c r="J452" t="s">
        <v>688</v>
      </c>
      <c r="K452" t="s">
        <v>688</v>
      </c>
      <c r="L452" t="s">
        <v>688</v>
      </c>
      <c r="M452" t="s">
        <v>2554</v>
      </c>
      <c r="N452" t="s">
        <v>688</v>
      </c>
      <c r="O452" s="4">
        <v>1.0900000000000001</v>
      </c>
      <c r="P452" t="s">
        <v>2555</v>
      </c>
    </row>
    <row r="453" spans="2:16" ht="15">
      <c r="B453" s="1">
        <v>227</v>
      </c>
      <c r="C453" t="str">
        <f ca="1">IFERROR(__xludf.DUMMYFUNCTION((TRANSPOSE(ImportHTML("http://spending.data.al/sq/moneypower/view/id/227/year/2011", "table", 0)))),"*Kategoria*")</f>
        <v>*Kategoria*</v>
      </c>
      <c r="D453" t="s">
        <v>673</v>
      </c>
      <c r="E453" t="s">
        <v>674</v>
      </c>
      <c r="F453" t="s">
        <v>675</v>
      </c>
      <c r="G453" t="s">
        <v>676</v>
      </c>
      <c r="H453" t="s">
        <v>677</v>
      </c>
      <c r="I453" t="s">
        <v>678</v>
      </c>
      <c r="J453" t="s">
        <v>679</v>
      </c>
      <c r="K453" t="s">
        <v>680</v>
      </c>
      <c r="L453" t="s">
        <v>681</v>
      </c>
      <c r="M453" t="s">
        <v>682</v>
      </c>
      <c r="N453" t="s">
        <v>683</v>
      </c>
      <c r="O453" t="s">
        <v>684</v>
      </c>
      <c r="P453" t="s">
        <v>685</v>
      </c>
    </row>
    <row r="454" spans="2:16" ht="15">
      <c r="B454" s="7"/>
      <c r="C454" t="s">
        <v>686</v>
      </c>
      <c r="D454" t="s">
        <v>2556</v>
      </c>
      <c r="E454" t="s">
        <v>688</v>
      </c>
      <c r="F454" t="s">
        <v>688</v>
      </c>
      <c r="G454" t="s">
        <v>688</v>
      </c>
      <c r="H454" t="s">
        <v>688</v>
      </c>
      <c r="I454" t="s">
        <v>688</v>
      </c>
      <c r="J454" t="s">
        <v>688</v>
      </c>
      <c r="K454" t="s">
        <v>688</v>
      </c>
      <c r="L454" t="s">
        <v>688</v>
      </c>
      <c r="M454" t="s">
        <v>2557</v>
      </c>
      <c r="N454" t="s">
        <v>688</v>
      </c>
      <c r="O454" s="4">
        <v>1</v>
      </c>
      <c r="P454" t="s">
        <v>2558</v>
      </c>
    </row>
    <row r="455" spans="2:16" ht="15">
      <c r="B455" s="1">
        <v>228</v>
      </c>
      <c r="C455" t="str">
        <f ca="1">IFERROR(__xludf.DUMMYFUNCTION((TRANSPOSE(ImportHTML("http://spending.data.al/sq/moneypower/view/id/228/year/2011", "table", 0)))),"*Kategoria*")</f>
        <v>*Kategoria*</v>
      </c>
      <c r="D455" t="s">
        <v>673</v>
      </c>
      <c r="E455" t="s">
        <v>674</v>
      </c>
      <c r="F455" t="s">
        <v>675</v>
      </c>
      <c r="G455" t="s">
        <v>676</v>
      </c>
      <c r="H455" t="s">
        <v>677</v>
      </c>
      <c r="I455" t="s">
        <v>678</v>
      </c>
      <c r="J455" t="s">
        <v>679</v>
      </c>
      <c r="K455" t="s">
        <v>680</v>
      </c>
      <c r="L455" t="s">
        <v>681</v>
      </c>
      <c r="M455" t="s">
        <v>682</v>
      </c>
      <c r="N455" t="s">
        <v>683</v>
      </c>
      <c r="O455" t="s">
        <v>684</v>
      </c>
      <c r="P455" t="s">
        <v>685</v>
      </c>
    </row>
    <row r="456" spans="2:16" ht="15">
      <c r="B456" s="7"/>
      <c r="C456" t="s">
        <v>686</v>
      </c>
      <c r="D456" t="s">
        <v>2559</v>
      </c>
      <c r="E456" t="s">
        <v>2560</v>
      </c>
      <c r="F456" t="s">
        <v>2561</v>
      </c>
      <c r="G456" t="s">
        <v>688</v>
      </c>
      <c r="H456" t="s">
        <v>688</v>
      </c>
      <c r="I456" t="s">
        <v>688</v>
      </c>
      <c r="J456" t="s">
        <v>688</v>
      </c>
      <c r="K456" t="s">
        <v>688</v>
      </c>
      <c r="L456" t="s">
        <v>688</v>
      </c>
      <c r="M456" t="s">
        <v>2562</v>
      </c>
      <c r="N456" t="s">
        <v>688</v>
      </c>
      <c r="O456" s="4">
        <v>1.55</v>
      </c>
      <c r="P456" t="s">
        <v>2563</v>
      </c>
    </row>
    <row r="457" spans="2:16" ht="15">
      <c r="B457" s="1">
        <v>229</v>
      </c>
      <c r="C457" t="str">
        <f ca="1">IFERROR(__xludf.DUMMYFUNCTION((TRANSPOSE(ImportHTML("http://spending.data.al/sq/moneypower/view/id/229/year/2011", "table", 0)))),"*Kategoria*")</f>
        <v>*Kategoria*</v>
      </c>
      <c r="D457" t="s">
        <v>673</v>
      </c>
      <c r="E457" t="s">
        <v>674</v>
      </c>
      <c r="F457" t="s">
        <v>675</v>
      </c>
      <c r="G457" t="s">
        <v>676</v>
      </c>
      <c r="H457" t="s">
        <v>677</v>
      </c>
      <c r="I457" t="s">
        <v>678</v>
      </c>
      <c r="J457" t="s">
        <v>679</v>
      </c>
      <c r="K457" t="s">
        <v>680</v>
      </c>
      <c r="L457" t="s">
        <v>681</v>
      </c>
      <c r="M457" t="s">
        <v>682</v>
      </c>
      <c r="N457" t="s">
        <v>683</v>
      </c>
      <c r="O457" t="s">
        <v>684</v>
      </c>
      <c r="P457" t="s">
        <v>685</v>
      </c>
    </row>
    <row r="458" spans="2:16" ht="15">
      <c r="B458" s="7"/>
      <c r="C458" t="s">
        <v>686</v>
      </c>
      <c r="D458" t="s">
        <v>2564</v>
      </c>
      <c r="E458" t="s">
        <v>688</v>
      </c>
      <c r="F458" t="s">
        <v>688</v>
      </c>
      <c r="G458" t="s">
        <v>688</v>
      </c>
      <c r="H458" t="s">
        <v>688</v>
      </c>
      <c r="I458" t="s">
        <v>688</v>
      </c>
      <c r="J458" t="s">
        <v>688</v>
      </c>
      <c r="K458" t="s">
        <v>688</v>
      </c>
      <c r="L458" t="s">
        <v>688</v>
      </c>
      <c r="M458" t="s">
        <v>688</v>
      </c>
      <c r="N458" t="s">
        <v>688</v>
      </c>
      <c r="O458" s="4">
        <v>1</v>
      </c>
      <c r="P458" t="s">
        <v>688</v>
      </c>
    </row>
    <row r="459" spans="2:16" ht="15">
      <c r="B459" s="1">
        <v>230</v>
      </c>
      <c r="C459" t="str">
        <f ca="1">IFERROR(__xludf.DUMMYFUNCTION((TRANSPOSE(ImportHTML("http://spending.data.al/sq/moneypower/view/id/230/year/2011", "table", 0)))),"*Kategoria*")</f>
        <v>*Kategoria*</v>
      </c>
      <c r="D459" t="s">
        <v>673</v>
      </c>
      <c r="E459" t="s">
        <v>674</v>
      </c>
      <c r="F459" t="s">
        <v>675</v>
      </c>
      <c r="G459" t="s">
        <v>676</v>
      </c>
      <c r="H459" t="s">
        <v>677</v>
      </c>
      <c r="I459" t="s">
        <v>678</v>
      </c>
      <c r="J459" t="s">
        <v>679</v>
      </c>
      <c r="K459" t="s">
        <v>680</v>
      </c>
      <c r="L459" t="s">
        <v>681</v>
      </c>
      <c r="M459" t="s">
        <v>682</v>
      </c>
      <c r="N459" t="s">
        <v>683</v>
      </c>
      <c r="O459" t="s">
        <v>684</v>
      </c>
      <c r="P459" t="s">
        <v>685</v>
      </c>
    </row>
    <row r="460" spans="2:16" ht="15">
      <c r="B460" s="7"/>
      <c r="C460" t="s">
        <v>686</v>
      </c>
      <c r="D460" t="s">
        <v>2565</v>
      </c>
      <c r="E460" t="s">
        <v>688</v>
      </c>
      <c r="F460" t="s">
        <v>2566</v>
      </c>
      <c r="G460" t="s">
        <v>688</v>
      </c>
      <c r="H460" t="s">
        <v>688</v>
      </c>
      <c r="I460" t="s">
        <v>688</v>
      </c>
      <c r="J460" t="s">
        <v>688</v>
      </c>
      <c r="K460" t="s">
        <v>688</v>
      </c>
      <c r="L460" t="s">
        <v>688</v>
      </c>
      <c r="M460" t="s">
        <v>2567</v>
      </c>
      <c r="N460" t="s">
        <v>688</v>
      </c>
      <c r="O460">
        <v>10.73</v>
      </c>
      <c r="P460" t="s">
        <v>2568</v>
      </c>
    </row>
    <row r="461" spans="2:16" ht="15">
      <c r="B461" s="1">
        <v>231</v>
      </c>
      <c r="C461" t="str">
        <f ca="1">IFERROR(__xludf.DUMMYFUNCTION((TRANSPOSE(ImportHTML("http://spending.data.al/sq/moneypower/view/id/231/year/2011", "table", 0)))),"*Kategoria*")</f>
        <v>*Kategoria*</v>
      </c>
      <c r="D461" t="s">
        <v>673</v>
      </c>
      <c r="E461" t="s">
        <v>674</v>
      </c>
      <c r="F461" t="s">
        <v>675</v>
      </c>
      <c r="G461" t="s">
        <v>676</v>
      </c>
      <c r="H461" t="s">
        <v>677</v>
      </c>
      <c r="I461" t="s">
        <v>678</v>
      </c>
      <c r="J461" t="s">
        <v>679</v>
      </c>
      <c r="K461" t="s">
        <v>680</v>
      </c>
      <c r="L461" t="s">
        <v>681</v>
      </c>
      <c r="M461" t="s">
        <v>682</v>
      </c>
      <c r="N461" t="s">
        <v>683</v>
      </c>
      <c r="O461" t="s">
        <v>684</v>
      </c>
      <c r="P461" t="s">
        <v>685</v>
      </c>
    </row>
    <row r="462" spans="2:16" ht="15">
      <c r="B462" s="7"/>
      <c r="C462" t="s">
        <v>686</v>
      </c>
      <c r="D462" t="s">
        <v>2569</v>
      </c>
      <c r="E462" t="s">
        <v>1486</v>
      </c>
      <c r="F462" t="s">
        <v>2570</v>
      </c>
      <c r="G462" t="s">
        <v>688</v>
      </c>
      <c r="H462" t="s">
        <v>688</v>
      </c>
      <c r="I462" t="s">
        <v>688</v>
      </c>
      <c r="J462" t="s">
        <v>688</v>
      </c>
      <c r="K462" t="s">
        <v>688</v>
      </c>
      <c r="L462" t="s">
        <v>688</v>
      </c>
      <c r="M462" t="s">
        <v>688</v>
      </c>
      <c r="N462" t="s">
        <v>688</v>
      </c>
      <c r="O462" s="4">
        <v>1.1299999999999999</v>
      </c>
      <c r="P462" t="s">
        <v>688</v>
      </c>
    </row>
    <row r="463" spans="2:16" ht="15">
      <c r="B463" s="1">
        <v>232</v>
      </c>
      <c r="C463" t="str">
        <f ca="1">IFERROR(__xludf.DUMMYFUNCTION((TRANSPOSE(ImportHTML("http://spending.data.al/sq/moneypower/view/id/232/year/2011", "table", 0)))),"#REF!")</f>
        <v>#REF!</v>
      </c>
    </row>
    <row r="464" spans="2:16" ht="15">
      <c r="B464" s="1">
        <v>233</v>
      </c>
      <c r="C464" t="str">
        <f ca="1">IFERROR(__xludf.DUMMYFUNCTION((TRANSPOSE(ImportHTML("http://spending.data.al/sq/moneypower/view/id/233/year/2011", "table", 0)))),"*Kategoria*")</f>
        <v>*Kategoria*</v>
      </c>
      <c r="D464" t="s">
        <v>673</v>
      </c>
      <c r="E464" t="s">
        <v>674</v>
      </c>
      <c r="F464" t="s">
        <v>675</v>
      </c>
      <c r="G464" t="s">
        <v>676</v>
      </c>
      <c r="H464" t="s">
        <v>677</v>
      </c>
      <c r="I464" t="s">
        <v>678</v>
      </c>
      <c r="J464" t="s">
        <v>679</v>
      </c>
      <c r="K464" t="s">
        <v>680</v>
      </c>
      <c r="L464" t="s">
        <v>681</v>
      </c>
      <c r="M464" t="s">
        <v>682</v>
      </c>
      <c r="N464" t="s">
        <v>683</v>
      </c>
      <c r="O464" t="s">
        <v>684</v>
      </c>
      <c r="P464" t="s">
        <v>685</v>
      </c>
    </row>
    <row r="465" spans="2:16" ht="15">
      <c r="B465" s="7"/>
      <c r="C465" t="s">
        <v>686</v>
      </c>
      <c r="D465" t="s">
        <v>2571</v>
      </c>
      <c r="E465" t="s">
        <v>2560</v>
      </c>
      <c r="F465" t="s">
        <v>2572</v>
      </c>
      <c r="G465" t="s">
        <v>2573</v>
      </c>
      <c r="H465" t="s">
        <v>688</v>
      </c>
      <c r="I465" t="s">
        <v>688</v>
      </c>
      <c r="J465" t="s">
        <v>688</v>
      </c>
      <c r="K465" t="s">
        <v>688</v>
      </c>
      <c r="L465" t="s">
        <v>688</v>
      </c>
      <c r="M465" t="s">
        <v>2574</v>
      </c>
      <c r="N465" t="s">
        <v>688</v>
      </c>
      <c r="O465" s="4">
        <v>1.17</v>
      </c>
      <c r="P465" t="s">
        <v>688</v>
      </c>
    </row>
    <row r="466" spans="2:16" ht="15">
      <c r="B466" s="1">
        <v>234</v>
      </c>
      <c r="C466" t="str">
        <f ca="1">IFERROR(__xludf.DUMMYFUNCTION((TRANSPOSE(ImportHTML("http://spending.data.al/sq/moneypower/view/id/234/year/2011", "table", 0)))),"*Kategoria*")</f>
        <v>*Kategoria*</v>
      </c>
      <c r="D466" t="s">
        <v>673</v>
      </c>
      <c r="E466" t="s">
        <v>674</v>
      </c>
      <c r="F466" t="s">
        <v>675</v>
      </c>
      <c r="G466" t="s">
        <v>676</v>
      </c>
      <c r="H466" t="s">
        <v>677</v>
      </c>
      <c r="I466" t="s">
        <v>678</v>
      </c>
      <c r="J466" t="s">
        <v>679</v>
      </c>
      <c r="K466" t="s">
        <v>680</v>
      </c>
      <c r="L466" t="s">
        <v>681</v>
      </c>
      <c r="M466" t="s">
        <v>682</v>
      </c>
      <c r="N466" t="s">
        <v>683</v>
      </c>
      <c r="O466" t="s">
        <v>684</v>
      </c>
      <c r="P466" t="s">
        <v>685</v>
      </c>
    </row>
    <row r="467" spans="2:16" ht="15">
      <c r="B467" s="7"/>
      <c r="C467" t="s">
        <v>686</v>
      </c>
      <c r="D467" t="s">
        <v>2575</v>
      </c>
      <c r="E467" t="s">
        <v>688</v>
      </c>
      <c r="F467" t="s">
        <v>688</v>
      </c>
      <c r="G467" t="s">
        <v>688</v>
      </c>
      <c r="H467" t="s">
        <v>688</v>
      </c>
      <c r="I467" t="s">
        <v>688</v>
      </c>
      <c r="J467" t="s">
        <v>688</v>
      </c>
      <c r="K467" t="s">
        <v>688</v>
      </c>
      <c r="L467" t="s">
        <v>688</v>
      </c>
      <c r="M467" t="s">
        <v>2576</v>
      </c>
      <c r="N467" t="s">
        <v>688</v>
      </c>
      <c r="O467" s="4">
        <v>1</v>
      </c>
      <c r="P467" t="s">
        <v>688</v>
      </c>
    </row>
    <row r="468" spans="2:16" ht="15">
      <c r="B468" s="1">
        <v>235</v>
      </c>
      <c r="C468" t="str">
        <f ca="1">IFERROR(__xludf.DUMMYFUNCTION((TRANSPOSE(ImportHTML("http://spending.data.al/sq/moneypower/view/id/235/year/2011", "table", 0)))),"*Kategoria*")</f>
        <v>*Kategoria*</v>
      </c>
      <c r="D468" t="s">
        <v>673</v>
      </c>
      <c r="E468" t="s">
        <v>674</v>
      </c>
      <c r="F468" t="s">
        <v>675</v>
      </c>
      <c r="G468" t="s">
        <v>676</v>
      </c>
      <c r="H468" t="s">
        <v>677</v>
      </c>
      <c r="I468" t="s">
        <v>678</v>
      </c>
      <c r="J468" t="s">
        <v>679</v>
      </c>
      <c r="K468" t="s">
        <v>680</v>
      </c>
      <c r="L468" t="s">
        <v>681</v>
      </c>
      <c r="M468" t="s">
        <v>682</v>
      </c>
      <c r="N468" t="s">
        <v>683</v>
      </c>
      <c r="O468" t="s">
        <v>684</v>
      </c>
      <c r="P468" t="s">
        <v>685</v>
      </c>
    </row>
    <row r="469" spans="2:16" ht="15">
      <c r="B469" s="7"/>
      <c r="C469" t="s">
        <v>686</v>
      </c>
      <c r="D469" t="s">
        <v>2577</v>
      </c>
      <c r="E469" t="s">
        <v>688</v>
      </c>
      <c r="F469" t="s">
        <v>2578</v>
      </c>
      <c r="G469" t="s">
        <v>2579</v>
      </c>
      <c r="H469" t="s">
        <v>688</v>
      </c>
      <c r="I469" t="s">
        <v>688</v>
      </c>
      <c r="J469" t="s">
        <v>688</v>
      </c>
      <c r="K469" t="s">
        <v>688</v>
      </c>
      <c r="L469" t="s">
        <v>688</v>
      </c>
      <c r="M469" t="s">
        <v>2580</v>
      </c>
      <c r="N469" t="s">
        <v>688</v>
      </c>
      <c r="O469" s="4">
        <v>1.5</v>
      </c>
      <c r="P469" t="s">
        <v>688</v>
      </c>
    </row>
    <row r="470" spans="2:16" ht="15">
      <c r="B470" s="1">
        <v>236</v>
      </c>
      <c r="C470" t="str">
        <f ca="1">IFERROR(__xludf.DUMMYFUNCTION((TRANSPOSE(ImportHTML("http://spending.data.al/sq/moneypower/view/id/236/year/2011", "table", 0)))),"*Emër Subjekti*")</f>
        <v>*Emër Subjekti*</v>
      </c>
      <c r="D470" t="s">
        <v>698</v>
      </c>
      <c r="E470" t="s">
        <v>699</v>
      </c>
      <c r="F470" t="s">
        <v>700</v>
      </c>
      <c r="G470" t="s">
        <v>701</v>
      </c>
      <c r="H470" t="s">
        <v>702</v>
      </c>
    </row>
    <row r="471" spans="2:16" ht="15">
      <c r="B471" s="7"/>
      <c r="C471" t="s">
        <v>2581</v>
      </c>
      <c r="D471" t="s">
        <v>711</v>
      </c>
      <c r="E471" s="6">
        <v>41526</v>
      </c>
      <c r="F471" t="s">
        <v>2191</v>
      </c>
      <c r="G471" t="s">
        <v>2582</v>
      </c>
      <c r="H471" t="s">
        <v>2583</v>
      </c>
    </row>
    <row r="472" spans="2:16" ht="15">
      <c r="B472" s="2">
        <v>237</v>
      </c>
      <c r="C472" s="7" t="str">
        <f ca="1">IFERROR(__xludf.DUMMYFUNCTION((TRANSPOSE(ImportHTML("http://spending.data.al/sq/moneypower/view/id/237/year/2011", "table",2)))),"*Kategoria*")</f>
        <v>*Kategoria*</v>
      </c>
      <c r="E472" t="s">
        <v>719</v>
      </c>
      <c r="F472" t="s">
        <v>720</v>
      </c>
      <c r="G472" t="s">
        <v>721</v>
      </c>
      <c r="H472" t="s">
        <v>722</v>
      </c>
      <c r="I472" t="s">
        <v>723</v>
      </c>
      <c r="J472" t="s">
        <v>724</v>
      </c>
      <c r="K472" t="s">
        <v>685</v>
      </c>
    </row>
    <row r="473" spans="2:16" ht="15">
      <c r="B473" s="7"/>
      <c r="C473" s="7" t="s">
        <v>686</v>
      </c>
      <c r="E473" t="s">
        <v>2584</v>
      </c>
      <c r="F473" t="s">
        <v>2585</v>
      </c>
      <c r="G473" t="s">
        <v>2586</v>
      </c>
      <c r="H473" t="s">
        <v>688</v>
      </c>
      <c r="I473" t="s">
        <v>2587</v>
      </c>
      <c r="J473" t="s">
        <v>688</v>
      </c>
      <c r="K473" t="s">
        <v>2588</v>
      </c>
    </row>
    <row r="474" spans="2:16" ht="15">
      <c r="B474" s="2">
        <v>238</v>
      </c>
      <c r="C474" s="7" t="str">
        <f ca="1">IFERROR(__xludf.DUMMYFUNCTION((TRANSPOSE(ImportHTML("http://spending.data.al/sq/moneypower/view/id/238/year/2011", "table",2)))),"*Kategoria*")</f>
        <v>*Kategoria*</v>
      </c>
      <c r="D474" t="s">
        <v>2589</v>
      </c>
    </row>
    <row r="475" spans="2:16" ht="15">
      <c r="B475" s="7"/>
      <c r="C475" s="7" t="s">
        <v>686</v>
      </c>
    </row>
    <row r="476" spans="2:16" ht="15">
      <c r="B476" s="2">
        <v>239</v>
      </c>
      <c r="C476" s="7" t="str">
        <f ca="1">IFERROR(__xludf.DUMMYFUNCTION((TRANSPOSE(ImportHTML("http://spending.data.al/sq/moneypower/view/id/239/year/2011", "table",2)))),"*Kategoria*")</f>
        <v>*Kategoria*</v>
      </c>
      <c r="D476" t="s">
        <v>2589</v>
      </c>
    </row>
    <row r="477" spans="2:16" ht="15">
      <c r="B477" s="7"/>
      <c r="C477" s="7" t="s">
        <v>686</v>
      </c>
    </row>
    <row r="478" spans="2:16" ht="15">
      <c r="B478" s="2">
        <v>240</v>
      </c>
      <c r="C478" s="7" t="str">
        <f ca="1">IFERROR(__xludf.DUMMYFUNCTION((TRANSPOSE(ImportHTML("http://spending.data.al/sq/moneypower/view/id/240/year/2011", "table",2)))),"*Kategoria*")</f>
        <v>*Kategoria*</v>
      </c>
      <c r="D478" t="s">
        <v>2589</v>
      </c>
    </row>
    <row r="479" spans="2:16" ht="15">
      <c r="B479" s="7"/>
      <c r="C479" s="7" t="s">
        <v>686</v>
      </c>
    </row>
    <row r="480" spans="2:16" ht="15">
      <c r="B480" s="2">
        <v>241</v>
      </c>
      <c r="C480" s="7" t="str">
        <f ca="1">IFERROR(__xludf.DUMMYFUNCTION((TRANSPOSE(ImportHTML("http://spending.data.al/sq/moneypower/view/id/241/year/2011", "table",2)))),"*Kategoria*")</f>
        <v>*Kategoria*</v>
      </c>
      <c r="D480" t="s">
        <v>2589</v>
      </c>
    </row>
    <row r="481" spans="2:11" ht="15">
      <c r="B481" s="7"/>
      <c r="C481" s="7" t="s">
        <v>686</v>
      </c>
    </row>
    <row r="482" spans="2:11" ht="15">
      <c r="B482" s="2">
        <v>242</v>
      </c>
      <c r="C482" s="7" t="str">
        <f ca="1">IFERROR(__xludf.DUMMYFUNCTION((TRANSPOSE(ImportHTML("http://spending.data.al/sq/moneypower/view/id/242/year/2011", "table",2)))),"*Kategoria*")</f>
        <v>*Kategoria*</v>
      </c>
      <c r="D482" t="s">
        <v>2589</v>
      </c>
    </row>
    <row r="483" spans="2:11" ht="15">
      <c r="B483" s="7"/>
      <c r="C483" s="7" t="s">
        <v>686</v>
      </c>
    </row>
    <row r="484" spans="2:11" ht="15">
      <c r="B484" s="2">
        <v>243</v>
      </c>
      <c r="C484" s="7" t="str">
        <f ca="1">IFERROR(__xludf.DUMMYFUNCTION((TRANSPOSE(ImportHTML("http://spending.data.al/sq/moneypower/view/id/243/year/2011", "table",2)))),"*Kategoria*")</f>
        <v>*Kategoria*</v>
      </c>
      <c r="D484" t="s">
        <v>2589</v>
      </c>
    </row>
    <row r="485" spans="2:11" ht="15">
      <c r="B485" s="7"/>
      <c r="C485" s="7" t="s">
        <v>686</v>
      </c>
    </row>
    <row r="486" spans="2:11" ht="15">
      <c r="B486" s="2">
        <v>244</v>
      </c>
      <c r="C486" s="7" t="str">
        <f ca="1">IFERROR(__xludf.DUMMYFUNCTION((TRANSPOSE(ImportHTML("http://spending.data.al/sq/moneypower/view/id/244/year/2011", "table",2)))),"*Kategoria*")</f>
        <v>*Kategoria*</v>
      </c>
      <c r="D486" t="s">
        <v>2589</v>
      </c>
    </row>
    <row r="487" spans="2:11" ht="15">
      <c r="B487" s="7"/>
      <c r="C487" s="7" t="s">
        <v>686</v>
      </c>
    </row>
    <row r="488" spans="2:11" ht="15">
      <c r="B488" s="2">
        <v>245</v>
      </c>
      <c r="C488" s="7" t="str">
        <f ca="1">IFERROR(__xludf.DUMMYFUNCTION((TRANSPOSE(ImportHTML("http://spending.data.al/sq/moneypower/view/id/245/year/2011", "table",2)))),"*Kategoria*")</f>
        <v>*Kategoria*</v>
      </c>
      <c r="D488" t="s">
        <v>2589</v>
      </c>
    </row>
    <row r="489" spans="2:11" ht="15">
      <c r="B489" s="7"/>
      <c r="C489" s="7" t="s">
        <v>686</v>
      </c>
    </row>
    <row r="490" spans="2:11" ht="15">
      <c r="B490" s="2">
        <v>246</v>
      </c>
      <c r="C490" s="7" t="str">
        <f ca="1">IFERROR(__xludf.DUMMYFUNCTION((TRANSPOSE(ImportHTML("http://spending.data.al/sq/moneypower/view/id/246/year/2011", "table",2)))),"*Kategoria*")</f>
        <v>*Kategoria*</v>
      </c>
      <c r="D490" t="s">
        <v>2589</v>
      </c>
    </row>
    <row r="491" spans="2:11" ht="15">
      <c r="B491" s="7"/>
      <c r="C491" s="7" t="s">
        <v>686</v>
      </c>
    </row>
    <row r="492" spans="2:11" ht="15">
      <c r="B492" s="2">
        <v>247</v>
      </c>
      <c r="C492" s="7" t="str">
        <f ca="1">IFERROR(__xludf.DUMMYFUNCTION((TRANSPOSE(ImportHTML("http://spending.data.al/sq/moneypower/view/id/247/year/2011", "table",2)))),"*Kategoria*")</f>
        <v>*Kategoria*</v>
      </c>
      <c r="D492" t="s">
        <v>2589</v>
      </c>
    </row>
    <row r="493" spans="2:11" ht="15">
      <c r="B493" s="7"/>
      <c r="C493" s="7" t="s">
        <v>686</v>
      </c>
    </row>
    <row r="494" spans="2:11" ht="15">
      <c r="B494" s="2">
        <v>248</v>
      </c>
      <c r="C494" s="7" t="str">
        <f ca="1">IFERROR(__xludf.DUMMYFUNCTION((TRANSPOSE(ImportHTML("http://spending.data.al/sq/moneypower/view/id/248/year/2011", "table",2)))),"*Kategoria*")</f>
        <v>*Kategoria*</v>
      </c>
      <c r="E494" t="s">
        <v>719</v>
      </c>
      <c r="F494" t="s">
        <v>720</v>
      </c>
      <c r="G494" t="s">
        <v>721</v>
      </c>
      <c r="H494" t="s">
        <v>722</v>
      </c>
      <c r="I494" t="s">
        <v>723</v>
      </c>
      <c r="J494" t="s">
        <v>724</v>
      </c>
      <c r="K494" t="s">
        <v>685</v>
      </c>
    </row>
    <row r="495" spans="2:11" ht="15">
      <c r="B495" s="7"/>
      <c r="C495" s="7" t="s">
        <v>686</v>
      </c>
      <c r="E495" t="s">
        <v>2590</v>
      </c>
      <c r="F495" t="s">
        <v>2591</v>
      </c>
      <c r="G495" t="s">
        <v>2592</v>
      </c>
      <c r="H495" t="s">
        <v>727</v>
      </c>
      <c r="I495" t="s">
        <v>727</v>
      </c>
      <c r="J495" t="s">
        <v>727</v>
      </c>
      <c r="K495" t="s">
        <v>2593</v>
      </c>
    </row>
    <row r="496" spans="2:11" ht="15">
      <c r="B496" s="2">
        <v>249</v>
      </c>
      <c r="C496" s="7" t="str">
        <f ca="1">IFERROR(__xludf.DUMMYFUNCTION((TRANSPOSE(ImportHTML("http://spending.data.al/sq/moneypower/view/id/249/year/2011", "table",2)))),"*Kategoria*")</f>
        <v>*Kategoria*</v>
      </c>
      <c r="D496" t="s">
        <v>2589</v>
      </c>
    </row>
    <row r="497" spans="2:11" ht="15">
      <c r="B497" s="7"/>
      <c r="C497" s="7" t="s">
        <v>686</v>
      </c>
    </row>
    <row r="498" spans="2:11" ht="15">
      <c r="B498" s="2">
        <v>250</v>
      </c>
      <c r="C498" s="7" t="str">
        <f ca="1">IFERROR(__xludf.DUMMYFUNCTION((TRANSPOSE(ImportHTML("http://spending.data.al/sq/moneypower/view/id/250/year/2011", "table",2)))),"*Kategoria*")</f>
        <v>*Kategoria*</v>
      </c>
      <c r="D498" t="s">
        <v>2589</v>
      </c>
    </row>
    <row r="499" spans="2:11" ht="15">
      <c r="B499" s="7"/>
      <c r="C499" s="7" t="s">
        <v>686</v>
      </c>
    </row>
    <row r="500" spans="2:11" ht="15">
      <c r="B500" s="2">
        <v>251</v>
      </c>
      <c r="C500" s="7" t="str">
        <f ca="1">IFERROR(__xludf.DUMMYFUNCTION((TRANSPOSE(ImportHTML("http://spending.data.al/sq/moneypower/view/id/251/year/2011", "table",2)))),"*Kategoria*")</f>
        <v>*Kategoria*</v>
      </c>
      <c r="D500" t="s">
        <v>2589</v>
      </c>
    </row>
    <row r="501" spans="2:11" ht="15">
      <c r="B501" s="7"/>
      <c r="C501" s="7" t="s">
        <v>686</v>
      </c>
    </row>
    <row r="502" spans="2:11" ht="15">
      <c r="B502" s="2">
        <v>252</v>
      </c>
      <c r="C502" s="7" t="str">
        <f ca="1">IFERROR(__xludf.DUMMYFUNCTION((TRANSPOSE(ImportHTML("http://spending.data.al/sq/moneypower/view/id/252/year/2011", "table",2)))),"*Kategoria*")</f>
        <v>*Kategoria*</v>
      </c>
      <c r="E502" t="s">
        <v>719</v>
      </c>
      <c r="F502" t="s">
        <v>720</v>
      </c>
      <c r="G502" t="s">
        <v>721</v>
      </c>
      <c r="H502" t="s">
        <v>722</v>
      </c>
      <c r="I502" t="s">
        <v>723</v>
      </c>
      <c r="J502" t="s">
        <v>724</v>
      </c>
      <c r="K502" t="s">
        <v>685</v>
      </c>
    </row>
    <row r="503" spans="2:11" ht="15">
      <c r="B503" s="7"/>
      <c r="C503" s="7" t="s">
        <v>686</v>
      </c>
      <c r="E503" t="s">
        <v>2594</v>
      </c>
      <c r="F503" t="s">
        <v>2595</v>
      </c>
      <c r="G503" t="s">
        <v>2596</v>
      </c>
      <c r="H503" t="s">
        <v>727</v>
      </c>
      <c r="I503" t="s">
        <v>727</v>
      </c>
      <c r="J503" t="s">
        <v>727</v>
      </c>
      <c r="K503" t="s">
        <v>727</v>
      </c>
    </row>
    <row r="504" spans="2:11" ht="15">
      <c r="B504" s="2">
        <v>253</v>
      </c>
      <c r="C504" s="7" t="str">
        <f ca="1">IFERROR(__xludf.DUMMYFUNCTION((TRANSPOSE(ImportHTML("http://spending.data.al/sq/moneypower/view/id/253/year/2011", "table",2)))),"*Kategoria*")</f>
        <v>*Kategoria*</v>
      </c>
      <c r="E504" t="s">
        <v>719</v>
      </c>
      <c r="F504" t="s">
        <v>720</v>
      </c>
      <c r="G504" t="s">
        <v>721</v>
      </c>
      <c r="H504" t="s">
        <v>722</v>
      </c>
      <c r="I504" t="s">
        <v>723</v>
      </c>
      <c r="J504" t="s">
        <v>724</v>
      </c>
      <c r="K504" t="s">
        <v>685</v>
      </c>
    </row>
    <row r="505" spans="2:11" ht="15">
      <c r="B505" s="7"/>
      <c r="C505" s="7" t="s">
        <v>686</v>
      </c>
      <c r="E505" t="s">
        <v>2597</v>
      </c>
      <c r="F505" t="s">
        <v>2598</v>
      </c>
      <c r="G505" t="s">
        <v>2599</v>
      </c>
      <c r="H505" t="s">
        <v>727</v>
      </c>
      <c r="I505" t="s">
        <v>727</v>
      </c>
      <c r="J505" t="s">
        <v>727</v>
      </c>
      <c r="K505" t="s">
        <v>727</v>
      </c>
    </row>
    <row r="506" spans="2:11" ht="15">
      <c r="B506" s="2">
        <v>254</v>
      </c>
      <c r="C506" s="7" t="str">
        <f ca="1">IFERROR(__xludf.DUMMYFUNCTION((TRANSPOSE(ImportHTML("http://spending.data.al/sq/moneypower/view/id/254/year/2011", "table",2)))),"*Kategoria*")</f>
        <v>*Kategoria*</v>
      </c>
      <c r="D506" t="s">
        <v>2589</v>
      </c>
    </row>
    <row r="507" spans="2:11" ht="15">
      <c r="B507" s="7"/>
      <c r="C507" s="7" t="s">
        <v>686</v>
      </c>
    </row>
    <row r="508" spans="2:11" ht="15">
      <c r="B508" s="2">
        <v>255</v>
      </c>
      <c r="C508" s="7" t="str">
        <f ca="1">IFERROR(__xludf.DUMMYFUNCTION((TRANSPOSE(ImportHTML("http://spending.data.al/sq/moneypower/view/id/255/year/2011", "table",2)))),"*Kategoria*")</f>
        <v>*Kategoria*</v>
      </c>
      <c r="D508" t="s">
        <v>2589</v>
      </c>
    </row>
    <row r="509" spans="2:11" ht="15">
      <c r="B509" s="7"/>
      <c r="C509" s="7" t="s">
        <v>686</v>
      </c>
    </row>
    <row r="510" spans="2:11" ht="15">
      <c r="B510" s="2">
        <v>256</v>
      </c>
      <c r="C510" s="7" t="str">
        <f ca="1">IFERROR(__xludf.DUMMYFUNCTION((TRANSPOSE(ImportHTML("http://spending.data.al/sq/moneypower/view/id/256/year/2011", "table",2)))),"*Kategoria*")</f>
        <v>*Kategoria*</v>
      </c>
      <c r="D510" t="s">
        <v>2589</v>
      </c>
    </row>
    <row r="511" spans="2:11" ht="15">
      <c r="B511" s="7"/>
      <c r="C511" s="7" t="s">
        <v>686</v>
      </c>
    </row>
    <row r="512" spans="2:11" ht="15">
      <c r="B512" s="2">
        <v>257</v>
      </c>
      <c r="C512" s="7" t="str">
        <f ca="1">IFERROR(__xludf.DUMMYFUNCTION((TRANSPOSE(ImportHTML("http://spending.data.al/sq/moneypower/view/id/257/year/2011", "table",2)))),"*Kategoria*")</f>
        <v>*Kategoria*</v>
      </c>
      <c r="D512" t="s">
        <v>2589</v>
      </c>
    </row>
    <row r="513" spans="2:11" ht="15">
      <c r="B513" s="7"/>
      <c r="C513" s="7" t="s">
        <v>686</v>
      </c>
    </row>
    <row r="514" spans="2:11" ht="15">
      <c r="B514" s="2">
        <v>258</v>
      </c>
      <c r="C514" s="7" t="str">
        <f ca="1">IFERROR(__xludf.DUMMYFUNCTION((TRANSPOSE(ImportHTML("http://spending.data.al/sq/moneypower/view/id/258/year/2011", "table",2)))),"*Kategoria*")</f>
        <v>*Kategoria*</v>
      </c>
      <c r="E514" t="s">
        <v>719</v>
      </c>
      <c r="F514" t="s">
        <v>720</v>
      </c>
      <c r="G514" t="s">
        <v>721</v>
      </c>
      <c r="H514" t="s">
        <v>722</v>
      </c>
      <c r="I514" t="s">
        <v>723</v>
      </c>
      <c r="J514" t="s">
        <v>724</v>
      </c>
      <c r="K514" t="s">
        <v>685</v>
      </c>
    </row>
    <row r="515" spans="2:11" ht="15">
      <c r="B515" s="7"/>
      <c r="C515" s="7" t="s">
        <v>686</v>
      </c>
      <c r="E515" t="s">
        <v>2600</v>
      </c>
      <c r="F515" t="s">
        <v>2601</v>
      </c>
      <c r="G515" t="s">
        <v>2602</v>
      </c>
      <c r="H515" t="s">
        <v>2601</v>
      </c>
      <c r="I515" t="s">
        <v>2601</v>
      </c>
      <c r="J515" t="s">
        <v>2601</v>
      </c>
      <c r="K515" t="s">
        <v>2601</v>
      </c>
    </row>
    <row r="516" spans="2:11" ht="15">
      <c r="B516" s="2">
        <v>259</v>
      </c>
      <c r="C516" s="7" t="str">
        <f ca="1">IFERROR(__xludf.DUMMYFUNCTION((TRANSPOSE(ImportHTML("http://spending.data.al/sq/moneypower/view/id/259/year/2011", "table",2)))),"*Kategoria*")</f>
        <v>*Kategoria*</v>
      </c>
      <c r="D516" t="s">
        <v>2589</v>
      </c>
    </row>
    <row r="517" spans="2:11" ht="15">
      <c r="B517" s="7"/>
      <c r="C517" s="7" t="s">
        <v>686</v>
      </c>
    </row>
    <row r="518" spans="2:11" ht="15">
      <c r="B518" s="2">
        <v>260</v>
      </c>
      <c r="C518" s="7" t="str">
        <f ca="1">IFERROR(__xludf.DUMMYFUNCTION((TRANSPOSE(ImportHTML("http://spending.data.al/sq/moneypower/view/id/260/year/2011", "table",2)))),"*Kategoria*")</f>
        <v>*Kategoria*</v>
      </c>
      <c r="D518" t="s">
        <v>2589</v>
      </c>
    </row>
    <row r="519" spans="2:11" ht="15">
      <c r="B519" s="7"/>
      <c r="C519" s="7" t="s">
        <v>686</v>
      </c>
    </row>
    <row r="520" spans="2:11" ht="15">
      <c r="B520" s="2">
        <v>261</v>
      </c>
      <c r="C520" s="7" t="str">
        <f ca="1">IFERROR(__xludf.DUMMYFUNCTION((TRANSPOSE(ImportHTML("http://spending.data.al/sq/moneypower/view/id/261/year/2011", "table",2)))),"*Kategoria*")</f>
        <v>*Kategoria*</v>
      </c>
      <c r="D520" t="s">
        <v>2589</v>
      </c>
    </row>
    <row r="521" spans="2:11" ht="15">
      <c r="B521" s="7"/>
      <c r="C521" s="7" t="s">
        <v>686</v>
      </c>
    </row>
    <row r="522" spans="2:11" ht="15">
      <c r="B522" s="2">
        <v>262</v>
      </c>
      <c r="C522" s="7" t="str">
        <f ca="1">IFERROR(__xludf.DUMMYFUNCTION((TRANSPOSE(ImportHTML("http://spending.data.al/sq/moneypower/view/id/262/year/2011", "table",2)))),"*Kategoria*")</f>
        <v>*Kategoria*</v>
      </c>
      <c r="D522" t="s">
        <v>2589</v>
      </c>
    </row>
    <row r="523" spans="2:11" ht="15">
      <c r="B523" s="7"/>
      <c r="C523" s="7" t="s">
        <v>686</v>
      </c>
    </row>
    <row r="524" spans="2:11" ht="15">
      <c r="B524" s="2">
        <v>263</v>
      </c>
      <c r="C524" s="7" t="str">
        <f ca="1">IFERROR(__xludf.DUMMYFUNCTION((TRANSPOSE(ImportHTML("http://spending.data.al/sq/moneypower/view/id/263/year/2011", "table",2)))),"*Kategoria*")</f>
        <v>*Kategoria*</v>
      </c>
      <c r="D524" t="s">
        <v>2589</v>
      </c>
    </row>
    <row r="525" spans="2:11" ht="15">
      <c r="B525" s="7"/>
      <c r="C525" s="7" t="s">
        <v>686</v>
      </c>
    </row>
    <row r="526" spans="2:11" ht="15">
      <c r="B526" s="2">
        <v>264</v>
      </c>
      <c r="C526" s="7" t="str">
        <f ca="1">IFERROR(__xludf.DUMMYFUNCTION((TRANSPOSE(ImportHTML("http://spending.data.al/sq/moneypower/view/id/264/year/2011", "table",2)))),"*Kategoria*")</f>
        <v>*Kategoria*</v>
      </c>
      <c r="D526" t="s">
        <v>2589</v>
      </c>
    </row>
    <row r="527" spans="2:11" ht="15">
      <c r="B527" s="7"/>
      <c r="C527" s="7" t="s">
        <v>686</v>
      </c>
    </row>
    <row r="528" spans="2:11" ht="15">
      <c r="B528" s="2">
        <v>265</v>
      </c>
      <c r="C528" s="7" t="str">
        <f ca="1">IFERROR(__xludf.DUMMYFUNCTION((TRANSPOSE(ImportHTML("http://spending.data.al/sq/moneypower/view/id/265/year/2011", "table",2)))),"*Kategoria*")</f>
        <v>*Kategoria*</v>
      </c>
      <c r="D528" t="s">
        <v>2589</v>
      </c>
    </row>
    <row r="529" spans="2:11" ht="15">
      <c r="B529" s="7"/>
      <c r="C529" s="7" t="s">
        <v>686</v>
      </c>
    </row>
    <row r="530" spans="2:11" ht="15">
      <c r="B530" s="2">
        <v>266</v>
      </c>
      <c r="C530" s="7" t="str">
        <f ca="1">IFERROR(__xludf.DUMMYFUNCTION((TRANSPOSE(ImportHTML("http://spending.data.al/sq/moneypower/view/id/266/year/2011", "table",2)))),"*Kategoria*")</f>
        <v>*Kategoria*</v>
      </c>
      <c r="D530" t="s">
        <v>2589</v>
      </c>
    </row>
    <row r="531" spans="2:11" ht="15">
      <c r="B531" s="7"/>
      <c r="C531" s="7" t="s">
        <v>686</v>
      </c>
    </row>
    <row r="532" spans="2:11" ht="15">
      <c r="B532" s="2">
        <v>267</v>
      </c>
      <c r="C532" s="7" t="str">
        <f ca="1">IFERROR(__xludf.DUMMYFUNCTION((TRANSPOSE(ImportHTML("http://spending.data.al/sq/moneypower/view/id/267/year/2011", "table",2)))),"*Kategoria*")</f>
        <v>*Kategoria*</v>
      </c>
      <c r="E532" t="s">
        <v>719</v>
      </c>
      <c r="F532" t="s">
        <v>720</v>
      </c>
      <c r="G532" t="s">
        <v>721</v>
      </c>
      <c r="H532" t="s">
        <v>722</v>
      </c>
      <c r="I532" t="s">
        <v>723</v>
      </c>
      <c r="J532" t="s">
        <v>724</v>
      </c>
      <c r="K532" t="s">
        <v>685</v>
      </c>
    </row>
    <row r="533" spans="2:11" ht="15">
      <c r="B533" s="7"/>
      <c r="C533" s="7" t="s">
        <v>686</v>
      </c>
      <c r="E533" t="s">
        <v>2603</v>
      </c>
      <c r="F533" t="s">
        <v>727</v>
      </c>
      <c r="G533" t="s">
        <v>2604</v>
      </c>
      <c r="H533" t="s">
        <v>727</v>
      </c>
      <c r="I533" t="s">
        <v>727</v>
      </c>
      <c r="J533" t="s">
        <v>727</v>
      </c>
      <c r="K533" t="s">
        <v>2605</v>
      </c>
    </row>
    <row r="534" spans="2:11" ht="15">
      <c r="B534" s="2">
        <v>268</v>
      </c>
      <c r="C534" s="7" t="str">
        <f ca="1">IFERROR(__xludf.DUMMYFUNCTION((TRANSPOSE(ImportHTML("http://spending.data.al/sq/moneypower/view/id/268/year/2011", "table",2)))),"*Kategoria*")</f>
        <v>*Kategoria*</v>
      </c>
      <c r="E534" t="s">
        <v>719</v>
      </c>
      <c r="F534" t="s">
        <v>720</v>
      </c>
      <c r="G534" t="s">
        <v>721</v>
      </c>
      <c r="H534" t="s">
        <v>722</v>
      </c>
      <c r="I534" t="s">
        <v>723</v>
      </c>
      <c r="J534" t="s">
        <v>724</v>
      </c>
      <c r="K534" t="s">
        <v>685</v>
      </c>
    </row>
    <row r="535" spans="2:11" ht="15">
      <c r="B535" s="7"/>
      <c r="C535" s="7" t="s">
        <v>686</v>
      </c>
      <c r="E535" t="s">
        <v>2606</v>
      </c>
      <c r="F535" t="s">
        <v>2607</v>
      </c>
      <c r="G535" t="s">
        <v>2608</v>
      </c>
      <c r="H535" t="s">
        <v>727</v>
      </c>
      <c r="I535" t="s">
        <v>727</v>
      </c>
      <c r="J535" t="s">
        <v>727</v>
      </c>
      <c r="K535" t="s">
        <v>727</v>
      </c>
    </row>
    <row r="536" spans="2:11" ht="15">
      <c r="B536" s="2">
        <v>269</v>
      </c>
      <c r="C536" s="7" t="str">
        <f ca="1">IFERROR(__xludf.DUMMYFUNCTION((TRANSPOSE(ImportHTML("http://spending.data.al/sq/moneypower/view/id/269/year/2011", "table",2)))),"*Kategoria*")</f>
        <v>*Kategoria*</v>
      </c>
      <c r="E536" t="s">
        <v>719</v>
      </c>
      <c r="F536" t="s">
        <v>720</v>
      </c>
      <c r="G536" t="s">
        <v>721</v>
      </c>
      <c r="H536" t="s">
        <v>722</v>
      </c>
      <c r="I536" t="s">
        <v>723</v>
      </c>
      <c r="J536" t="s">
        <v>724</v>
      </c>
      <c r="K536" t="s">
        <v>685</v>
      </c>
    </row>
    <row r="537" spans="2:11" ht="15">
      <c r="B537" s="7"/>
      <c r="C537" s="7" t="s">
        <v>686</v>
      </c>
      <c r="E537" t="s">
        <v>2609</v>
      </c>
      <c r="F537" t="s">
        <v>2610</v>
      </c>
      <c r="G537" t="s">
        <v>2611</v>
      </c>
      <c r="H537" t="s">
        <v>727</v>
      </c>
      <c r="I537" t="s">
        <v>2612</v>
      </c>
      <c r="J537" t="s">
        <v>727</v>
      </c>
      <c r="K537" t="s">
        <v>2613</v>
      </c>
    </row>
    <row r="538" spans="2:11" ht="15">
      <c r="B538" s="2">
        <v>270</v>
      </c>
      <c r="C538" s="7" t="str">
        <f ca="1">IFERROR(__xludf.DUMMYFUNCTION((TRANSPOSE(ImportHTML("http://spending.data.al/sq/moneypower/view/id/270/year/2011", "table",2)))),"*Kategoria*")</f>
        <v>*Kategoria*</v>
      </c>
      <c r="D538" t="s">
        <v>2589</v>
      </c>
    </row>
    <row r="539" spans="2:11" ht="15">
      <c r="B539" s="7"/>
      <c r="C539" s="7" t="s">
        <v>686</v>
      </c>
    </row>
    <row r="540" spans="2:11" ht="15">
      <c r="B540" s="2">
        <v>271</v>
      </c>
      <c r="C540" s="7" t="str">
        <f ca="1">IFERROR(__xludf.DUMMYFUNCTION((TRANSPOSE(ImportHTML("http://spending.data.al/sq/moneypower/view/id/271/year/2011", "table",2)))),"*Kategoria*")</f>
        <v>*Kategoria*</v>
      </c>
      <c r="E540" t="s">
        <v>719</v>
      </c>
      <c r="F540" t="s">
        <v>720</v>
      </c>
      <c r="G540" t="s">
        <v>721</v>
      </c>
      <c r="H540" t="s">
        <v>722</v>
      </c>
      <c r="I540" t="s">
        <v>723</v>
      </c>
      <c r="J540" t="s">
        <v>724</v>
      </c>
      <c r="K540" t="s">
        <v>685</v>
      </c>
    </row>
    <row r="541" spans="2:11" ht="15">
      <c r="B541" s="7"/>
      <c r="C541" s="7" t="s">
        <v>686</v>
      </c>
      <c r="E541" t="s">
        <v>2614</v>
      </c>
      <c r="F541" t="s">
        <v>2615</v>
      </c>
      <c r="G541" t="s">
        <v>727</v>
      </c>
      <c r="H541" t="s">
        <v>727</v>
      </c>
      <c r="I541" t="s">
        <v>727</v>
      </c>
      <c r="J541" t="s">
        <v>727</v>
      </c>
      <c r="K541" t="s">
        <v>727</v>
      </c>
    </row>
    <row r="542" spans="2:11" ht="15">
      <c r="B542" s="2">
        <v>272</v>
      </c>
      <c r="C542" s="7" t="str">
        <f ca="1">IFERROR(__xludf.DUMMYFUNCTION((TRANSPOSE(ImportHTML("http://spending.data.al/sq/moneypower/view/id/272/year/2011", "table",2)))),"*Kategoria*")</f>
        <v>*Kategoria*</v>
      </c>
      <c r="D542" t="s">
        <v>2589</v>
      </c>
    </row>
    <row r="543" spans="2:11" ht="15">
      <c r="B543" s="7"/>
      <c r="C543" s="7" t="s">
        <v>686</v>
      </c>
    </row>
    <row r="544" spans="2:11" ht="15">
      <c r="B544" s="2">
        <v>273</v>
      </c>
      <c r="C544" s="7" t="str">
        <f ca="1">IFERROR(__xludf.DUMMYFUNCTION((TRANSPOSE(ImportHTML("http://spending.data.al/sq/moneypower/view/id/273/year/2011", "table",2)))),"*Kategoria*")</f>
        <v>*Kategoria*</v>
      </c>
      <c r="E544" t="s">
        <v>719</v>
      </c>
      <c r="F544" t="s">
        <v>720</v>
      </c>
      <c r="G544" t="s">
        <v>721</v>
      </c>
      <c r="H544" t="s">
        <v>722</v>
      </c>
      <c r="I544" t="s">
        <v>723</v>
      </c>
      <c r="J544" t="s">
        <v>724</v>
      </c>
      <c r="K544" t="s">
        <v>685</v>
      </c>
    </row>
    <row r="545" spans="2:11" ht="15">
      <c r="B545" s="7"/>
      <c r="C545" s="7" t="s">
        <v>686</v>
      </c>
      <c r="E545" t="s">
        <v>2616</v>
      </c>
      <c r="F545" t="s">
        <v>2617</v>
      </c>
      <c r="G545" t="s">
        <v>2618</v>
      </c>
      <c r="H545" t="s">
        <v>707</v>
      </c>
      <c r="I545" t="s">
        <v>2619</v>
      </c>
      <c r="J545" t="s">
        <v>688</v>
      </c>
      <c r="K545" t="s">
        <v>688</v>
      </c>
    </row>
    <row r="546" spans="2:11" ht="15">
      <c r="B546" s="2">
        <v>274</v>
      </c>
      <c r="C546" s="7" t="str">
        <f ca="1">IFERROR(__xludf.DUMMYFUNCTION((TRANSPOSE(ImportHTML("http://spending.data.al/sq/moneypower/view/id/274/year/2011", "table",2)))),"*Kategoria*")</f>
        <v>*Kategoria*</v>
      </c>
      <c r="D546" t="s">
        <v>2589</v>
      </c>
    </row>
    <row r="547" spans="2:11" ht="15">
      <c r="B547" s="7"/>
      <c r="C547" s="7" t="s">
        <v>686</v>
      </c>
    </row>
    <row r="548" spans="2:11" ht="15">
      <c r="B548" s="2">
        <v>275</v>
      </c>
      <c r="C548" s="7" t="str">
        <f ca="1">IFERROR(__xludf.DUMMYFUNCTION((TRANSPOSE(ImportHTML("http://spending.data.al/sq/moneypower/view/id/275/year/2011", "table",2)))),"*Kategoria*")</f>
        <v>*Kategoria*</v>
      </c>
      <c r="D548" t="s">
        <v>2589</v>
      </c>
    </row>
    <row r="549" spans="2:11" ht="15">
      <c r="B549" s="7"/>
      <c r="C549" s="7" t="s">
        <v>686</v>
      </c>
    </row>
    <row r="550" spans="2:11" ht="15">
      <c r="B550" s="2">
        <v>276</v>
      </c>
      <c r="C550" s="7" t="str">
        <f ca="1">IFERROR(__xludf.DUMMYFUNCTION((TRANSPOSE(ImportHTML("http://spending.data.al/sq/moneypower/view/id/276/year/2011", "table",2)))),"*Kategoria*")</f>
        <v>*Kategoria*</v>
      </c>
      <c r="D550" t="s">
        <v>2589</v>
      </c>
    </row>
    <row r="551" spans="2:11" ht="15">
      <c r="B551" s="7"/>
      <c r="C551" s="7" t="s">
        <v>686</v>
      </c>
    </row>
    <row r="552" spans="2:11" ht="15">
      <c r="B552" s="2">
        <v>277</v>
      </c>
      <c r="C552" s="7" t="str">
        <f ca="1">IFERROR(__xludf.DUMMYFUNCTION((TRANSPOSE(ImportHTML("http://spending.data.al/sq/moneypower/view/id/277/year/2011", "table",2)))),"*Kategoria*")</f>
        <v>*Kategoria*</v>
      </c>
      <c r="E552" t="s">
        <v>719</v>
      </c>
      <c r="F552" t="s">
        <v>720</v>
      </c>
      <c r="G552" t="s">
        <v>721</v>
      </c>
      <c r="H552" t="s">
        <v>722</v>
      </c>
      <c r="I552" t="s">
        <v>723</v>
      </c>
      <c r="J552" t="s">
        <v>724</v>
      </c>
      <c r="K552" t="s">
        <v>685</v>
      </c>
    </row>
    <row r="553" spans="2:11" ht="15">
      <c r="B553" s="7"/>
      <c r="C553" s="7" t="s">
        <v>686</v>
      </c>
      <c r="E553" t="s">
        <v>2620</v>
      </c>
      <c r="F553" t="s">
        <v>2621</v>
      </c>
      <c r="G553" t="s">
        <v>2622</v>
      </c>
      <c r="H553" t="s">
        <v>688</v>
      </c>
      <c r="I553" t="s">
        <v>688</v>
      </c>
      <c r="K553" t="s">
        <v>2623</v>
      </c>
    </row>
    <row r="554" spans="2:11" ht="15">
      <c r="B554" s="2">
        <v>278</v>
      </c>
      <c r="C554" s="7" t="str">
        <f ca="1">IFERROR(__xludf.DUMMYFUNCTION((TRANSPOSE(ImportHTML("http://spending.data.al/sq/moneypower/view/id/278/year/2011", "table",2)))),"*Kategoria*")</f>
        <v>*Kategoria*</v>
      </c>
      <c r="D554" t="s">
        <v>2589</v>
      </c>
    </row>
    <row r="555" spans="2:11" ht="15">
      <c r="B555" s="7"/>
      <c r="C555" s="7" t="s">
        <v>686</v>
      </c>
    </row>
    <row r="556" spans="2:11" ht="15">
      <c r="B556" s="2">
        <v>279</v>
      </c>
      <c r="C556" s="7" t="str">
        <f ca="1">IFERROR(__xludf.DUMMYFUNCTION((TRANSPOSE(ImportHTML("http://spending.data.al/sq/moneypower/view/id/279/year/2011", "table",2)))),"*Kategoria*")</f>
        <v>*Kategoria*</v>
      </c>
      <c r="E556" t="s">
        <v>719</v>
      </c>
      <c r="F556" t="s">
        <v>720</v>
      </c>
      <c r="G556" t="s">
        <v>721</v>
      </c>
      <c r="H556" t="s">
        <v>722</v>
      </c>
      <c r="I556" t="s">
        <v>723</v>
      </c>
      <c r="J556" t="s">
        <v>724</v>
      </c>
      <c r="K556" t="s">
        <v>685</v>
      </c>
    </row>
    <row r="557" spans="2:11" ht="15">
      <c r="B557" s="7"/>
      <c r="C557" s="7" t="s">
        <v>686</v>
      </c>
      <c r="E557" t="s">
        <v>2624</v>
      </c>
      <c r="F557" t="s">
        <v>2625</v>
      </c>
      <c r="G557" t="s">
        <v>2626</v>
      </c>
      <c r="H557" t="s">
        <v>688</v>
      </c>
      <c r="I557" t="s">
        <v>688</v>
      </c>
      <c r="K557" t="s">
        <v>2627</v>
      </c>
    </row>
    <row r="558" spans="2:11" ht="15">
      <c r="B558" s="2">
        <v>280</v>
      </c>
      <c r="C558" s="7" t="str">
        <f ca="1">IFERROR(__xludf.DUMMYFUNCTION((TRANSPOSE(ImportHTML("http://spending.data.al/sq/moneypower/view/id/280/year/2011", "table",2)))),"*Kategoria*")</f>
        <v>*Kategoria*</v>
      </c>
      <c r="E558" t="s">
        <v>719</v>
      </c>
      <c r="F558" t="s">
        <v>720</v>
      </c>
      <c r="G558" t="s">
        <v>721</v>
      </c>
      <c r="H558" t="s">
        <v>722</v>
      </c>
      <c r="I558" t="s">
        <v>723</v>
      </c>
      <c r="J558" t="s">
        <v>724</v>
      </c>
      <c r="K558" t="s">
        <v>685</v>
      </c>
    </row>
    <row r="559" spans="2:11" ht="15">
      <c r="B559" s="7"/>
      <c r="C559" s="7" t="s">
        <v>686</v>
      </c>
      <c r="E559" t="s">
        <v>2628</v>
      </c>
      <c r="F559" t="s">
        <v>2629</v>
      </c>
      <c r="G559" t="s">
        <v>688</v>
      </c>
      <c r="H559" t="s">
        <v>688</v>
      </c>
      <c r="I559" t="s">
        <v>688</v>
      </c>
      <c r="J559" t="s">
        <v>688</v>
      </c>
      <c r="K559" t="s">
        <v>688</v>
      </c>
    </row>
    <row r="560" spans="2:11" ht="15">
      <c r="B560" s="2">
        <v>281</v>
      </c>
      <c r="C560" s="7" t="str">
        <f ca="1">IFERROR(__xludf.DUMMYFUNCTION((TRANSPOSE(ImportHTML("http://spending.data.al/sq/moneypower/view/id/281/year/2011", "table",2)))),"*Kategoria*")</f>
        <v>*Kategoria*</v>
      </c>
      <c r="D560" t="s">
        <v>2589</v>
      </c>
    </row>
    <row r="561" spans="2:11" ht="15">
      <c r="B561" s="7"/>
      <c r="C561" s="7" t="s">
        <v>686</v>
      </c>
    </row>
    <row r="562" spans="2:11" ht="15">
      <c r="B562" s="2">
        <v>282</v>
      </c>
      <c r="C562" s="7" t="str">
        <f ca="1">IFERROR(__xludf.DUMMYFUNCTION((TRANSPOSE(ImportHTML("http://spending.data.al/sq/moneypower/view/id/282/year/2011", "table",2)))),"*Kategoria*")</f>
        <v>*Kategoria*</v>
      </c>
      <c r="D562" t="s">
        <v>2589</v>
      </c>
    </row>
    <row r="563" spans="2:11" ht="15">
      <c r="B563" s="7"/>
      <c r="C563" s="7" t="s">
        <v>686</v>
      </c>
    </row>
    <row r="564" spans="2:11" ht="15">
      <c r="B564" s="2">
        <v>283</v>
      </c>
      <c r="C564" s="7" t="str">
        <f ca="1">IFERROR(__xludf.DUMMYFUNCTION((TRANSPOSE(ImportHTML("http://spending.data.al/sq/moneypower/view/id/283/year/2011", "table",2)))),"*Kategoria*")</f>
        <v>*Kategoria*</v>
      </c>
      <c r="D564" t="s">
        <v>2589</v>
      </c>
    </row>
    <row r="565" spans="2:11" ht="15">
      <c r="B565" s="7"/>
      <c r="C565" s="7" t="s">
        <v>686</v>
      </c>
    </row>
    <row r="566" spans="2:11" ht="15">
      <c r="B566" s="2">
        <v>284</v>
      </c>
      <c r="C566" s="7" t="str">
        <f ca="1">IFERROR(__xludf.DUMMYFUNCTION((TRANSPOSE(ImportHTML("http://spending.data.al/sq/moneypower/view/id/284/year/2011", "table",2)))),"*Kategoria*")</f>
        <v>*Kategoria*</v>
      </c>
      <c r="D566" t="s">
        <v>2589</v>
      </c>
    </row>
    <row r="567" spans="2:11" ht="15">
      <c r="B567" s="7"/>
      <c r="C567" s="7" t="s">
        <v>686</v>
      </c>
    </row>
    <row r="568" spans="2:11" ht="15">
      <c r="B568" s="2">
        <v>285</v>
      </c>
      <c r="C568" s="7" t="str">
        <f ca="1">IFERROR(__xludf.DUMMYFUNCTION((TRANSPOSE(ImportHTML("http://spending.data.al/sq/moneypower/view/id/285/year/2011", "table",2)))),"*Kategoria*")</f>
        <v>*Kategoria*</v>
      </c>
      <c r="E568" t="s">
        <v>719</v>
      </c>
      <c r="F568" t="s">
        <v>720</v>
      </c>
      <c r="G568" t="s">
        <v>721</v>
      </c>
      <c r="H568" t="s">
        <v>722</v>
      </c>
      <c r="I568" t="s">
        <v>723</v>
      </c>
      <c r="J568" t="s">
        <v>724</v>
      </c>
      <c r="K568" t="s">
        <v>685</v>
      </c>
    </row>
    <row r="569" spans="2:11" ht="15">
      <c r="B569" s="7"/>
      <c r="C569" s="7" t="s">
        <v>686</v>
      </c>
      <c r="E569" t="s">
        <v>2630</v>
      </c>
      <c r="F569" t="s">
        <v>2631</v>
      </c>
      <c r="G569" t="s">
        <v>2632</v>
      </c>
      <c r="H569" t="s">
        <v>2601</v>
      </c>
      <c r="I569" t="s">
        <v>2601</v>
      </c>
      <c r="J569" t="s">
        <v>2601</v>
      </c>
      <c r="K569" t="s">
        <v>2633</v>
      </c>
    </row>
    <row r="570" spans="2:11" ht="15">
      <c r="B570" s="2">
        <v>286</v>
      </c>
      <c r="C570" s="7" t="str">
        <f ca="1">IFERROR(__xludf.DUMMYFUNCTION((TRANSPOSE(ImportHTML("http://spending.data.al/sq/moneypower/view/id/286/year/2011", "table",2)))),"*Kategoria*")</f>
        <v>*Kategoria*</v>
      </c>
      <c r="E570" t="s">
        <v>719</v>
      </c>
      <c r="F570" t="s">
        <v>720</v>
      </c>
      <c r="G570" t="s">
        <v>721</v>
      </c>
      <c r="H570" t="s">
        <v>722</v>
      </c>
      <c r="I570" t="s">
        <v>723</v>
      </c>
      <c r="J570" t="s">
        <v>724</v>
      </c>
      <c r="K570" t="s">
        <v>685</v>
      </c>
    </row>
    <row r="571" spans="2:11" ht="15">
      <c r="B571" s="7"/>
      <c r="C571" s="7" t="s">
        <v>686</v>
      </c>
      <c r="E571" t="s">
        <v>2634</v>
      </c>
      <c r="F571" t="s">
        <v>2601</v>
      </c>
      <c r="G571" t="s">
        <v>2635</v>
      </c>
      <c r="H571" t="s">
        <v>2601</v>
      </c>
      <c r="I571" t="s">
        <v>2601</v>
      </c>
      <c r="J571" t="s">
        <v>2601</v>
      </c>
      <c r="K571" t="s">
        <v>2636</v>
      </c>
    </row>
    <row r="572" spans="2:11" ht="15">
      <c r="B572" s="2">
        <v>287</v>
      </c>
      <c r="C572" s="7" t="str">
        <f ca="1">IFERROR(__xludf.DUMMYFUNCTION((TRANSPOSE(ImportHTML("http://spending.data.al/sq/moneypower/view/id/287/year/2011", "table",2)))),"*Kategoria*")</f>
        <v>*Kategoria*</v>
      </c>
      <c r="D572" t="s">
        <v>2589</v>
      </c>
    </row>
    <row r="573" spans="2:11" ht="15">
      <c r="B573" s="7"/>
      <c r="C573" s="7" t="s">
        <v>686</v>
      </c>
    </row>
    <row r="574" spans="2:11" ht="15">
      <c r="B574" s="2">
        <v>288</v>
      </c>
      <c r="C574" s="7" t="str">
        <f ca="1">IFERROR(__xludf.DUMMYFUNCTION((TRANSPOSE(ImportHTML("http://spending.data.al/sq/moneypower/view/id/288/year/2011", "table",2)))),"*Kategoria*")</f>
        <v>*Kategoria*</v>
      </c>
      <c r="E574" t="s">
        <v>719</v>
      </c>
      <c r="F574" t="s">
        <v>720</v>
      </c>
      <c r="G574" t="s">
        <v>721</v>
      </c>
      <c r="H574" t="s">
        <v>722</v>
      </c>
      <c r="I574" t="s">
        <v>723</v>
      </c>
      <c r="J574" t="s">
        <v>724</v>
      </c>
      <c r="K574" t="s">
        <v>685</v>
      </c>
    </row>
    <row r="575" spans="2:11" ht="15">
      <c r="B575" s="7"/>
      <c r="C575" s="7" t="s">
        <v>686</v>
      </c>
      <c r="E575" t="s">
        <v>2637</v>
      </c>
      <c r="F575" t="s">
        <v>2638</v>
      </c>
      <c r="G575" t="s">
        <v>2639</v>
      </c>
      <c r="H575" t="s">
        <v>2601</v>
      </c>
      <c r="I575" t="s">
        <v>2640</v>
      </c>
      <c r="J575" t="s">
        <v>2601</v>
      </c>
      <c r="K575" t="s">
        <v>2641</v>
      </c>
    </row>
    <row r="576" spans="2:11" ht="15">
      <c r="B576" s="2">
        <v>289</v>
      </c>
      <c r="C576" s="7" t="str">
        <f ca="1">IFERROR(__xludf.DUMMYFUNCTION((TRANSPOSE(ImportHTML("http://spending.data.al/sq/moneypower/view/id/289/year/2011", "table",2)))),"*Kategoria*")</f>
        <v>*Kategoria*</v>
      </c>
      <c r="D576" t="s">
        <v>2589</v>
      </c>
    </row>
    <row r="577" spans="2:11" ht="15">
      <c r="B577" s="7"/>
      <c r="C577" s="7" t="s">
        <v>686</v>
      </c>
    </row>
    <row r="578" spans="2:11" ht="15">
      <c r="B578" s="2">
        <v>290</v>
      </c>
      <c r="C578" s="7" t="str">
        <f ca="1">IFERROR(__xludf.DUMMYFUNCTION((TRANSPOSE(ImportHTML("http://spending.data.al/sq/moneypower/view/id/290/year/2011", "table",2)))),"*Kategoria*")</f>
        <v>*Kategoria*</v>
      </c>
      <c r="E578" t="s">
        <v>719</v>
      </c>
      <c r="F578" t="s">
        <v>720</v>
      </c>
      <c r="G578" t="s">
        <v>721</v>
      </c>
      <c r="H578" t="s">
        <v>722</v>
      </c>
      <c r="I578" t="s">
        <v>723</v>
      </c>
      <c r="J578" t="s">
        <v>724</v>
      </c>
      <c r="K578" t="s">
        <v>685</v>
      </c>
    </row>
    <row r="579" spans="2:11" ht="15">
      <c r="B579" s="7"/>
      <c r="C579" s="7" t="s">
        <v>686</v>
      </c>
      <c r="E579" t="s">
        <v>2642</v>
      </c>
      <c r="F579" t="s">
        <v>2643</v>
      </c>
      <c r="G579" t="s">
        <v>2644</v>
      </c>
      <c r="H579" t="s">
        <v>2601</v>
      </c>
      <c r="I579" t="s">
        <v>2601</v>
      </c>
      <c r="J579" t="s">
        <v>2601</v>
      </c>
      <c r="K579" t="s">
        <v>2645</v>
      </c>
    </row>
    <row r="580" spans="2:11" ht="15">
      <c r="B580" s="2">
        <v>291</v>
      </c>
      <c r="C580" s="7" t="str">
        <f ca="1">IFERROR(__xludf.DUMMYFUNCTION((TRANSPOSE(ImportHTML("http://spending.data.al/sq/moneypower/view/id/291/year/2011", "table",2)))),"*Kategoria*")</f>
        <v>*Kategoria*</v>
      </c>
      <c r="D580" t="s">
        <v>2589</v>
      </c>
    </row>
    <row r="581" spans="2:11" ht="15">
      <c r="B581" s="7"/>
      <c r="C581" s="7" t="s">
        <v>686</v>
      </c>
    </row>
    <row r="582" spans="2:11" ht="15">
      <c r="B582" s="2">
        <v>292</v>
      </c>
      <c r="C582" s="7" t="str">
        <f ca="1">IFERROR(__xludf.DUMMYFUNCTION((TRANSPOSE(ImportHTML("http://spending.data.al/sq/moneypower/view/id/292/year/2011", "table",2)))),"*Kategoria*")</f>
        <v>*Kategoria*</v>
      </c>
      <c r="E582" t="s">
        <v>719</v>
      </c>
      <c r="F582" t="s">
        <v>720</v>
      </c>
      <c r="G582" t="s">
        <v>721</v>
      </c>
      <c r="H582" t="s">
        <v>722</v>
      </c>
      <c r="I582" t="s">
        <v>723</v>
      </c>
      <c r="J582" t="s">
        <v>724</v>
      </c>
      <c r="K582" t="s">
        <v>685</v>
      </c>
    </row>
    <row r="583" spans="2:11" ht="15">
      <c r="B583" s="7"/>
      <c r="C583" s="7" t="s">
        <v>686</v>
      </c>
      <c r="E583" t="s">
        <v>2646</v>
      </c>
      <c r="F583" t="s">
        <v>2647</v>
      </c>
      <c r="G583" t="s">
        <v>2601</v>
      </c>
      <c r="H583" t="s">
        <v>2601</v>
      </c>
      <c r="I583" t="s">
        <v>2601</v>
      </c>
      <c r="J583" t="s">
        <v>2601</v>
      </c>
      <c r="K583" t="s">
        <v>2648</v>
      </c>
    </row>
    <row r="584" spans="2:11" ht="15">
      <c r="B584" s="2">
        <v>293</v>
      </c>
      <c r="C584" s="7" t="str">
        <f ca="1">IFERROR(__xludf.DUMMYFUNCTION((TRANSPOSE(ImportHTML("http://spending.data.al/sq/moneypower/view/id/293/year/2011", "table",2)))),"*Kategoria*")</f>
        <v>*Kategoria*</v>
      </c>
      <c r="E584" t="s">
        <v>719</v>
      </c>
      <c r="F584" t="s">
        <v>720</v>
      </c>
      <c r="G584" t="s">
        <v>721</v>
      </c>
      <c r="H584" t="s">
        <v>722</v>
      </c>
      <c r="I584" t="s">
        <v>723</v>
      </c>
      <c r="J584" t="s">
        <v>724</v>
      </c>
      <c r="K584" t="s">
        <v>685</v>
      </c>
    </row>
    <row r="585" spans="2:11" ht="15">
      <c r="B585" s="7"/>
      <c r="C585" s="7" t="s">
        <v>686</v>
      </c>
      <c r="E585" t="s">
        <v>2649</v>
      </c>
      <c r="F585" t="s">
        <v>2650</v>
      </c>
      <c r="G585" t="s">
        <v>2651</v>
      </c>
      <c r="H585" t="s">
        <v>2601</v>
      </c>
      <c r="I585" t="s">
        <v>2601</v>
      </c>
      <c r="J585" t="s">
        <v>2601</v>
      </c>
      <c r="K585" t="s">
        <v>2652</v>
      </c>
    </row>
    <row r="586" spans="2:11" ht="15">
      <c r="B586" s="2">
        <v>294</v>
      </c>
      <c r="C586" s="7" t="str">
        <f ca="1">IFERROR(__xludf.DUMMYFUNCTION((TRANSPOSE(ImportHTML("http://spending.data.al/sq/moneypower/view/id/294/year/2011", "table",2)))),"*Kategoria*")</f>
        <v>*Kategoria*</v>
      </c>
      <c r="E586" t="s">
        <v>719</v>
      </c>
      <c r="F586" t="s">
        <v>720</v>
      </c>
      <c r="G586" t="s">
        <v>721</v>
      </c>
      <c r="H586" t="s">
        <v>722</v>
      </c>
      <c r="I586" t="s">
        <v>723</v>
      </c>
      <c r="J586" t="s">
        <v>724</v>
      </c>
      <c r="K586" t="s">
        <v>685</v>
      </c>
    </row>
    <row r="587" spans="2:11" ht="15">
      <c r="B587" s="7"/>
      <c r="C587" s="7" t="s">
        <v>686</v>
      </c>
      <c r="E587" t="s">
        <v>2601</v>
      </c>
      <c r="F587" t="s">
        <v>2653</v>
      </c>
      <c r="G587" t="s">
        <v>2654</v>
      </c>
      <c r="H587" t="s">
        <v>2601</v>
      </c>
      <c r="I587" t="s">
        <v>2601</v>
      </c>
      <c r="J587" t="s">
        <v>2601</v>
      </c>
      <c r="K587" t="s">
        <v>2655</v>
      </c>
    </row>
    <row r="588" spans="2:11" ht="15">
      <c r="B588" s="2">
        <v>295</v>
      </c>
      <c r="C588" s="7" t="str">
        <f ca="1">IFERROR(__xludf.DUMMYFUNCTION((TRANSPOSE(ImportHTML("http://spending.data.al/sq/moneypower/view/id/295/year/2011", "table",2)))),"*Kategoria*")</f>
        <v>*Kategoria*</v>
      </c>
      <c r="D588" t="s">
        <v>2589</v>
      </c>
    </row>
    <row r="589" spans="2:11" ht="15">
      <c r="B589" s="7"/>
      <c r="C589" s="7" t="s">
        <v>686</v>
      </c>
    </row>
    <row r="590" spans="2:11" ht="15">
      <c r="B590" s="2">
        <v>296</v>
      </c>
      <c r="C590" s="7" t="str">
        <f ca="1">IFERROR(__xludf.DUMMYFUNCTION((TRANSPOSE(ImportHTML("http://spending.data.al/sq/moneypower/view/id/296/year/2011", "table",2)))),"*Kategoria*")</f>
        <v>*Kategoria*</v>
      </c>
      <c r="D590" t="s">
        <v>2589</v>
      </c>
    </row>
    <row r="591" spans="2:11" ht="15">
      <c r="B591" s="7"/>
      <c r="C591" s="7" t="s">
        <v>686</v>
      </c>
    </row>
    <row r="592" spans="2:11" ht="15">
      <c r="B592" s="2">
        <v>297</v>
      </c>
      <c r="C592" s="7" t="str">
        <f ca="1">IFERROR(__xludf.DUMMYFUNCTION((TRANSPOSE(ImportHTML("http://spending.data.al/sq/moneypower/view/id/297/year/2011", "table",2)))),"*Kategoria*")</f>
        <v>*Kategoria*</v>
      </c>
      <c r="E592" t="s">
        <v>719</v>
      </c>
      <c r="F592" t="s">
        <v>720</v>
      </c>
      <c r="G592" t="s">
        <v>721</v>
      </c>
      <c r="H592" t="s">
        <v>722</v>
      </c>
      <c r="I592" t="s">
        <v>723</v>
      </c>
      <c r="J592" t="s">
        <v>724</v>
      </c>
      <c r="K592" t="s">
        <v>685</v>
      </c>
    </row>
    <row r="593" spans="2:11" ht="15">
      <c r="B593" s="7"/>
      <c r="C593" s="7" t="s">
        <v>686</v>
      </c>
      <c r="E593" t="s">
        <v>2656</v>
      </c>
      <c r="F593" t="s">
        <v>727</v>
      </c>
      <c r="G593" t="s">
        <v>2657</v>
      </c>
      <c r="H593" t="s">
        <v>727</v>
      </c>
      <c r="I593" t="s">
        <v>727</v>
      </c>
      <c r="J593" t="s">
        <v>727</v>
      </c>
      <c r="K593" t="s">
        <v>2658</v>
      </c>
    </row>
    <row r="594" spans="2:11" ht="15">
      <c r="B594" s="2">
        <v>298</v>
      </c>
      <c r="C594" s="7" t="str">
        <f ca="1">IFERROR(__xludf.DUMMYFUNCTION((TRANSPOSE(ImportHTML("http://spending.data.al/sq/moneypower/view/id/298/year/2011", "table",2)))),"*Kategoria*")</f>
        <v>*Kategoria*</v>
      </c>
      <c r="D594" t="s">
        <v>2589</v>
      </c>
    </row>
    <row r="595" spans="2:11" ht="15">
      <c r="B595" s="7"/>
      <c r="C595" s="7" t="s">
        <v>686</v>
      </c>
    </row>
    <row r="596" spans="2:11" ht="15">
      <c r="B596" s="2">
        <v>299</v>
      </c>
      <c r="C596" s="7" t="str">
        <f ca="1">IFERROR(__xludf.DUMMYFUNCTION((TRANSPOSE(ImportHTML("http://spending.data.al/sq/moneypower/view/id/299/year/2011", "table",2)))),"*Kategoria*")</f>
        <v>*Kategoria*</v>
      </c>
      <c r="D596" t="s">
        <v>2589</v>
      </c>
    </row>
    <row r="597" spans="2:11" ht="15">
      <c r="B597" s="7"/>
      <c r="C597" s="7" t="s">
        <v>686</v>
      </c>
    </row>
    <row r="598" spans="2:11" ht="15">
      <c r="B598" s="2">
        <v>300</v>
      </c>
      <c r="C598" s="7" t="str">
        <f ca="1">IFERROR(__xludf.DUMMYFUNCTION((TRANSPOSE(ImportHTML("http://spending.data.al/sq/moneypower/view/id/300/year/2011", "table",2)))),"*Kategoria*")</f>
        <v>*Kategoria*</v>
      </c>
      <c r="D598" t="s">
        <v>2589</v>
      </c>
    </row>
    <row r="599" spans="2:11" ht="15">
      <c r="B599" s="7"/>
      <c r="C599" s="7" t="s">
        <v>686</v>
      </c>
    </row>
    <row r="600" spans="2:11" ht="15">
      <c r="B600" s="2">
        <v>301</v>
      </c>
      <c r="C600" s="7" t="str">
        <f ca="1">IFERROR(__xludf.DUMMYFUNCTION((TRANSPOSE(ImportHTML("http://spending.data.al/sq/moneypower/view/id/301/year/2011", "table",2)))),"*Kategoria*")</f>
        <v>*Kategoria*</v>
      </c>
      <c r="D600" t="s">
        <v>2589</v>
      </c>
    </row>
    <row r="601" spans="2:11" ht="15">
      <c r="B601" s="7"/>
      <c r="C601" s="7" t="s">
        <v>686</v>
      </c>
    </row>
    <row r="602" spans="2:11" ht="15">
      <c r="B602" s="2">
        <v>302</v>
      </c>
      <c r="C602" s="7" t="str">
        <f ca="1">IFERROR(__xludf.DUMMYFUNCTION((TRANSPOSE(ImportHTML("http://spending.data.al/sq/moneypower/view/id/302/year/2011", "table",2)))),"*Kategoria*")</f>
        <v>*Kategoria*</v>
      </c>
      <c r="D602" t="s">
        <v>2589</v>
      </c>
    </row>
    <row r="603" spans="2:11" ht="15">
      <c r="B603" s="7"/>
      <c r="C603" s="7" t="s">
        <v>686</v>
      </c>
    </row>
    <row r="604" spans="2:11" ht="15">
      <c r="B604" s="2">
        <v>303</v>
      </c>
      <c r="C604" s="7" t="str">
        <f ca="1">IFERROR(__xludf.DUMMYFUNCTION((TRANSPOSE(ImportHTML("http://spending.data.al/sq/moneypower/view/id/303/year/2011", "table",2)))),"*Kategoria*")</f>
        <v>*Kategoria*</v>
      </c>
      <c r="E604" t="s">
        <v>719</v>
      </c>
      <c r="F604" t="s">
        <v>720</v>
      </c>
      <c r="G604" t="s">
        <v>721</v>
      </c>
      <c r="H604" t="s">
        <v>722</v>
      </c>
      <c r="I604" t="s">
        <v>723</v>
      </c>
      <c r="J604" t="s">
        <v>724</v>
      </c>
      <c r="K604" t="s">
        <v>685</v>
      </c>
    </row>
    <row r="605" spans="2:11" ht="15">
      <c r="B605" s="7"/>
      <c r="C605" s="7" t="s">
        <v>686</v>
      </c>
      <c r="E605" t="s">
        <v>2659</v>
      </c>
      <c r="F605" t="s">
        <v>727</v>
      </c>
      <c r="G605" t="s">
        <v>2660</v>
      </c>
      <c r="H605" t="s">
        <v>727</v>
      </c>
      <c r="I605" t="s">
        <v>727</v>
      </c>
      <c r="J605" t="s">
        <v>727</v>
      </c>
      <c r="K605" t="s">
        <v>2661</v>
      </c>
    </row>
    <row r="606" spans="2:11" ht="15">
      <c r="B606" s="2">
        <v>304</v>
      </c>
      <c r="C606" s="7" t="str">
        <f ca="1">IFERROR(__xludf.DUMMYFUNCTION((TRANSPOSE(ImportHTML("http://spending.data.al/sq/moneypower/view/id/304/year/2011", "table",2)))),"*Kategoria*")</f>
        <v>*Kategoria*</v>
      </c>
      <c r="D606" t="s">
        <v>2589</v>
      </c>
    </row>
    <row r="607" spans="2:11" ht="15">
      <c r="B607" s="7"/>
      <c r="C607" s="7" t="s">
        <v>686</v>
      </c>
    </row>
    <row r="608" spans="2:11" ht="15">
      <c r="B608" s="2">
        <v>305</v>
      </c>
      <c r="C608" s="7" t="str">
        <f ca="1">IFERROR(__xludf.DUMMYFUNCTION((TRANSPOSE(ImportHTML("http://spending.data.al/sq/moneypower/view/id/305/year/2011", "table",2)))),"*Kategoria*")</f>
        <v>*Kategoria*</v>
      </c>
      <c r="E608" t="s">
        <v>719</v>
      </c>
      <c r="F608" t="s">
        <v>720</v>
      </c>
      <c r="G608" t="s">
        <v>721</v>
      </c>
      <c r="H608" t="s">
        <v>722</v>
      </c>
      <c r="I608" t="s">
        <v>723</v>
      </c>
      <c r="J608" t="s">
        <v>724</v>
      </c>
      <c r="K608" t="s">
        <v>685</v>
      </c>
    </row>
    <row r="609" spans="2:11" ht="15">
      <c r="B609" s="7"/>
      <c r="C609" s="7" t="s">
        <v>686</v>
      </c>
      <c r="E609" t="s">
        <v>2662</v>
      </c>
      <c r="F609" t="s">
        <v>2663</v>
      </c>
      <c r="G609" t="s">
        <v>727</v>
      </c>
      <c r="H609" t="s">
        <v>727</v>
      </c>
      <c r="I609" t="s">
        <v>2664</v>
      </c>
      <c r="J609" t="s">
        <v>727</v>
      </c>
      <c r="K609" t="s">
        <v>2665</v>
      </c>
    </row>
    <row r="610" spans="2:11" ht="15">
      <c r="B610" s="2">
        <v>306</v>
      </c>
      <c r="C610" s="7" t="str">
        <f ca="1">IFERROR(__xludf.DUMMYFUNCTION((TRANSPOSE(ImportHTML("http://spending.data.al/sq/moneypower/view/id/306/year/2011", "table",2)))),"*Kategoria*")</f>
        <v>*Kategoria*</v>
      </c>
      <c r="D610" t="s">
        <v>2589</v>
      </c>
    </row>
    <row r="611" spans="2:11" ht="15">
      <c r="B611" s="7"/>
      <c r="C611" s="7" t="s">
        <v>686</v>
      </c>
    </row>
    <row r="612" spans="2:11" ht="15">
      <c r="B612" s="2">
        <v>307</v>
      </c>
      <c r="C612" s="7" t="str">
        <f ca="1">IFERROR(__xludf.DUMMYFUNCTION((TRANSPOSE(ImportHTML("http://spending.data.al/sq/moneypower/view/id/307/year/2011", "table",2)))),"*Kategoria*")</f>
        <v>*Kategoria*</v>
      </c>
      <c r="E612" t="s">
        <v>719</v>
      </c>
      <c r="F612" t="s">
        <v>720</v>
      </c>
      <c r="G612" t="s">
        <v>721</v>
      </c>
      <c r="H612" t="s">
        <v>722</v>
      </c>
      <c r="I612" t="s">
        <v>723</v>
      </c>
      <c r="J612" t="s">
        <v>724</v>
      </c>
      <c r="K612" t="s">
        <v>685</v>
      </c>
    </row>
    <row r="613" spans="2:11" ht="15">
      <c r="B613" s="7"/>
      <c r="C613" s="7" t="s">
        <v>686</v>
      </c>
      <c r="E613" t="s">
        <v>2666</v>
      </c>
      <c r="F613" t="s">
        <v>2667</v>
      </c>
      <c r="G613" t="s">
        <v>2668</v>
      </c>
      <c r="H613" t="s">
        <v>2601</v>
      </c>
      <c r="I613" t="s">
        <v>2669</v>
      </c>
      <c r="J613" t="s">
        <v>2601</v>
      </c>
      <c r="K613" t="s">
        <v>2670</v>
      </c>
    </row>
    <row r="614" spans="2:11" ht="15">
      <c r="B614" s="2">
        <v>308</v>
      </c>
      <c r="C614" s="7" t="str">
        <f ca="1">IFERROR(__xludf.DUMMYFUNCTION((TRANSPOSE(ImportHTML("http://spending.data.al/sq/moneypower/view/id/308/year/2011", "table",2)))),"*Kategoria*")</f>
        <v>*Kategoria*</v>
      </c>
      <c r="D614" t="s">
        <v>2589</v>
      </c>
    </row>
    <row r="615" spans="2:11" ht="15">
      <c r="B615" s="7"/>
      <c r="C615" s="7" t="s">
        <v>686</v>
      </c>
    </row>
    <row r="616" spans="2:11" ht="15">
      <c r="B616" s="2">
        <v>309</v>
      </c>
      <c r="C616" s="7" t="str">
        <f ca="1">IFERROR(__xludf.DUMMYFUNCTION((TRANSPOSE(ImportHTML("http://spending.data.al/sq/moneypower/view/id/309/year/2011", "table",2)))),"*Kategoria*")</f>
        <v>*Kategoria*</v>
      </c>
      <c r="E616" t="s">
        <v>719</v>
      </c>
      <c r="F616" t="s">
        <v>720</v>
      </c>
      <c r="G616" t="s">
        <v>721</v>
      </c>
      <c r="H616" t="s">
        <v>722</v>
      </c>
      <c r="I616" t="s">
        <v>723</v>
      </c>
      <c r="J616" t="s">
        <v>724</v>
      </c>
      <c r="K616" t="s">
        <v>685</v>
      </c>
    </row>
    <row r="617" spans="2:11" ht="15">
      <c r="B617" s="7"/>
      <c r="C617" s="7" t="s">
        <v>686</v>
      </c>
      <c r="E617" t="s">
        <v>2671</v>
      </c>
      <c r="F617" t="s">
        <v>2672</v>
      </c>
      <c r="G617" t="s">
        <v>2673</v>
      </c>
      <c r="H617" t="s">
        <v>727</v>
      </c>
      <c r="I617" t="s">
        <v>2674</v>
      </c>
      <c r="J617" t="s">
        <v>727</v>
      </c>
      <c r="K617" t="s">
        <v>2675</v>
      </c>
    </row>
    <row r="618" spans="2:11" ht="15">
      <c r="B618" s="2">
        <v>310</v>
      </c>
      <c r="C618" s="7" t="str">
        <f ca="1">IFERROR(__xludf.DUMMYFUNCTION((TRANSPOSE(ImportHTML("http://spending.data.al/sq/moneypower/view/id/310/year/2011", "table",2)))),"*Kategoria*")</f>
        <v>*Kategoria*</v>
      </c>
      <c r="D618" t="s">
        <v>2589</v>
      </c>
    </row>
    <row r="619" spans="2:11" ht="15">
      <c r="B619" s="7"/>
      <c r="C619" s="7" t="s">
        <v>686</v>
      </c>
    </row>
    <row r="620" spans="2:11" ht="15">
      <c r="B620" s="2">
        <v>311</v>
      </c>
      <c r="C620" s="7" t="str">
        <f ca="1">IFERROR(__xludf.DUMMYFUNCTION((TRANSPOSE(ImportHTML("http://spending.data.al/sq/moneypower/view/id/311/year/2011", "table",2)))),"*Kategoria*")</f>
        <v>*Kategoria*</v>
      </c>
      <c r="E620" t="s">
        <v>719</v>
      </c>
      <c r="F620" t="s">
        <v>720</v>
      </c>
      <c r="G620" t="s">
        <v>721</v>
      </c>
      <c r="H620" t="s">
        <v>722</v>
      </c>
      <c r="I620" t="s">
        <v>723</v>
      </c>
      <c r="J620" t="s">
        <v>724</v>
      </c>
      <c r="K620" t="s">
        <v>685</v>
      </c>
    </row>
    <row r="621" spans="2:11" ht="15">
      <c r="B621" s="7"/>
      <c r="C621" s="7" t="s">
        <v>686</v>
      </c>
      <c r="E621" t="s">
        <v>2676</v>
      </c>
      <c r="F621" t="s">
        <v>2677</v>
      </c>
      <c r="G621" t="s">
        <v>727</v>
      </c>
      <c r="H621" t="s">
        <v>727</v>
      </c>
      <c r="I621" t="s">
        <v>727</v>
      </c>
      <c r="J621" t="s">
        <v>727</v>
      </c>
      <c r="K621" t="s">
        <v>2678</v>
      </c>
    </row>
    <row r="622" spans="2:11" ht="15">
      <c r="B622" s="2">
        <v>312</v>
      </c>
      <c r="C622" s="7" t="str">
        <f ca="1">IFERROR(__xludf.DUMMYFUNCTION((TRANSPOSE(ImportHTML("http://spending.data.al/sq/moneypower/view/id/312/year/2011", "table",2)))),"*Kategoria*")</f>
        <v>*Kategoria*</v>
      </c>
      <c r="E622" t="s">
        <v>719</v>
      </c>
      <c r="F622" t="s">
        <v>720</v>
      </c>
      <c r="G622" t="s">
        <v>721</v>
      </c>
      <c r="H622" t="s">
        <v>722</v>
      </c>
      <c r="I622" t="s">
        <v>723</v>
      </c>
      <c r="J622" t="s">
        <v>724</v>
      </c>
      <c r="K622" t="s">
        <v>685</v>
      </c>
    </row>
    <row r="623" spans="2:11" ht="15">
      <c r="B623" s="7"/>
      <c r="C623" s="7" t="s">
        <v>686</v>
      </c>
      <c r="E623" t="s">
        <v>2679</v>
      </c>
      <c r="F623" t="s">
        <v>2680</v>
      </c>
      <c r="G623" t="s">
        <v>2681</v>
      </c>
      <c r="H623" t="s">
        <v>2601</v>
      </c>
      <c r="I623" t="s">
        <v>2601</v>
      </c>
      <c r="J623" t="s">
        <v>2601</v>
      </c>
      <c r="K623" t="s">
        <v>2682</v>
      </c>
    </row>
    <row r="624" spans="2:11" ht="15">
      <c r="B624" s="2">
        <v>313</v>
      </c>
      <c r="C624" s="7" t="str">
        <f ca="1">IFERROR(__xludf.DUMMYFUNCTION((TRANSPOSE(ImportHTML("http://spending.data.al/sq/moneypower/view/id/313/year/2011", "table",2)))),"*Kategoria*")</f>
        <v>*Kategoria*</v>
      </c>
      <c r="E624" t="s">
        <v>719</v>
      </c>
      <c r="F624" t="s">
        <v>720</v>
      </c>
      <c r="G624" t="s">
        <v>721</v>
      </c>
      <c r="H624" t="s">
        <v>722</v>
      </c>
      <c r="I624" t="s">
        <v>723</v>
      </c>
      <c r="J624" t="s">
        <v>724</v>
      </c>
      <c r="K624" t="s">
        <v>685</v>
      </c>
    </row>
    <row r="625" spans="2:11" ht="15">
      <c r="B625" s="7"/>
      <c r="C625" s="7" t="s">
        <v>686</v>
      </c>
      <c r="E625" t="s">
        <v>2683</v>
      </c>
      <c r="F625" t="s">
        <v>2684</v>
      </c>
      <c r="G625" t="s">
        <v>2685</v>
      </c>
      <c r="H625" t="s">
        <v>727</v>
      </c>
      <c r="I625" t="s">
        <v>727</v>
      </c>
      <c r="J625" t="s">
        <v>727</v>
      </c>
      <c r="K625" t="s">
        <v>2686</v>
      </c>
    </row>
    <row r="626" spans="2:11" ht="15">
      <c r="B626" s="2">
        <v>314</v>
      </c>
      <c r="C626" s="7" t="str">
        <f ca="1">IFERROR(__xludf.DUMMYFUNCTION((TRANSPOSE(ImportHTML("http://spending.data.al/sq/moneypower/view/id/314/year/2011", "table",2)))),"*Kategoria*")</f>
        <v>*Kategoria*</v>
      </c>
      <c r="D626" t="s">
        <v>2589</v>
      </c>
    </row>
    <row r="627" spans="2:11" ht="15">
      <c r="B627" s="7"/>
      <c r="C627" s="7" t="s">
        <v>686</v>
      </c>
    </row>
    <row r="628" spans="2:11" ht="15">
      <c r="B628" s="2">
        <v>315</v>
      </c>
      <c r="C628" s="7" t="str">
        <f ca="1">IFERROR(__xludf.DUMMYFUNCTION((TRANSPOSE(ImportHTML("http://spending.data.al/sq/moneypower/view/id/315/year/2011", "table",2)))),"*Kategoria*")</f>
        <v>*Kategoria*</v>
      </c>
      <c r="D628" t="s">
        <v>2589</v>
      </c>
    </row>
    <row r="629" spans="2:11" ht="15">
      <c r="B629" s="7"/>
      <c r="C629" s="7" t="s">
        <v>686</v>
      </c>
    </row>
    <row r="630" spans="2:11" ht="15">
      <c r="B630" s="2">
        <v>316</v>
      </c>
      <c r="C630" s="7" t="str">
        <f ca="1">IFERROR(__xludf.DUMMYFUNCTION((TRANSPOSE(ImportHTML("http://spending.data.al/sq/moneypower/view/id/316/year/2011", "table",2)))),"*Kategoria*")</f>
        <v>*Kategoria*</v>
      </c>
      <c r="D630" t="s">
        <v>2589</v>
      </c>
    </row>
    <row r="631" spans="2:11" ht="15">
      <c r="B631" s="7"/>
      <c r="C631" s="7" t="s">
        <v>686</v>
      </c>
    </row>
    <row r="632" spans="2:11" ht="15">
      <c r="B632" s="2">
        <v>317</v>
      </c>
      <c r="C632" s="7" t="str">
        <f ca="1">IFERROR(__xludf.DUMMYFUNCTION((TRANSPOSE(ImportHTML("http://spending.data.al/sq/moneypower/view/id/317/year/2011", "table",2)))),"*Kategoria*")</f>
        <v>*Kategoria*</v>
      </c>
      <c r="E632" t="s">
        <v>719</v>
      </c>
      <c r="F632" t="s">
        <v>720</v>
      </c>
      <c r="G632" t="s">
        <v>721</v>
      </c>
      <c r="H632" t="s">
        <v>722</v>
      </c>
      <c r="I632" t="s">
        <v>723</v>
      </c>
      <c r="J632" t="s">
        <v>724</v>
      </c>
      <c r="K632" t="s">
        <v>685</v>
      </c>
    </row>
    <row r="633" spans="2:11" ht="15">
      <c r="B633" s="7"/>
      <c r="C633" s="7" t="s">
        <v>686</v>
      </c>
      <c r="E633" t="s">
        <v>727</v>
      </c>
      <c r="F633" t="s">
        <v>2687</v>
      </c>
      <c r="G633" t="s">
        <v>2688</v>
      </c>
      <c r="H633" t="s">
        <v>727</v>
      </c>
      <c r="I633" t="s">
        <v>727</v>
      </c>
      <c r="J633" t="s">
        <v>727</v>
      </c>
      <c r="K633" t="s">
        <v>2689</v>
      </c>
    </row>
    <row r="634" spans="2:11" ht="15">
      <c r="B634" s="2">
        <v>318</v>
      </c>
      <c r="C634" s="7" t="str">
        <f ca="1">IFERROR(__xludf.DUMMYFUNCTION((TRANSPOSE(ImportHTML("http://spending.data.al/sq/moneypower/view/id/318/year/2011", "table",2)))),"*Kategoria*")</f>
        <v>*Kategoria*</v>
      </c>
      <c r="E634" t="s">
        <v>719</v>
      </c>
      <c r="F634" t="s">
        <v>720</v>
      </c>
      <c r="G634" t="s">
        <v>721</v>
      </c>
      <c r="H634" t="s">
        <v>722</v>
      </c>
      <c r="I634" t="s">
        <v>723</v>
      </c>
      <c r="J634" t="s">
        <v>724</v>
      </c>
      <c r="K634" t="s">
        <v>685</v>
      </c>
    </row>
    <row r="635" spans="2:11" ht="15">
      <c r="B635" s="7"/>
      <c r="C635" s="7" t="s">
        <v>686</v>
      </c>
      <c r="E635" t="s">
        <v>2690</v>
      </c>
      <c r="F635" t="s">
        <v>2691</v>
      </c>
      <c r="G635" t="s">
        <v>2692</v>
      </c>
      <c r="H635" t="s">
        <v>2693</v>
      </c>
      <c r="I635" t="s">
        <v>2601</v>
      </c>
      <c r="J635" t="s">
        <v>2601</v>
      </c>
      <c r="K635" t="s">
        <v>2694</v>
      </c>
    </row>
    <row r="636" spans="2:11" ht="15">
      <c r="B636" s="2">
        <v>319</v>
      </c>
      <c r="C636" s="7" t="str">
        <f ca="1">IFERROR(__xludf.DUMMYFUNCTION((TRANSPOSE(ImportHTML("http://spending.data.al/sq/moneypower/view/id/319/year/2011", "table",2)))),"*Kategoria*")</f>
        <v>*Kategoria*</v>
      </c>
      <c r="D636" t="s">
        <v>2589</v>
      </c>
    </row>
    <row r="637" spans="2:11" ht="15">
      <c r="B637" s="7"/>
      <c r="C637" s="7" t="s">
        <v>686</v>
      </c>
    </row>
    <row r="638" spans="2:11" ht="15">
      <c r="B638" s="2">
        <v>320</v>
      </c>
      <c r="C638" s="7" t="str">
        <f ca="1">IFERROR(__xludf.DUMMYFUNCTION((TRANSPOSE(ImportHTML("http://spending.data.al/sq/moneypower/view/id/320/year/2011", "table",2)))),"*Kategoria*")</f>
        <v>*Kategoria*</v>
      </c>
      <c r="D638" t="s">
        <v>2589</v>
      </c>
    </row>
    <row r="639" spans="2:11" ht="15">
      <c r="B639" s="7"/>
      <c r="C639" s="7" t="s">
        <v>686</v>
      </c>
    </row>
    <row r="640" spans="2:11" ht="15">
      <c r="B640" s="2">
        <v>321</v>
      </c>
      <c r="C640" s="7" t="str">
        <f ca="1">IFERROR(__xludf.DUMMYFUNCTION((TRANSPOSE(ImportHTML("http://spending.data.al/sq/moneypower/view/id/321/year/2011", "table",2)))),"*Kategoria*")</f>
        <v>*Kategoria*</v>
      </c>
      <c r="D640" t="s">
        <v>2589</v>
      </c>
    </row>
    <row r="641" spans="2:4" ht="15">
      <c r="B641" s="7"/>
      <c r="C641" s="7" t="s">
        <v>686</v>
      </c>
    </row>
    <row r="642" spans="2:4" ht="15">
      <c r="B642" s="2">
        <v>322</v>
      </c>
      <c r="C642" s="7" t="str">
        <f ca="1">IFERROR(__xludf.DUMMYFUNCTION((TRANSPOSE(ImportHTML("http://spending.data.al/sq/moneypower/view/id/322/year/2011", "table",2)))),"*Kategoria*")</f>
        <v>*Kategoria*</v>
      </c>
      <c r="D642" t="s">
        <v>2589</v>
      </c>
    </row>
    <row r="643" spans="2:4" ht="15">
      <c r="B643" s="7"/>
      <c r="C643" s="7" t="s">
        <v>686</v>
      </c>
    </row>
    <row r="644" spans="2:4" ht="15">
      <c r="B644" s="2">
        <v>323</v>
      </c>
      <c r="C644" s="7" t="str">
        <f ca="1">IFERROR(__xludf.DUMMYFUNCTION((TRANSPOSE(ImportHTML("http://spending.data.al/sq/moneypower/view/id/323/year/2011", "table",2)))),"*Kategoria*")</f>
        <v>*Kategoria*</v>
      </c>
      <c r="D644" t="s">
        <v>2589</v>
      </c>
    </row>
    <row r="645" spans="2:4" ht="15">
      <c r="B645" s="7"/>
      <c r="C645" s="7" t="s">
        <v>686</v>
      </c>
    </row>
    <row r="646" spans="2:4" ht="15">
      <c r="B646" s="2">
        <v>324</v>
      </c>
      <c r="C646" s="7" t="str">
        <f ca="1">IFERROR(__xludf.DUMMYFUNCTION((TRANSPOSE(ImportHTML("http://spending.data.al/sq/moneypower/view/id/324/year/2011", "table",2)))),"*Kategoria*")</f>
        <v>*Kategoria*</v>
      </c>
      <c r="D646" t="s">
        <v>2589</v>
      </c>
    </row>
    <row r="647" spans="2:4" ht="15">
      <c r="B647" s="7"/>
      <c r="C647" s="7" t="s">
        <v>686</v>
      </c>
    </row>
    <row r="648" spans="2:4" ht="15">
      <c r="B648" s="2">
        <v>325</v>
      </c>
      <c r="C648" s="7" t="str">
        <f ca="1">IFERROR(__xludf.DUMMYFUNCTION((TRANSPOSE(ImportHTML("http://spending.data.al/sq/moneypower/view/id/325/year/2011", "table",2)))),"*Kategoria*")</f>
        <v>*Kategoria*</v>
      </c>
      <c r="D648" t="s">
        <v>2589</v>
      </c>
    </row>
    <row r="649" spans="2:4" ht="15">
      <c r="B649" s="7"/>
      <c r="C649" s="7" t="s">
        <v>686</v>
      </c>
    </row>
    <row r="650" spans="2:4" ht="15">
      <c r="B650" s="2">
        <v>326</v>
      </c>
      <c r="C650" s="7" t="str">
        <f ca="1">IFERROR(__xludf.DUMMYFUNCTION((TRANSPOSE(ImportHTML("http://spending.data.al/sq/moneypower/view/id/326/year/2011", "table",2)))),"*Kategoria*")</f>
        <v>*Kategoria*</v>
      </c>
      <c r="D650" t="s">
        <v>2589</v>
      </c>
    </row>
    <row r="651" spans="2:4" ht="15">
      <c r="B651" s="7"/>
      <c r="C651" s="7" t="s">
        <v>686</v>
      </c>
    </row>
    <row r="652" spans="2:4" ht="15">
      <c r="B652" s="1">
        <v>327</v>
      </c>
      <c r="C652" s="7" t="str">
        <f ca="1">IFERROR(__xludf.DUMMYFUNCTION((TRANSPOSE(ImportHTML("http://spending.data.al/sq/moneypower/view/id/327/year/2011", "table",2)))),"*Kategoria*")</f>
        <v>*Kategoria*</v>
      </c>
      <c r="D652" t="s">
        <v>2589</v>
      </c>
    </row>
    <row r="653" spans="2:4" ht="15.75" customHeight="1">
      <c r="C653" t="s">
        <v>686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54"/>
  <sheetViews>
    <sheetView workbookViewId="0">
      <selection activeCell="E56" sqref="E56"/>
    </sheetView>
  </sheetViews>
  <sheetFormatPr defaultColWidth="14.42578125" defaultRowHeight="15.75" customHeight="1"/>
  <cols>
    <col min="5" max="5" width="41.85546875" customWidth="1"/>
    <col min="6" max="6" width="44.5703125" customWidth="1"/>
  </cols>
  <sheetData>
    <row r="1" spans="2:11" ht="15">
      <c r="B1" s="1">
        <v>1</v>
      </c>
      <c r="C1" t="str">
        <f ca="1">IFERROR(__xludf.DUMMYFUNCTION((TRANSPOSE(ImportHTML("http://spending.data.al/sq/moneypower/view/id/1/year/2011", "table",2)))),"*Kategoria*")</f>
        <v>*Kategoria*</v>
      </c>
      <c r="E1" t="s">
        <v>719</v>
      </c>
      <c r="F1" t="s">
        <v>720</v>
      </c>
      <c r="G1" t="s">
        <v>721</v>
      </c>
      <c r="H1" t="s">
        <v>722</v>
      </c>
      <c r="I1" t="s">
        <v>723</v>
      </c>
      <c r="J1" t="s">
        <v>724</v>
      </c>
      <c r="K1" t="s">
        <v>685</v>
      </c>
    </row>
    <row r="2" spans="2:11" ht="15">
      <c r="B2" s="7"/>
      <c r="C2" t="s">
        <v>686</v>
      </c>
      <c r="E2" t="s">
        <v>725</v>
      </c>
      <c r="F2" t="s">
        <v>726</v>
      </c>
      <c r="G2" t="s">
        <v>727</v>
      </c>
      <c r="H2" t="s">
        <v>728</v>
      </c>
      <c r="I2" t="s">
        <v>727</v>
      </c>
      <c r="J2" t="s">
        <v>707</v>
      </c>
      <c r="K2" t="s">
        <v>707</v>
      </c>
    </row>
    <row r="3" spans="2:11" ht="15">
      <c r="B3" s="1">
        <v>2</v>
      </c>
      <c r="C3" t="str">
        <f ca="1">IFERROR(__xludf.DUMMYFUNCTION((TRANSPOSE(ImportHTML("http://spending.data.al/sq/moneypower/view/id/2/year/2011", "table",2)))),"*Kategoria*")</f>
        <v>*Kategoria*</v>
      </c>
      <c r="D3" t="s">
        <v>2589</v>
      </c>
    </row>
    <row r="4" spans="2:11" ht="15">
      <c r="B4" s="7"/>
      <c r="C4" t="s">
        <v>686</v>
      </c>
    </row>
    <row r="5" spans="2:11" ht="15">
      <c r="B5" s="1">
        <v>3</v>
      </c>
      <c r="C5" t="str">
        <f ca="1">IFERROR(__xludf.DUMMYFUNCTION((TRANSPOSE(ImportHTML("http://spending.data.al/sq/moneypower/view/id/3/year/2011", "table",2)))),"*Kategoria*")</f>
        <v>*Kategoria*</v>
      </c>
      <c r="E5" t="s">
        <v>719</v>
      </c>
      <c r="F5" t="s">
        <v>720</v>
      </c>
      <c r="G5" t="s">
        <v>721</v>
      </c>
      <c r="H5" t="s">
        <v>722</v>
      </c>
      <c r="I5" t="s">
        <v>723</v>
      </c>
      <c r="J5" t="s">
        <v>724</v>
      </c>
      <c r="K5" t="s">
        <v>685</v>
      </c>
    </row>
    <row r="6" spans="2:11" ht="15">
      <c r="B6" s="7"/>
      <c r="C6" t="s">
        <v>686</v>
      </c>
      <c r="E6" t="s">
        <v>2695</v>
      </c>
      <c r="F6" t="s">
        <v>2696</v>
      </c>
      <c r="G6" t="s">
        <v>2697</v>
      </c>
      <c r="H6" t="s">
        <v>727</v>
      </c>
      <c r="I6" t="s">
        <v>727</v>
      </c>
      <c r="J6" t="s">
        <v>707</v>
      </c>
      <c r="K6" t="s">
        <v>707</v>
      </c>
    </row>
    <row r="7" spans="2:11" ht="15">
      <c r="B7" s="1">
        <v>4</v>
      </c>
      <c r="C7" t="str">
        <f ca="1">IFERROR(__xludf.DUMMYFUNCTION((TRANSPOSE(ImportHTML("http://spending.data.al/sq/moneypower/view/id/4/year/2011", "table",2)))),"*Kategoria*")</f>
        <v>*Kategoria*</v>
      </c>
      <c r="D7" t="s">
        <v>2589</v>
      </c>
    </row>
    <row r="8" spans="2:11" ht="15">
      <c r="B8" s="7"/>
      <c r="C8" t="s">
        <v>686</v>
      </c>
    </row>
    <row r="9" spans="2:11" ht="15">
      <c r="B9" s="1">
        <v>5</v>
      </c>
      <c r="C9" t="str">
        <f ca="1">IFERROR(__xludf.DUMMYFUNCTION((TRANSPOSE(ImportHTML("http://spending.data.al/sq/moneypower/view/id/5/year/2011", "table",2)))),"*Kategoria*")</f>
        <v>*Kategoria*</v>
      </c>
      <c r="D9" t="s">
        <v>2589</v>
      </c>
    </row>
    <row r="10" spans="2:11" ht="15">
      <c r="B10" s="7"/>
      <c r="C10" t="s">
        <v>686</v>
      </c>
    </row>
    <row r="11" spans="2:11" ht="15">
      <c r="B11" s="1">
        <v>6</v>
      </c>
      <c r="C11" t="str">
        <f ca="1">IFERROR(__xludf.DUMMYFUNCTION((TRANSPOSE(ImportHTML("http://spending.data.al/sq/moneypower/view/id/6/year/2011", "table",2)))),"*Kategoria*")</f>
        <v>*Kategoria*</v>
      </c>
      <c r="E11" t="s">
        <v>719</v>
      </c>
      <c r="F11" t="s">
        <v>720</v>
      </c>
      <c r="G11" t="s">
        <v>721</v>
      </c>
      <c r="H11" t="s">
        <v>722</v>
      </c>
      <c r="I11" t="s">
        <v>723</v>
      </c>
      <c r="J11" t="s">
        <v>724</v>
      </c>
      <c r="K11" t="s">
        <v>685</v>
      </c>
    </row>
    <row r="12" spans="2:11" ht="15">
      <c r="B12" s="7"/>
      <c r="C12" t="s">
        <v>686</v>
      </c>
      <c r="E12" t="s">
        <v>2698</v>
      </c>
      <c r="F12" t="s">
        <v>2699</v>
      </c>
      <c r="G12" t="s">
        <v>727</v>
      </c>
      <c r="H12" t="s">
        <v>727</v>
      </c>
      <c r="I12" t="s">
        <v>727</v>
      </c>
      <c r="J12" t="s">
        <v>2700</v>
      </c>
      <c r="K12" t="s">
        <v>727</v>
      </c>
    </row>
    <row r="13" spans="2:11" ht="15">
      <c r="B13" s="1">
        <v>7</v>
      </c>
      <c r="C13" t="str">
        <f ca="1">IFERROR(__xludf.DUMMYFUNCTION((TRANSPOSE(ImportHTML("http://spending.data.al/sq/moneypower/view/id/7/year/2011", "table",2)))),"*Kategoria*")</f>
        <v>*Kategoria*</v>
      </c>
      <c r="D13" t="s">
        <v>2589</v>
      </c>
    </row>
    <row r="14" spans="2:11" ht="15">
      <c r="B14" s="7"/>
      <c r="C14" t="s">
        <v>686</v>
      </c>
    </row>
    <row r="15" spans="2:11" ht="15">
      <c r="B15" s="1">
        <v>8</v>
      </c>
      <c r="C15" t="str">
        <f ca="1">IFERROR(__xludf.DUMMYFUNCTION((TRANSPOSE(ImportHTML("http://spending.data.al/sq/moneypower/view/id/8/year/2011", "table",2)))),"*Kategoria*")</f>
        <v>*Kategoria*</v>
      </c>
      <c r="D15" t="s">
        <v>2589</v>
      </c>
    </row>
    <row r="16" spans="2:11" ht="15">
      <c r="B16" s="7"/>
      <c r="C16" t="s">
        <v>686</v>
      </c>
    </row>
    <row r="17" spans="2:11" ht="15">
      <c r="B17" s="1">
        <v>9</v>
      </c>
      <c r="C17" t="str">
        <f ca="1">IFERROR(__xludf.DUMMYFUNCTION((TRANSPOSE(ImportHTML("http://spending.data.al/sq/moneypower/view/id/9/year/2011", "table",2)))),"*Kategoria*")</f>
        <v>*Kategoria*</v>
      </c>
      <c r="E17" t="s">
        <v>719</v>
      </c>
      <c r="F17" t="s">
        <v>720</v>
      </c>
      <c r="G17" t="s">
        <v>721</v>
      </c>
      <c r="H17" t="s">
        <v>722</v>
      </c>
      <c r="I17" t="s">
        <v>723</v>
      </c>
      <c r="J17" t="s">
        <v>724</v>
      </c>
      <c r="K17" t="s">
        <v>685</v>
      </c>
    </row>
    <row r="18" spans="2:11" ht="15">
      <c r="B18" s="7"/>
      <c r="C18" t="s">
        <v>686</v>
      </c>
      <c r="E18" t="s">
        <v>2701</v>
      </c>
      <c r="F18" t="s">
        <v>2702</v>
      </c>
      <c r="G18" t="s">
        <v>2703</v>
      </c>
      <c r="H18" t="s">
        <v>727</v>
      </c>
      <c r="I18" t="s">
        <v>727</v>
      </c>
      <c r="J18" t="s">
        <v>727</v>
      </c>
      <c r="K18" t="s">
        <v>707</v>
      </c>
    </row>
    <row r="19" spans="2:11" ht="15">
      <c r="B19" s="1">
        <v>10</v>
      </c>
      <c r="C19" t="str">
        <f ca="1">IFERROR(__xludf.DUMMYFUNCTION((TRANSPOSE(ImportHTML("http://spending.data.al/sq/moneypower/view/id/10/year/2011", "table",2)))),"*Kategoria*")</f>
        <v>*Kategoria*</v>
      </c>
      <c r="D19" t="s">
        <v>2589</v>
      </c>
    </row>
    <row r="20" spans="2:11" ht="15">
      <c r="B20" s="7"/>
      <c r="C20" t="s">
        <v>686</v>
      </c>
    </row>
    <row r="21" spans="2:11" ht="15">
      <c r="B21" s="1">
        <v>11</v>
      </c>
      <c r="C21" t="str">
        <f ca="1">IFERROR(__xludf.DUMMYFUNCTION((TRANSPOSE(ImportHTML("http://spending.data.al/sq/moneypower/view/id/11/year/2011", "table",2)))),"*Kategoria*")</f>
        <v>*Kategoria*</v>
      </c>
      <c r="E21" t="s">
        <v>719</v>
      </c>
      <c r="F21" t="s">
        <v>720</v>
      </c>
      <c r="G21" t="s">
        <v>721</v>
      </c>
      <c r="H21" t="s">
        <v>722</v>
      </c>
      <c r="I21" t="s">
        <v>723</v>
      </c>
      <c r="J21" t="s">
        <v>724</v>
      </c>
      <c r="K21" t="s">
        <v>685</v>
      </c>
    </row>
    <row r="22" spans="2:11" ht="15">
      <c r="B22" s="7"/>
      <c r="C22" t="s">
        <v>686</v>
      </c>
      <c r="E22" t="s">
        <v>2704</v>
      </c>
      <c r="F22" t="s">
        <v>2705</v>
      </c>
      <c r="G22" t="s">
        <v>727</v>
      </c>
      <c r="H22" t="s">
        <v>727</v>
      </c>
      <c r="I22" t="s">
        <v>727</v>
      </c>
      <c r="J22" t="s">
        <v>727</v>
      </c>
      <c r="K22" t="s">
        <v>2706</v>
      </c>
    </row>
    <row r="23" spans="2:11" ht="15">
      <c r="B23" s="1">
        <v>12</v>
      </c>
      <c r="C23" t="str">
        <f ca="1">IFERROR(__xludf.DUMMYFUNCTION((TRANSPOSE(ImportHTML("http://spending.data.al/sq/moneypower/view/id/12/year/2011", "table",2)))),"*Kategoria*")</f>
        <v>*Kategoria*</v>
      </c>
      <c r="D23" t="s">
        <v>2589</v>
      </c>
    </row>
    <row r="24" spans="2:11" ht="15">
      <c r="B24" s="7"/>
      <c r="C24" t="s">
        <v>686</v>
      </c>
    </row>
    <row r="25" spans="2:11" ht="15">
      <c r="B25" s="1">
        <v>13</v>
      </c>
      <c r="C25" t="str">
        <f ca="1">IFERROR(__xludf.DUMMYFUNCTION((TRANSPOSE(ImportHTML("http://spending.data.al/sq/moneypower/view/id/13/year/2011", "table",2)))),"*Kategoria*")</f>
        <v>*Kategoria*</v>
      </c>
      <c r="D25" t="s">
        <v>2589</v>
      </c>
    </row>
    <row r="26" spans="2:11" ht="15">
      <c r="B26" s="7"/>
      <c r="C26" t="s">
        <v>686</v>
      </c>
    </row>
    <row r="27" spans="2:11" ht="15">
      <c r="B27" s="1">
        <v>14</v>
      </c>
      <c r="C27" t="str">
        <f ca="1">IFERROR(__xludf.DUMMYFUNCTION((TRANSPOSE(ImportHTML("http://spending.data.al/sq/moneypower/view/id/14/year/2011", "table",2)))),"*Kategoria*")</f>
        <v>*Kategoria*</v>
      </c>
      <c r="E27" t="s">
        <v>719</v>
      </c>
      <c r="F27" t="s">
        <v>720</v>
      </c>
      <c r="G27" t="s">
        <v>721</v>
      </c>
      <c r="H27" t="s">
        <v>722</v>
      </c>
      <c r="I27" t="s">
        <v>723</v>
      </c>
      <c r="J27" t="s">
        <v>724</v>
      </c>
      <c r="K27" t="s">
        <v>685</v>
      </c>
    </row>
    <row r="28" spans="2:11" ht="15">
      <c r="B28" s="7"/>
      <c r="C28" t="s">
        <v>686</v>
      </c>
      <c r="E28" t="s">
        <v>2707</v>
      </c>
      <c r="F28" t="s">
        <v>2708</v>
      </c>
      <c r="G28" t="s">
        <v>727</v>
      </c>
      <c r="H28" t="s">
        <v>727</v>
      </c>
      <c r="I28" t="s">
        <v>727</v>
      </c>
      <c r="J28" t="s">
        <v>727</v>
      </c>
      <c r="K28" t="s">
        <v>2709</v>
      </c>
    </row>
    <row r="29" spans="2:11" ht="15">
      <c r="B29" s="1">
        <v>15</v>
      </c>
      <c r="C29" t="str">
        <f ca="1">IFERROR(__xludf.DUMMYFUNCTION((TRANSPOSE(ImportHTML("http://spending.data.al/sq/moneypower/view/id/15/year/2011", "table",2)))),"*Kategoria*")</f>
        <v>*Kategoria*</v>
      </c>
      <c r="D29" t="s">
        <v>2589</v>
      </c>
    </row>
    <row r="30" spans="2:11" ht="15">
      <c r="B30" s="7"/>
      <c r="C30" t="s">
        <v>686</v>
      </c>
    </row>
    <row r="31" spans="2:11" ht="15">
      <c r="B31" s="1">
        <v>16</v>
      </c>
      <c r="C31" t="str">
        <f ca="1">IFERROR(__xludf.DUMMYFUNCTION((TRANSPOSE(ImportHTML("http://spending.data.al/sq/moneypower/view/id/16/year/2011", "table",2)))),"*Kategoria*")</f>
        <v>*Kategoria*</v>
      </c>
      <c r="D31" t="s">
        <v>2589</v>
      </c>
    </row>
    <row r="32" spans="2:11" ht="15">
      <c r="B32" s="7"/>
      <c r="C32" t="s">
        <v>686</v>
      </c>
    </row>
    <row r="33" spans="2:11" ht="15">
      <c r="B33" s="1">
        <v>17</v>
      </c>
      <c r="C33" t="str">
        <f ca="1">IFERROR(__xludf.DUMMYFUNCTION((TRANSPOSE(ImportHTML("http://spending.data.al/sq/moneypower/view/id/17/year/2011", "table",2)))),"*Kategoria*")</f>
        <v>*Kategoria*</v>
      </c>
      <c r="E33" t="s">
        <v>719</v>
      </c>
      <c r="F33" t="s">
        <v>720</v>
      </c>
      <c r="G33" t="s">
        <v>721</v>
      </c>
      <c r="H33" t="s">
        <v>722</v>
      </c>
      <c r="I33" t="s">
        <v>723</v>
      </c>
      <c r="J33" t="s">
        <v>724</v>
      </c>
      <c r="K33" t="s">
        <v>685</v>
      </c>
    </row>
    <row r="34" spans="2:11" ht="15">
      <c r="B34" s="7"/>
      <c r="C34" t="s">
        <v>686</v>
      </c>
      <c r="E34" t="s">
        <v>2710</v>
      </c>
      <c r="F34" t="s">
        <v>2711</v>
      </c>
      <c r="G34" t="s">
        <v>727</v>
      </c>
      <c r="H34" t="s">
        <v>727</v>
      </c>
      <c r="I34" t="s">
        <v>727</v>
      </c>
      <c r="J34" t="s">
        <v>727</v>
      </c>
      <c r="K34" t="s">
        <v>707</v>
      </c>
    </row>
    <row r="35" spans="2:11" ht="15">
      <c r="B35" s="1">
        <v>18</v>
      </c>
      <c r="C35" t="str">
        <f ca="1">IFERROR(__xludf.DUMMYFUNCTION((TRANSPOSE(ImportHTML("http://spending.data.al/sq/moneypower/view/id/18/year/2011", "table",2)))),"*Kategoria*")</f>
        <v>*Kategoria*</v>
      </c>
      <c r="D35" t="s">
        <v>2589</v>
      </c>
    </row>
    <row r="36" spans="2:11" ht="15">
      <c r="B36" s="7"/>
      <c r="C36" t="s">
        <v>686</v>
      </c>
    </row>
    <row r="37" spans="2:11" ht="15">
      <c r="B37" s="1">
        <v>19</v>
      </c>
      <c r="C37" t="str">
        <f ca="1">IFERROR(__xludf.DUMMYFUNCTION((TRANSPOSE(ImportHTML("http://spending.data.al/sq/moneypower/view/id/19/year/2011", "table",2)))),"*Kategoria*")</f>
        <v>*Kategoria*</v>
      </c>
      <c r="D37" t="s">
        <v>2589</v>
      </c>
    </row>
    <row r="38" spans="2:11" ht="15">
      <c r="B38" s="7"/>
      <c r="C38" t="s">
        <v>686</v>
      </c>
    </row>
    <row r="39" spans="2:11" ht="15">
      <c r="B39" s="1">
        <v>20</v>
      </c>
      <c r="C39" t="str">
        <f ca="1">IFERROR(__xludf.DUMMYFUNCTION((TRANSPOSE(ImportHTML("http://spending.data.al/sq/moneypower/view/id/20/year/2011", "table",2)))),"*Kategoria*")</f>
        <v>*Kategoria*</v>
      </c>
      <c r="E39" t="s">
        <v>719</v>
      </c>
      <c r="F39" t="s">
        <v>720</v>
      </c>
      <c r="G39" t="s">
        <v>721</v>
      </c>
      <c r="H39" t="s">
        <v>722</v>
      </c>
      <c r="I39" t="s">
        <v>723</v>
      </c>
      <c r="J39" t="s">
        <v>724</v>
      </c>
      <c r="K39" t="s">
        <v>685</v>
      </c>
    </row>
    <row r="40" spans="2:11" ht="15">
      <c r="B40" s="7"/>
      <c r="C40" t="s">
        <v>686</v>
      </c>
      <c r="E40" t="s">
        <v>2712</v>
      </c>
      <c r="F40" t="s">
        <v>2713</v>
      </c>
      <c r="G40" t="s">
        <v>2714</v>
      </c>
      <c r="H40" t="s">
        <v>727</v>
      </c>
      <c r="I40" t="s">
        <v>2715</v>
      </c>
      <c r="J40" t="s">
        <v>727</v>
      </c>
      <c r="K40" t="s">
        <v>707</v>
      </c>
    </row>
    <row r="41" spans="2:11" ht="15">
      <c r="B41" s="1">
        <v>21</v>
      </c>
      <c r="C41" t="str">
        <f ca="1">IFERROR(__xludf.DUMMYFUNCTION((TRANSPOSE(ImportHTML("http://spending.data.al/sq/moneypower/view/id/21/year/2011", "table",2)))),"*Kategoria*")</f>
        <v>*Kategoria*</v>
      </c>
      <c r="D41" t="s">
        <v>2589</v>
      </c>
    </row>
    <row r="42" spans="2:11" ht="15">
      <c r="B42" s="7"/>
      <c r="C42" t="s">
        <v>686</v>
      </c>
    </row>
    <row r="43" spans="2:11" ht="15">
      <c r="B43" s="1">
        <v>22</v>
      </c>
      <c r="C43" t="str">
        <f ca="1">IFERROR(__xludf.DUMMYFUNCTION((TRANSPOSE(ImportHTML("http://spending.data.al/sq/moneypower/view/id/22/year/2011", "table",2)))),"*Kategoria*")</f>
        <v>*Kategoria*</v>
      </c>
      <c r="D43" t="s">
        <v>2589</v>
      </c>
    </row>
    <row r="44" spans="2:11" ht="15">
      <c r="B44" s="7"/>
      <c r="C44" t="s">
        <v>686</v>
      </c>
    </row>
    <row r="45" spans="2:11" ht="15">
      <c r="B45" s="1">
        <v>23</v>
      </c>
      <c r="C45" t="str">
        <f ca="1">IFERROR(__xludf.DUMMYFUNCTION((TRANSPOSE(ImportHTML("http://spending.data.al/sq/moneypower/view/id/23/year/2011", "table",2)))),"*Kategoria*")</f>
        <v>*Kategoria*</v>
      </c>
      <c r="D45" t="s">
        <v>2589</v>
      </c>
    </row>
    <row r="46" spans="2:11" ht="15">
      <c r="B46" s="7"/>
      <c r="C46" t="s">
        <v>686</v>
      </c>
    </row>
    <row r="47" spans="2:11" ht="15">
      <c r="B47" s="1">
        <v>24</v>
      </c>
      <c r="C47" t="str">
        <f ca="1">IFERROR(__xludf.DUMMYFUNCTION((TRANSPOSE(ImportHTML("http://spending.data.al/sq/moneypower/view/id/24/year/2011", "table",2)))),"*Kategoria*")</f>
        <v>*Kategoria*</v>
      </c>
      <c r="D47" t="s">
        <v>2589</v>
      </c>
    </row>
    <row r="48" spans="2:11" ht="15">
      <c r="B48" s="7"/>
      <c r="C48" t="s">
        <v>686</v>
      </c>
    </row>
    <row r="49" spans="2:11" ht="15">
      <c r="B49" s="1">
        <v>25</v>
      </c>
      <c r="C49" t="str">
        <f ca="1">IFERROR(__xludf.DUMMYFUNCTION((TRANSPOSE(ImportHTML("http://spending.data.al/sq/moneypower/view/id/25/year/2011", "table",2)))),"*Kategoria*")</f>
        <v>*Kategoria*</v>
      </c>
      <c r="E49" t="s">
        <v>719</v>
      </c>
      <c r="F49" t="s">
        <v>720</v>
      </c>
      <c r="G49" t="s">
        <v>721</v>
      </c>
      <c r="H49" t="s">
        <v>722</v>
      </c>
      <c r="I49" t="s">
        <v>723</v>
      </c>
      <c r="J49" t="s">
        <v>724</v>
      </c>
      <c r="K49" t="s">
        <v>685</v>
      </c>
    </row>
    <row r="50" spans="2:11" ht="15">
      <c r="B50" s="7"/>
      <c r="C50" t="s">
        <v>686</v>
      </c>
      <c r="E50" t="s">
        <v>2716</v>
      </c>
      <c r="F50" t="s">
        <v>2717</v>
      </c>
      <c r="G50" t="s">
        <v>2718</v>
      </c>
      <c r="H50" t="s">
        <v>727</v>
      </c>
      <c r="I50" t="s">
        <v>727</v>
      </c>
      <c r="J50" t="s">
        <v>727</v>
      </c>
      <c r="K50" t="s">
        <v>2719</v>
      </c>
    </row>
    <row r="51" spans="2:11" ht="15">
      <c r="B51" s="1">
        <v>26</v>
      </c>
      <c r="C51" t="str">
        <f ca="1">IFERROR(__xludf.DUMMYFUNCTION((TRANSPOSE(ImportHTML("http://spending.data.al/sq/moneypower/view/id/26/year/2011", "table",2)))),"*Kategoria*")</f>
        <v>*Kategoria*</v>
      </c>
      <c r="D51" t="s">
        <v>2589</v>
      </c>
    </row>
    <row r="52" spans="2:11" ht="15">
      <c r="B52" s="7"/>
      <c r="C52" t="s">
        <v>686</v>
      </c>
    </row>
    <row r="53" spans="2:11" ht="15">
      <c r="B53" s="1">
        <v>27</v>
      </c>
      <c r="C53" t="str">
        <f ca="1">IFERROR(__xludf.DUMMYFUNCTION((TRANSPOSE(ImportHTML("http://spending.data.al/sq/moneypower/view/id/27/year/2011", "table",2)))),"*Kategoria*")</f>
        <v>*Kategoria*</v>
      </c>
      <c r="D53" t="s">
        <v>2589</v>
      </c>
    </row>
    <row r="54" spans="2:11" ht="15">
      <c r="B54" s="7"/>
      <c r="C54" t="s">
        <v>686</v>
      </c>
    </row>
    <row r="55" spans="2:11" ht="15">
      <c r="B55" s="1">
        <v>28</v>
      </c>
      <c r="C55" t="str">
        <f ca="1">IFERROR(__xludf.DUMMYFUNCTION((TRANSPOSE(ImportHTML("http://spending.data.al/sq/moneypower/view/id/28/year/2011", "table",2)))),"*Kategoria*")</f>
        <v>*Kategoria*</v>
      </c>
      <c r="E55" t="s">
        <v>719</v>
      </c>
      <c r="F55" t="s">
        <v>720</v>
      </c>
      <c r="G55" t="s">
        <v>721</v>
      </c>
      <c r="H55" t="s">
        <v>722</v>
      </c>
      <c r="I55" t="s">
        <v>723</v>
      </c>
      <c r="J55" t="s">
        <v>724</v>
      </c>
      <c r="K55" t="s">
        <v>685</v>
      </c>
    </row>
    <row r="56" spans="2:11" ht="22.5" customHeight="1">
      <c r="B56" s="7"/>
      <c r="C56" t="s">
        <v>686</v>
      </c>
      <c r="E56" t="s">
        <v>2720</v>
      </c>
      <c r="F56" t="s">
        <v>727</v>
      </c>
      <c r="G56" t="s">
        <v>2721</v>
      </c>
      <c r="H56" t="s">
        <v>727</v>
      </c>
      <c r="I56" t="s">
        <v>727</v>
      </c>
      <c r="J56" t="s">
        <v>707</v>
      </c>
      <c r="K56" t="s">
        <v>707</v>
      </c>
    </row>
    <row r="57" spans="2:11" ht="15">
      <c r="B57" s="1">
        <v>29</v>
      </c>
      <c r="C57" t="str">
        <f ca="1">IFERROR(__xludf.DUMMYFUNCTION((TRANSPOSE(ImportHTML("http://spending.data.al/sq/moneypower/view/id/29/year/2011", "table",2)))),"*Kategoria*")</f>
        <v>*Kategoria*</v>
      </c>
      <c r="E57" t="s">
        <v>719</v>
      </c>
      <c r="F57" t="s">
        <v>720</v>
      </c>
      <c r="G57" t="s">
        <v>721</v>
      </c>
      <c r="H57" t="s">
        <v>722</v>
      </c>
      <c r="I57" t="s">
        <v>723</v>
      </c>
      <c r="J57" t="s">
        <v>724</v>
      </c>
      <c r="K57" t="s">
        <v>685</v>
      </c>
    </row>
    <row r="58" spans="2:11" ht="15">
      <c r="B58" s="7"/>
      <c r="C58" t="s">
        <v>686</v>
      </c>
      <c r="E58" t="s">
        <v>2722</v>
      </c>
      <c r="F58" t="s">
        <v>2723</v>
      </c>
      <c r="G58" t="s">
        <v>727</v>
      </c>
      <c r="H58" t="s">
        <v>727</v>
      </c>
      <c r="I58" t="s">
        <v>727</v>
      </c>
      <c r="J58" t="s">
        <v>727</v>
      </c>
      <c r="K58" t="s">
        <v>727</v>
      </c>
    </row>
    <row r="59" spans="2:11" ht="15">
      <c r="B59" s="1">
        <v>30</v>
      </c>
      <c r="C59" t="str">
        <f ca="1">IFERROR(__xludf.DUMMYFUNCTION((TRANSPOSE(ImportHTML("http://spending.data.al/sq/moneypower/view/id/30/year/2011", "table",2)))),"*Kategoria*")</f>
        <v>*Kategoria*</v>
      </c>
      <c r="E59" t="s">
        <v>719</v>
      </c>
      <c r="F59" t="s">
        <v>720</v>
      </c>
      <c r="G59" t="s">
        <v>721</v>
      </c>
      <c r="H59" t="s">
        <v>722</v>
      </c>
      <c r="I59" t="s">
        <v>723</v>
      </c>
      <c r="J59" t="s">
        <v>724</v>
      </c>
      <c r="K59" t="s">
        <v>685</v>
      </c>
    </row>
    <row r="60" spans="2:11" ht="15">
      <c r="B60" s="7"/>
      <c r="C60" t="s">
        <v>686</v>
      </c>
      <c r="E60" t="s">
        <v>2724</v>
      </c>
      <c r="F60" t="s">
        <v>727</v>
      </c>
      <c r="G60" t="s">
        <v>2725</v>
      </c>
      <c r="H60" t="s">
        <v>727</v>
      </c>
      <c r="I60" t="s">
        <v>727</v>
      </c>
      <c r="J60" t="s">
        <v>727</v>
      </c>
      <c r="K60" t="s">
        <v>2726</v>
      </c>
    </row>
    <row r="61" spans="2:11" ht="15">
      <c r="B61" s="1">
        <v>31</v>
      </c>
      <c r="C61" t="str">
        <f ca="1">IFERROR(__xludf.DUMMYFUNCTION((TRANSPOSE(ImportHTML("http://spending.data.al/sq/moneypower/view/id/31/year/2011", "table",2)))),"*Kategoria*")</f>
        <v>*Kategoria*</v>
      </c>
      <c r="E61" t="s">
        <v>719</v>
      </c>
      <c r="F61" t="s">
        <v>720</v>
      </c>
      <c r="G61" t="s">
        <v>721</v>
      </c>
      <c r="H61" t="s">
        <v>722</v>
      </c>
      <c r="I61" t="s">
        <v>723</v>
      </c>
      <c r="J61" t="s">
        <v>724</v>
      </c>
      <c r="K61" t="s">
        <v>685</v>
      </c>
    </row>
    <row r="62" spans="2:11" ht="15">
      <c r="B62" s="7"/>
      <c r="C62" t="s">
        <v>686</v>
      </c>
      <c r="E62" t="s">
        <v>2727</v>
      </c>
      <c r="F62" t="s">
        <v>727</v>
      </c>
      <c r="G62" t="s">
        <v>727</v>
      </c>
      <c r="H62" t="s">
        <v>727</v>
      </c>
      <c r="I62" t="s">
        <v>727</v>
      </c>
      <c r="J62" t="s">
        <v>727</v>
      </c>
      <c r="K62" t="s">
        <v>727</v>
      </c>
    </row>
    <row r="63" spans="2:11" ht="15">
      <c r="B63" s="1">
        <v>32</v>
      </c>
      <c r="C63" t="str">
        <f ca="1">IFERROR(__xludf.DUMMYFUNCTION((TRANSPOSE(ImportHTML("http://spending.data.al/sq/moneypower/view/id/32/year/2011", "table",2)))),"*Kategoria*")</f>
        <v>*Kategoria*</v>
      </c>
      <c r="E63" t="s">
        <v>719</v>
      </c>
      <c r="F63" t="s">
        <v>720</v>
      </c>
      <c r="G63" t="s">
        <v>721</v>
      </c>
      <c r="H63" t="s">
        <v>722</v>
      </c>
      <c r="I63" t="s">
        <v>723</v>
      </c>
      <c r="J63" t="s">
        <v>724</v>
      </c>
      <c r="K63" t="s">
        <v>685</v>
      </c>
    </row>
    <row r="64" spans="2:11" ht="15">
      <c r="B64" s="7"/>
      <c r="C64" t="s">
        <v>686</v>
      </c>
      <c r="E64" t="s">
        <v>2728</v>
      </c>
      <c r="F64" t="s">
        <v>727</v>
      </c>
      <c r="G64" t="s">
        <v>727</v>
      </c>
      <c r="H64" t="s">
        <v>727</v>
      </c>
      <c r="I64" t="s">
        <v>727</v>
      </c>
      <c r="J64" t="s">
        <v>727</v>
      </c>
      <c r="K64" t="s">
        <v>727</v>
      </c>
    </row>
    <row r="65" spans="2:11" ht="15">
      <c r="B65" s="1">
        <v>33</v>
      </c>
      <c r="C65" t="str">
        <f ca="1">IFERROR(__xludf.DUMMYFUNCTION((TRANSPOSE(ImportHTML("http://spending.data.al/sq/moneypower/view/id/33/year/2011", "table",2)))),"*Kategoria*")</f>
        <v>*Kategoria*</v>
      </c>
      <c r="D65" t="s">
        <v>2589</v>
      </c>
    </row>
    <row r="66" spans="2:11" ht="15">
      <c r="B66" s="7"/>
      <c r="C66" t="s">
        <v>686</v>
      </c>
    </row>
    <row r="67" spans="2:11" ht="15">
      <c r="B67" s="1">
        <v>34</v>
      </c>
      <c r="C67" t="str">
        <f ca="1">IFERROR(__xludf.DUMMYFUNCTION((TRANSPOSE(ImportHTML("http://spending.data.al/sq/moneypower/view/id/34/year/2011", "table",2)))),"*Kategoria*")</f>
        <v>*Kategoria*</v>
      </c>
      <c r="D67" t="s">
        <v>2589</v>
      </c>
    </row>
    <row r="68" spans="2:11" ht="15">
      <c r="B68" s="7"/>
      <c r="C68" t="s">
        <v>686</v>
      </c>
    </row>
    <row r="69" spans="2:11" ht="15">
      <c r="B69" s="1">
        <v>35</v>
      </c>
      <c r="C69" t="str">
        <f ca="1">IFERROR(__xludf.DUMMYFUNCTION((TRANSPOSE(ImportHTML("http://spending.data.al/sq/moneypower/view/id/35/year/2011", "table",2)))),"*Kategoria*")</f>
        <v>*Kategoria*</v>
      </c>
      <c r="D69" t="s">
        <v>2589</v>
      </c>
    </row>
    <row r="70" spans="2:11" ht="15">
      <c r="B70" s="7"/>
      <c r="C70" t="s">
        <v>686</v>
      </c>
    </row>
    <row r="71" spans="2:11" ht="15">
      <c r="B71" s="1">
        <v>36</v>
      </c>
      <c r="C71" t="str">
        <f ca="1">IFERROR(__xludf.DUMMYFUNCTION((TRANSPOSE(ImportHTML("http://spending.data.al/sq/moneypower/view/id/36/year/2011", "table",2)))),"*Kategoria*")</f>
        <v>*Kategoria*</v>
      </c>
      <c r="D71" t="s">
        <v>2589</v>
      </c>
    </row>
    <row r="72" spans="2:11" ht="15">
      <c r="B72" s="7"/>
      <c r="C72" t="s">
        <v>686</v>
      </c>
    </row>
    <row r="73" spans="2:11" ht="15">
      <c r="B73" s="1">
        <v>37</v>
      </c>
      <c r="C73" t="str">
        <f ca="1">IFERROR(__xludf.DUMMYFUNCTION((TRANSPOSE(ImportHTML("http://spending.data.al/sq/moneypower/view/id/37/year/2011", "table",2)))),"*Kategoria*")</f>
        <v>*Kategoria*</v>
      </c>
      <c r="E73" t="s">
        <v>719</v>
      </c>
      <c r="F73" t="s">
        <v>720</v>
      </c>
      <c r="G73" t="s">
        <v>721</v>
      </c>
      <c r="H73" t="s">
        <v>722</v>
      </c>
      <c r="I73" t="s">
        <v>723</v>
      </c>
      <c r="J73" t="s">
        <v>724</v>
      </c>
      <c r="K73" t="s">
        <v>685</v>
      </c>
    </row>
    <row r="74" spans="2:11" ht="15">
      <c r="B74" s="7"/>
      <c r="C74" t="s">
        <v>686</v>
      </c>
      <c r="E74" t="s">
        <v>2729</v>
      </c>
      <c r="F74" t="s">
        <v>727</v>
      </c>
      <c r="G74" t="s">
        <v>727</v>
      </c>
      <c r="H74" t="s">
        <v>727</v>
      </c>
      <c r="I74" t="s">
        <v>727</v>
      </c>
      <c r="J74" t="s">
        <v>727</v>
      </c>
      <c r="K74" t="s">
        <v>727</v>
      </c>
    </row>
    <row r="75" spans="2:11" ht="15">
      <c r="B75" s="1">
        <v>38</v>
      </c>
      <c r="C75" t="str">
        <f ca="1">IFERROR(__xludf.DUMMYFUNCTION((TRANSPOSE(ImportHTML("http://spending.data.al/sq/moneypower/view/id/38/year/2011", "table",2)))),"*Kategoria*")</f>
        <v>*Kategoria*</v>
      </c>
      <c r="E75" t="s">
        <v>719</v>
      </c>
      <c r="F75" t="s">
        <v>720</v>
      </c>
      <c r="G75" t="s">
        <v>721</v>
      </c>
      <c r="H75" t="s">
        <v>722</v>
      </c>
      <c r="I75" t="s">
        <v>723</v>
      </c>
      <c r="J75" t="s">
        <v>724</v>
      </c>
      <c r="K75" t="s">
        <v>685</v>
      </c>
    </row>
    <row r="76" spans="2:11" ht="15">
      <c r="B76" s="7"/>
      <c r="C76" t="s">
        <v>686</v>
      </c>
      <c r="E76" t="s">
        <v>2730</v>
      </c>
      <c r="F76" t="s">
        <v>727</v>
      </c>
      <c r="G76" t="s">
        <v>2731</v>
      </c>
      <c r="H76" t="s">
        <v>727</v>
      </c>
      <c r="I76" t="s">
        <v>727</v>
      </c>
      <c r="J76" t="s">
        <v>727</v>
      </c>
      <c r="K76" t="s">
        <v>727</v>
      </c>
    </row>
    <row r="77" spans="2:11" ht="15">
      <c r="B77" s="1">
        <v>39</v>
      </c>
      <c r="C77" t="str">
        <f ca="1">IFERROR(__xludf.DUMMYFUNCTION((TRANSPOSE(ImportHTML("http://spending.data.al/sq/moneypower/view/id/39/year/2011", "table",2)))),"*Kategoria*")</f>
        <v>*Kategoria*</v>
      </c>
      <c r="E77" t="s">
        <v>719</v>
      </c>
      <c r="F77" t="s">
        <v>720</v>
      </c>
      <c r="G77" t="s">
        <v>721</v>
      </c>
      <c r="H77" t="s">
        <v>722</v>
      </c>
      <c r="I77" t="s">
        <v>723</v>
      </c>
      <c r="J77" t="s">
        <v>724</v>
      </c>
      <c r="K77" t="s">
        <v>685</v>
      </c>
    </row>
    <row r="78" spans="2:11" ht="15">
      <c r="B78" s="7"/>
      <c r="C78" t="s">
        <v>686</v>
      </c>
      <c r="E78" t="s">
        <v>2732</v>
      </c>
      <c r="F78" t="s">
        <v>2733</v>
      </c>
      <c r="G78" t="s">
        <v>2734</v>
      </c>
      <c r="H78" t="s">
        <v>2601</v>
      </c>
      <c r="I78" t="s">
        <v>2601</v>
      </c>
      <c r="J78" t="s">
        <v>2601</v>
      </c>
      <c r="K78" t="s">
        <v>2735</v>
      </c>
    </row>
    <row r="79" spans="2:11" ht="15">
      <c r="B79" s="1">
        <v>40</v>
      </c>
      <c r="C79" t="str">
        <f ca="1">IFERROR(__xludf.DUMMYFUNCTION((TRANSPOSE(ImportHTML("http://spending.data.al/sq/moneypower/view/id/40/year/2011", "table",2)))),"*Kategoria*")</f>
        <v>*Kategoria*</v>
      </c>
      <c r="E79" t="s">
        <v>719</v>
      </c>
      <c r="F79" t="s">
        <v>720</v>
      </c>
      <c r="G79" t="s">
        <v>721</v>
      </c>
      <c r="H79" t="s">
        <v>722</v>
      </c>
      <c r="I79" t="s">
        <v>723</v>
      </c>
      <c r="J79" t="s">
        <v>724</v>
      </c>
      <c r="K79" t="s">
        <v>685</v>
      </c>
    </row>
    <row r="80" spans="2:11" ht="15">
      <c r="B80" s="7"/>
      <c r="C80" t="s">
        <v>686</v>
      </c>
      <c r="E80" t="s">
        <v>2736</v>
      </c>
      <c r="F80" t="s">
        <v>2737</v>
      </c>
      <c r="G80" t="s">
        <v>727</v>
      </c>
      <c r="H80" t="s">
        <v>727</v>
      </c>
      <c r="I80" t="s">
        <v>727</v>
      </c>
      <c r="J80" t="s">
        <v>2601</v>
      </c>
      <c r="K80" t="s">
        <v>727</v>
      </c>
    </row>
    <row r="81" spans="2:11" ht="15">
      <c r="B81" s="1">
        <v>41</v>
      </c>
      <c r="C81" t="str">
        <f ca="1">IFERROR(__xludf.DUMMYFUNCTION((TRANSPOSE(ImportHTML("http://spending.data.al/sq/moneypower/view/id/41/year/2011", "table",2)))),"*Kategoria*")</f>
        <v>*Kategoria*</v>
      </c>
      <c r="D81" t="s">
        <v>2589</v>
      </c>
    </row>
    <row r="82" spans="2:11" ht="15">
      <c r="B82" s="7"/>
      <c r="C82" t="s">
        <v>686</v>
      </c>
    </row>
    <row r="83" spans="2:11" ht="15">
      <c r="B83" s="1">
        <v>42</v>
      </c>
      <c r="C83" t="str">
        <f ca="1">IFERROR(__xludf.DUMMYFUNCTION((TRANSPOSE(ImportHTML("http://spending.data.al/sq/moneypower/view/id/42/year/2011", "table",2)))),"*Kategoria*")</f>
        <v>*Kategoria*</v>
      </c>
      <c r="E83" t="s">
        <v>719</v>
      </c>
      <c r="F83" t="s">
        <v>720</v>
      </c>
      <c r="G83" t="s">
        <v>721</v>
      </c>
      <c r="H83" t="s">
        <v>722</v>
      </c>
      <c r="I83" t="s">
        <v>723</v>
      </c>
      <c r="J83" t="s">
        <v>724</v>
      </c>
      <c r="K83" t="s">
        <v>685</v>
      </c>
    </row>
    <row r="84" spans="2:11" ht="15">
      <c r="B84" s="7"/>
      <c r="C84" t="s">
        <v>686</v>
      </c>
      <c r="E84" t="s">
        <v>2738</v>
      </c>
      <c r="F84" t="s">
        <v>727</v>
      </c>
      <c r="G84" t="s">
        <v>2739</v>
      </c>
      <c r="H84" t="s">
        <v>727</v>
      </c>
      <c r="I84" t="s">
        <v>727</v>
      </c>
      <c r="J84" t="s">
        <v>727</v>
      </c>
      <c r="K84" t="s">
        <v>2740</v>
      </c>
    </row>
    <row r="85" spans="2:11" ht="15">
      <c r="B85" s="1">
        <v>43</v>
      </c>
      <c r="C85" t="str">
        <f ca="1">IFERROR(__xludf.DUMMYFUNCTION((TRANSPOSE(ImportHTML("http://spending.data.al/sq/moneypower/view/id/43/year/2011", "table",2)))),"*Kategoria*")</f>
        <v>*Kategoria*</v>
      </c>
      <c r="E85" t="s">
        <v>719</v>
      </c>
      <c r="F85" t="s">
        <v>720</v>
      </c>
      <c r="G85" t="s">
        <v>721</v>
      </c>
      <c r="H85" t="s">
        <v>722</v>
      </c>
      <c r="I85" t="s">
        <v>723</v>
      </c>
      <c r="J85" t="s">
        <v>724</v>
      </c>
      <c r="K85" t="s">
        <v>685</v>
      </c>
    </row>
    <row r="86" spans="2:11" ht="15">
      <c r="B86" s="7"/>
      <c r="C86" t="s">
        <v>686</v>
      </c>
      <c r="E86" t="s">
        <v>2741</v>
      </c>
      <c r="F86" t="s">
        <v>727</v>
      </c>
      <c r="G86" t="s">
        <v>727</v>
      </c>
      <c r="H86" t="s">
        <v>727</v>
      </c>
      <c r="I86" t="s">
        <v>727</v>
      </c>
      <c r="J86" t="s">
        <v>727</v>
      </c>
      <c r="K86" t="s">
        <v>2742</v>
      </c>
    </row>
    <row r="87" spans="2:11" ht="15">
      <c r="B87" s="1">
        <v>44</v>
      </c>
      <c r="C87" t="str">
        <f ca="1">IFERROR(__xludf.DUMMYFUNCTION((TRANSPOSE(ImportHTML("http://spending.data.al/sq/moneypower/view/id/44/year/2011", "table",2)))),"*Kategoria*")</f>
        <v>*Kategoria*</v>
      </c>
      <c r="E87" t="s">
        <v>719</v>
      </c>
      <c r="F87" t="s">
        <v>720</v>
      </c>
      <c r="G87" t="s">
        <v>721</v>
      </c>
      <c r="H87" t="s">
        <v>722</v>
      </c>
      <c r="I87" t="s">
        <v>723</v>
      </c>
      <c r="J87" t="s">
        <v>724</v>
      </c>
      <c r="K87" t="s">
        <v>685</v>
      </c>
    </row>
    <row r="88" spans="2:11" ht="15">
      <c r="B88" s="7"/>
      <c r="C88" t="s">
        <v>686</v>
      </c>
      <c r="E88" t="s">
        <v>2743</v>
      </c>
      <c r="F88" t="s">
        <v>2744</v>
      </c>
      <c r="G88" t="s">
        <v>2745</v>
      </c>
      <c r="H88" t="s">
        <v>727</v>
      </c>
      <c r="I88" t="s">
        <v>727</v>
      </c>
      <c r="J88" t="s">
        <v>727</v>
      </c>
      <c r="K88" t="s">
        <v>727</v>
      </c>
    </row>
    <row r="89" spans="2:11" ht="15">
      <c r="B89" s="1">
        <v>45</v>
      </c>
      <c r="C89" t="str">
        <f ca="1">IFERROR(__xludf.DUMMYFUNCTION((TRANSPOSE(ImportHTML("http://spending.data.al/sq/moneypower/view/id/45/year/2011", "table",2)))),"*Kategoria*")</f>
        <v>*Kategoria*</v>
      </c>
      <c r="E89" t="s">
        <v>719</v>
      </c>
      <c r="F89" t="s">
        <v>720</v>
      </c>
      <c r="G89" t="s">
        <v>721</v>
      </c>
      <c r="H89" t="s">
        <v>722</v>
      </c>
      <c r="I89" t="s">
        <v>723</v>
      </c>
      <c r="J89" t="s">
        <v>724</v>
      </c>
      <c r="K89" t="s">
        <v>685</v>
      </c>
    </row>
    <row r="90" spans="2:11" ht="15">
      <c r="B90" s="7"/>
      <c r="C90" t="s">
        <v>686</v>
      </c>
      <c r="E90" t="s">
        <v>2746</v>
      </c>
      <c r="F90" t="s">
        <v>2747</v>
      </c>
      <c r="G90" t="s">
        <v>2601</v>
      </c>
      <c r="H90" t="s">
        <v>2601</v>
      </c>
      <c r="I90" t="s">
        <v>2601</v>
      </c>
      <c r="J90" t="s">
        <v>2601</v>
      </c>
      <c r="K90" t="s">
        <v>2748</v>
      </c>
    </row>
    <row r="91" spans="2:11" ht="15">
      <c r="B91" s="1">
        <v>46</v>
      </c>
      <c r="C91" t="str">
        <f ca="1">IFERROR(__xludf.DUMMYFUNCTION((TRANSPOSE(ImportHTML("http://spending.data.al/sq/moneypower/view/id/46/year/2011", "table",2)))),"*Kategoria*")</f>
        <v>*Kategoria*</v>
      </c>
      <c r="E91" t="s">
        <v>719</v>
      </c>
      <c r="F91" t="s">
        <v>720</v>
      </c>
      <c r="G91" t="s">
        <v>721</v>
      </c>
      <c r="H91" t="s">
        <v>722</v>
      </c>
      <c r="I91" t="s">
        <v>723</v>
      </c>
      <c r="J91" t="s">
        <v>724</v>
      </c>
      <c r="K91" t="s">
        <v>685</v>
      </c>
    </row>
    <row r="92" spans="2:11" ht="15">
      <c r="B92" s="7"/>
      <c r="C92" t="s">
        <v>686</v>
      </c>
      <c r="E92" t="s">
        <v>2749</v>
      </c>
      <c r="F92" t="s">
        <v>2750</v>
      </c>
      <c r="G92" t="s">
        <v>2751</v>
      </c>
      <c r="H92" t="s">
        <v>727</v>
      </c>
      <c r="I92" t="s">
        <v>727</v>
      </c>
      <c r="J92" t="s">
        <v>727</v>
      </c>
      <c r="K92" t="s">
        <v>727</v>
      </c>
    </row>
    <row r="93" spans="2:11" ht="15">
      <c r="B93" s="1">
        <v>47</v>
      </c>
      <c r="C93" t="str">
        <f ca="1">IFERROR(__xludf.DUMMYFUNCTION((TRANSPOSE(ImportHTML("http://spending.data.al/sq/moneypower/view/id/47/year/2011", "table",2)))),"*Kategoria*")</f>
        <v>*Kategoria*</v>
      </c>
      <c r="E93" t="s">
        <v>719</v>
      </c>
      <c r="F93" t="s">
        <v>720</v>
      </c>
      <c r="G93" t="s">
        <v>721</v>
      </c>
      <c r="H93" t="s">
        <v>722</v>
      </c>
      <c r="I93" t="s">
        <v>723</v>
      </c>
      <c r="J93" t="s">
        <v>724</v>
      </c>
      <c r="K93" t="s">
        <v>685</v>
      </c>
    </row>
    <row r="94" spans="2:11" ht="15">
      <c r="B94" s="7"/>
      <c r="C94" t="s">
        <v>686</v>
      </c>
      <c r="E94" t="s">
        <v>2601</v>
      </c>
      <c r="F94" t="s">
        <v>2601</v>
      </c>
      <c r="G94" t="s">
        <v>2752</v>
      </c>
      <c r="H94" t="s">
        <v>2601</v>
      </c>
      <c r="I94" t="s">
        <v>2601</v>
      </c>
      <c r="J94" t="s">
        <v>2601</v>
      </c>
      <c r="K94" t="s">
        <v>2753</v>
      </c>
    </row>
    <row r="95" spans="2:11" ht="15">
      <c r="B95" s="1">
        <v>48</v>
      </c>
      <c r="C95" t="str">
        <f ca="1">IFERROR(__xludf.DUMMYFUNCTION((TRANSPOSE(ImportHTML("http://spending.data.al/sq/moneypower/view/id/48/year/2011", "table",2)))),"*Kategoria*")</f>
        <v>*Kategoria*</v>
      </c>
      <c r="E95" t="s">
        <v>719</v>
      </c>
      <c r="F95" t="s">
        <v>720</v>
      </c>
      <c r="G95" t="s">
        <v>721</v>
      </c>
      <c r="H95" t="s">
        <v>722</v>
      </c>
      <c r="I95" t="s">
        <v>723</v>
      </c>
      <c r="J95" t="s">
        <v>724</v>
      </c>
      <c r="K95" t="s">
        <v>685</v>
      </c>
    </row>
    <row r="96" spans="2:11" ht="15">
      <c r="B96" s="7"/>
      <c r="C96" t="s">
        <v>686</v>
      </c>
      <c r="E96" t="s">
        <v>2754</v>
      </c>
      <c r="F96" t="s">
        <v>2755</v>
      </c>
      <c r="G96" t="s">
        <v>2601</v>
      </c>
      <c r="H96" t="s">
        <v>2601</v>
      </c>
      <c r="I96" t="s">
        <v>2601</v>
      </c>
      <c r="J96" t="s">
        <v>2601</v>
      </c>
      <c r="K96" t="s">
        <v>2601</v>
      </c>
    </row>
    <row r="97" spans="2:11" ht="15">
      <c r="B97" s="1">
        <v>49</v>
      </c>
      <c r="C97" t="str">
        <f ca="1">IFERROR(__xludf.DUMMYFUNCTION((TRANSPOSE(ImportHTML("http://spending.data.al/sq/moneypower/view/id/49/year/2011", "table",2)))),"*Kategoria*")</f>
        <v>*Kategoria*</v>
      </c>
      <c r="D97" t="s">
        <v>2589</v>
      </c>
    </row>
    <row r="98" spans="2:11" ht="15">
      <c r="B98" s="7"/>
      <c r="C98" t="s">
        <v>686</v>
      </c>
    </row>
    <row r="99" spans="2:11" ht="15">
      <c r="B99" s="1">
        <v>50</v>
      </c>
      <c r="C99" t="str">
        <f ca="1">IFERROR(__xludf.DUMMYFUNCTION((TRANSPOSE(ImportHTML("http://spending.data.al/sq/moneypower/view/id/50/year/2011", "table",2)))),"*Kategoria*")</f>
        <v>*Kategoria*</v>
      </c>
      <c r="E99" t="s">
        <v>719</v>
      </c>
      <c r="F99" t="s">
        <v>720</v>
      </c>
      <c r="G99" t="s">
        <v>721</v>
      </c>
      <c r="H99" t="s">
        <v>722</v>
      </c>
      <c r="I99" t="s">
        <v>723</v>
      </c>
      <c r="J99" t="s">
        <v>724</v>
      </c>
      <c r="K99" t="s">
        <v>685</v>
      </c>
    </row>
    <row r="100" spans="2:11" ht="15">
      <c r="B100" s="7"/>
      <c r="C100" t="s">
        <v>686</v>
      </c>
      <c r="E100" t="s">
        <v>2601</v>
      </c>
      <c r="F100" t="s">
        <v>2601</v>
      </c>
      <c r="G100" t="s">
        <v>2756</v>
      </c>
      <c r="H100" t="s">
        <v>2601</v>
      </c>
      <c r="I100" t="s">
        <v>2601</v>
      </c>
      <c r="J100" t="s">
        <v>2601</v>
      </c>
      <c r="K100" t="s">
        <v>2601</v>
      </c>
    </row>
    <row r="101" spans="2:11" ht="15">
      <c r="B101" s="1">
        <v>51</v>
      </c>
      <c r="C101" t="str">
        <f ca="1">IFERROR(__xludf.DUMMYFUNCTION((TRANSPOSE(ImportHTML("http://spending.data.al/sq/moneypower/view/id/51/year/2011", "table",2)))),"*Kategoria*")</f>
        <v>*Kategoria*</v>
      </c>
      <c r="E101" t="s">
        <v>719</v>
      </c>
      <c r="F101" t="s">
        <v>720</v>
      </c>
      <c r="G101" t="s">
        <v>721</v>
      </c>
      <c r="H101" t="s">
        <v>722</v>
      </c>
      <c r="I101" t="s">
        <v>723</v>
      </c>
      <c r="J101" t="s">
        <v>724</v>
      </c>
      <c r="K101" t="s">
        <v>685</v>
      </c>
    </row>
    <row r="102" spans="2:11" ht="15">
      <c r="B102" s="7"/>
      <c r="C102" t="s">
        <v>686</v>
      </c>
      <c r="E102" t="s">
        <v>2757</v>
      </c>
      <c r="F102" t="s">
        <v>727</v>
      </c>
      <c r="G102" t="s">
        <v>727</v>
      </c>
      <c r="H102" t="s">
        <v>727</v>
      </c>
      <c r="I102" t="s">
        <v>727</v>
      </c>
      <c r="J102" t="s">
        <v>2758</v>
      </c>
      <c r="K102" t="s">
        <v>727</v>
      </c>
    </row>
    <row r="103" spans="2:11" ht="15">
      <c r="B103" s="1">
        <v>52</v>
      </c>
      <c r="C103" t="str">
        <f ca="1">IFERROR(__xludf.DUMMYFUNCTION((TRANSPOSE(ImportHTML("http://spending.data.al/sq/moneypower/view/id/52/year/2011", "table",2)))),"*Kategoria*")</f>
        <v>*Kategoria*</v>
      </c>
      <c r="D103" t="s">
        <v>2589</v>
      </c>
    </row>
    <row r="104" spans="2:11" ht="15">
      <c r="B104" s="7"/>
      <c r="C104" t="s">
        <v>686</v>
      </c>
    </row>
    <row r="105" spans="2:11" ht="15">
      <c r="B105" s="1">
        <v>53</v>
      </c>
      <c r="C105" t="str">
        <f ca="1">IFERROR(__xludf.DUMMYFUNCTION((TRANSPOSE(ImportHTML("http://spending.data.al/sq/moneypower/view/id/53/year/2011", "table",2)))),"*Kategoria*")</f>
        <v>*Kategoria*</v>
      </c>
      <c r="E105" t="s">
        <v>719</v>
      </c>
      <c r="F105" t="s">
        <v>720</v>
      </c>
      <c r="G105" t="s">
        <v>721</v>
      </c>
      <c r="H105" t="s">
        <v>722</v>
      </c>
      <c r="I105" t="s">
        <v>723</v>
      </c>
      <c r="J105" t="s">
        <v>724</v>
      </c>
      <c r="K105" t="s">
        <v>685</v>
      </c>
    </row>
    <row r="106" spans="2:11" ht="15">
      <c r="B106" s="7"/>
      <c r="C106" t="s">
        <v>686</v>
      </c>
      <c r="E106" t="s">
        <v>2759</v>
      </c>
      <c r="F106" t="s">
        <v>2760</v>
      </c>
      <c r="G106" t="s">
        <v>2761</v>
      </c>
      <c r="H106" t="s">
        <v>2601</v>
      </c>
      <c r="I106" t="s">
        <v>2601</v>
      </c>
      <c r="J106" t="s">
        <v>2601</v>
      </c>
      <c r="K106" t="s">
        <v>2601</v>
      </c>
    </row>
    <row r="107" spans="2:11" ht="15">
      <c r="B107" s="1">
        <v>54</v>
      </c>
      <c r="C107" t="str">
        <f ca="1">IFERROR(__xludf.DUMMYFUNCTION((TRANSPOSE(ImportHTML("http://spending.data.al/sq/moneypower/view/id/54/year/2011", "table",2)))),"*Kategoria*")</f>
        <v>*Kategoria*</v>
      </c>
      <c r="D107" t="s">
        <v>2589</v>
      </c>
    </row>
    <row r="108" spans="2:11" ht="15">
      <c r="B108" s="7"/>
      <c r="C108" t="s">
        <v>686</v>
      </c>
    </row>
    <row r="109" spans="2:11" ht="15">
      <c r="B109" s="1">
        <v>55</v>
      </c>
      <c r="C109" t="str">
        <f ca="1">IFERROR(__xludf.DUMMYFUNCTION((TRANSPOSE(ImportHTML("http://spending.data.al/sq/moneypower/view/id/55/year/2011", "table",2)))),"*Kategoria*")</f>
        <v>*Kategoria*</v>
      </c>
      <c r="E109" t="s">
        <v>719</v>
      </c>
      <c r="F109" t="s">
        <v>720</v>
      </c>
      <c r="G109" t="s">
        <v>721</v>
      </c>
      <c r="H109" t="s">
        <v>722</v>
      </c>
      <c r="I109" t="s">
        <v>723</v>
      </c>
      <c r="J109" t="s">
        <v>724</v>
      </c>
      <c r="K109" t="s">
        <v>685</v>
      </c>
    </row>
    <row r="110" spans="2:11" ht="15">
      <c r="B110" s="7"/>
      <c r="C110" t="s">
        <v>686</v>
      </c>
      <c r="E110" t="s">
        <v>2762</v>
      </c>
      <c r="F110" t="s">
        <v>2601</v>
      </c>
      <c r="G110" t="s">
        <v>2763</v>
      </c>
      <c r="H110" t="s">
        <v>2601</v>
      </c>
      <c r="I110" t="s">
        <v>2601</v>
      </c>
      <c r="J110" t="s">
        <v>2601</v>
      </c>
      <c r="K110" t="s">
        <v>2601</v>
      </c>
    </row>
    <row r="111" spans="2:11" ht="15">
      <c r="B111" s="1">
        <v>56</v>
      </c>
      <c r="C111" t="str">
        <f ca="1">IFERROR(__xludf.DUMMYFUNCTION((TRANSPOSE(ImportHTML("http://spending.data.al/sq/moneypower/view/id/56/year/2011", "table",2)))),"*Kategoria*")</f>
        <v>*Kategoria*</v>
      </c>
      <c r="E111" t="s">
        <v>719</v>
      </c>
      <c r="F111" t="s">
        <v>720</v>
      </c>
      <c r="G111" t="s">
        <v>721</v>
      </c>
      <c r="H111" t="s">
        <v>722</v>
      </c>
      <c r="I111" t="s">
        <v>723</v>
      </c>
      <c r="J111" t="s">
        <v>724</v>
      </c>
      <c r="K111" t="s">
        <v>685</v>
      </c>
    </row>
    <row r="112" spans="2:11" ht="15">
      <c r="B112" s="7"/>
      <c r="C112" t="s">
        <v>686</v>
      </c>
      <c r="E112" t="s">
        <v>2601</v>
      </c>
      <c r="F112" t="s">
        <v>2764</v>
      </c>
      <c r="G112" t="s">
        <v>2601</v>
      </c>
      <c r="H112" t="s">
        <v>2601</v>
      </c>
      <c r="I112" t="s">
        <v>2601</v>
      </c>
      <c r="J112" t="s">
        <v>2601</v>
      </c>
      <c r="K112" t="s">
        <v>2765</v>
      </c>
    </row>
    <row r="113" spans="2:11" ht="15">
      <c r="B113" s="1">
        <v>57</v>
      </c>
      <c r="C113" t="str">
        <f ca="1">IFERROR(__xludf.DUMMYFUNCTION((TRANSPOSE(ImportHTML("http://spending.data.al/sq/moneypower/view/id/57/year/2011", "table",2)))),"*Kategoria*")</f>
        <v>*Kategoria*</v>
      </c>
      <c r="E113" t="s">
        <v>719</v>
      </c>
      <c r="F113" t="s">
        <v>720</v>
      </c>
      <c r="G113" t="s">
        <v>721</v>
      </c>
      <c r="H113" t="s">
        <v>722</v>
      </c>
      <c r="I113" t="s">
        <v>723</v>
      </c>
      <c r="J113" t="s">
        <v>724</v>
      </c>
      <c r="K113" t="s">
        <v>685</v>
      </c>
    </row>
    <row r="114" spans="2:11" ht="15">
      <c r="B114" s="7"/>
      <c r="C114" t="s">
        <v>686</v>
      </c>
      <c r="E114" t="s">
        <v>2766</v>
      </c>
      <c r="F114" t="s">
        <v>2767</v>
      </c>
      <c r="G114" t="s">
        <v>2768</v>
      </c>
      <c r="H114" t="s">
        <v>2769</v>
      </c>
      <c r="I114" t="s">
        <v>2770</v>
      </c>
      <c r="J114" t="s">
        <v>727</v>
      </c>
      <c r="K114" t="s">
        <v>2771</v>
      </c>
    </row>
    <row r="115" spans="2:11" ht="15">
      <c r="B115" s="1">
        <v>58</v>
      </c>
      <c r="C115" t="str">
        <f ca="1">IFERROR(__xludf.DUMMYFUNCTION((TRANSPOSE(ImportHTML("http://spending.data.al/sq/moneypower/view/id/58/year/2011", "table",2)))),"*Kategoria*")</f>
        <v>*Kategoria*</v>
      </c>
      <c r="D115" t="s">
        <v>2589</v>
      </c>
    </row>
    <row r="116" spans="2:11" ht="15">
      <c r="B116" s="7"/>
      <c r="C116" t="s">
        <v>686</v>
      </c>
    </row>
    <row r="117" spans="2:11" ht="15">
      <c r="B117" s="1">
        <v>59</v>
      </c>
      <c r="C117" t="str">
        <f ca="1">IFERROR(__xludf.DUMMYFUNCTION((TRANSPOSE(ImportHTML("http://spending.data.al/sq/moneypower/view/id/59/year/2011", "table",2)))),"*Kategoria*")</f>
        <v>*Kategoria*</v>
      </c>
      <c r="E117" t="s">
        <v>719</v>
      </c>
      <c r="F117" t="s">
        <v>720</v>
      </c>
      <c r="G117" t="s">
        <v>721</v>
      </c>
      <c r="H117" t="s">
        <v>722</v>
      </c>
      <c r="I117" t="s">
        <v>723</v>
      </c>
      <c r="J117" t="s">
        <v>724</v>
      </c>
      <c r="K117" t="s">
        <v>685</v>
      </c>
    </row>
    <row r="118" spans="2:11" ht="15">
      <c r="B118" s="7"/>
      <c r="C118" t="s">
        <v>686</v>
      </c>
      <c r="E118" t="s">
        <v>2772</v>
      </c>
      <c r="F118" t="s">
        <v>2601</v>
      </c>
      <c r="G118" t="s">
        <v>2773</v>
      </c>
      <c r="H118" t="s">
        <v>2601</v>
      </c>
      <c r="I118" t="s">
        <v>2601</v>
      </c>
      <c r="J118" t="s">
        <v>2601</v>
      </c>
      <c r="K118" t="s">
        <v>2774</v>
      </c>
    </row>
    <row r="119" spans="2:11" ht="15">
      <c r="B119" s="1">
        <v>60</v>
      </c>
      <c r="C119" t="str">
        <f ca="1">IFERROR(__xludf.DUMMYFUNCTION((TRANSPOSE(ImportHTML("http://spending.data.al/sq/moneypower/view/id/60/year/2011", "table",2)))),"*Kategoria*")</f>
        <v>*Kategoria*</v>
      </c>
      <c r="E119" t="s">
        <v>719</v>
      </c>
      <c r="F119" t="s">
        <v>720</v>
      </c>
      <c r="G119" t="s">
        <v>721</v>
      </c>
      <c r="H119" t="s">
        <v>722</v>
      </c>
      <c r="I119" t="s">
        <v>723</v>
      </c>
      <c r="J119" t="s">
        <v>724</v>
      </c>
      <c r="K119" t="s">
        <v>685</v>
      </c>
    </row>
    <row r="120" spans="2:11" ht="15">
      <c r="B120" s="7"/>
      <c r="C120" t="s">
        <v>686</v>
      </c>
      <c r="E120" t="s">
        <v>2775</v>
      </c>
      <c r="F120" t="s">
        <v>727</v>
      </c>
      <c r="G120" t="s">
        <v>2776</v>
      </c>
      <c r="H120" t="s">
        <v>727</v>
      </c>
      <c r="I120" t="s">
        <v>727</v>
      </c>
      <c r="J120" t="s">
        <v>727</v>
      </c>
      <c r="K120" t="s">
        <v>2777</v>
      </c>
    </row>
    <row r="121" spans="2:11" ht="15">
      <c r="B121" s="1">
        <v>61</v>
      </c>
      <c r="C121" t="str">
        <f ca="1">IFERROR(__xludf.DUMMYFUNCTION((TRANSPOSE(ImportHTML("http://spending.data.al/sq/moneypower/view/id/61/year/2011", "table",2)))),"*Kategoria*")</f>
        <v>*Kategoria*</v>
      </c>
      <c r="E121" t="s">
        <v>719</v>
      </c>
      <c r="F121" t="s">
        <v>720</v>
      </c>
      <c r="G121" t="s">
        <v>721</v>
      </c>
      <c r="H121" t="s">
        <v>722</v>
      </c>
      <c r="I121" t="s">
        <v>723</v>
      </c>
      <c r="J121" t="s">
        <v>724</v>
      </c>
      <c r="K121" t="s">
        <v>685</v>
      </c>
    </row>
    <row r="122" spans="2:11" ht="15">
      <c r="B122" s="7"/>
      <c r="C122" t="s">
        <v>686</v>
      </c>
      <c r="E122" t="s">
        <v>2778</v>
      </c>
      <c r="F122" t="s">
        <v>2779</v>
      </c>
      <c r="G122" t="s">
        <v>2780</v>
      </c>
      <c r="H122" t="s">
        <v>727</v>
      </c>
      <c r="I122" t="s">
        <v>727</v>
      </c>
      <c r="J122" t="s">
        <v>727</v>
      </c>
      <c r="K122" t="s">
        <v>727</v>
      </c>
    </row>
    <row r="123" spans="2:11" ht="15">
      <c r="B123" s="1">
        <v>62</v>
      </c>
      <c r="C123" t="str">
        <f ca="1">IFERROR(__xludf.DUMMYFUNCTION((TRANSPOSE(ImportHTML("http://spending.data.al/sq/moneypower/view/id/62/year/2011", "table",2)))),"*Kategoria*")</f>
        <v>*Kategoria*</v>
      </c>
      <c r="E123" t="s">
        <v>719</v>
      </c>
      <c r="F123" t="s">
        <v>720</v>
      </c>
      <c r="G123" t="s">
        <v>721</v>
      </c>
      <c r="H123" t="s">
        <v>722</v>
      </c>
      <c r="I123" t="s">
        <v>723</v>
      </c>
      <c r="J123" t="s">
        <v>724</v>
      </c>
      <c r="K123" t="s">
        <v>685</v>
      </c>
    </row>
    <row r="124" spans="2:11" ht="15">
      <c r="B124" s="7"/>
      <c r="C124" t="s">
        <v>686</v>
      </c>
      <c r="E124" t="s">
        <v>2781</v>
      </c>
      <c r="F124" t="s">
        <v>2782</v>
      </c>
      <c r="G124" t="s">
        <v>707</v>
      </c>
      <c r="J124" t="s">
        <v>707</v>
      </c>
      <c r="K124" t="s">
        <v>707</v>
      </c>
    </row>
    <row r="125" spans="2:11" ht="15">
      <c r="B125" s="1">
        <v>63</v>
      </c>
      <c r="C125" t="str">
        <f ca="1">IFERROR(__xludf.DUMMYFUNCTION((TRANSPOSE(ImportHTML("http://spending.data.al/sq/moneypower/view/id/63/year/2011", "table",2)))),"*Kategoria*")</f>
        <v>*Kategoria*</v>
      </c>
      <c r="E125" t="s">
        <v>719</v>
      </c>
      <c r="F125" t="s">
        <v>720</v>
      </c>
      <c r="G125" t="s">
        <v>721</v>
      </c>
      <c r="H125" t="s">
        <v>722</v>
      </c>
      <c r="I125" t="s">
        <v>723</v>
      </c>
      <c r="J125" t="s">
        <v>724</v>
      </c>
      <c r="K125" t="s">
        <v>685</v>
      </c>
    </row>
    <row r="126" spans="2:11" ht="15">
      <c r="B126" s="7"/>
      <c r="C126" t="s">
        <v>686</v>
      </c>
      <c r="E126" t="s">
        <v>2783</v>
      </c>
      <c r="F126" t="s">
        <v>2784</v>
      </c>
      <c r="G126" t="s">
        <v>2785</v>
      </c>
      <c r="H126" t="s">
        <v>2601</v>
      </c>
      <c r="I126" t="s">
        <v>2786</v>
      </c>
      <c r="J126" t="s">
        <v>2601</v>
      </c>
      <c r="K126" t="s">
        <v>2787</v>
      </c>
    </row>
    <row r="127" spans="2:11" ht="15">
      <c r="B127" s="1">
        <v>64</v>
      </c>
      <c r="C127" t="str">
        <f ca="1">IFERROR(__xludf.DUMMYFUNCTION((TRANSPOSE(ImportHTML("http://spending.data.al/sq/moneypower/view/id/64/year/2011", "table",2)))),"*Kategoria*")</f>
        <v>*Kategoria*</v>
      </c>
      <c r="E127" t="s">
        <v>719</v>
      </c>
      <c r="F127" t="s">
        <v>720</v>
      </c>
      <c r="G127" t="s">
        <v>721</v>
      </c>
      <c r="H127" t="s">
        <v>722</v>
      </c>
      <c r="I127" t="s">
        <v>723</v>
      </c>
      <c r="J127" t="s">
        <v>724</v>
      </c>
      <c r="K127" t="s">
        <v>685</v>
      </c>
    </row>
    <row r="128" spans="2:11" ht="15">
      <c r="B128" s="7"/>
      <c r="C128" t="s">
        <v>686</v>
      </c>
      <c r="E128" t="s">
        <v>2788</v>
      </c>
      <c r="F128" t="s">
        <v>2601</v>
      </c>
      <c r="G128" t="s">
        <v>2601</v>
      </c>
      <c r="H128" t="s">
        <v>2601</v>
      </c>
      <c r="I128" t="s">
        <v>2601</v>
      </c>
      <c r="J128" t="s">
        <v>2601</v>
      </c>
      <c r="K128" t="s">
        <v>2601</v>
      </c>
    </row>
    <row r="129" spans="2:11" ht="15">
      <c r="B129" s="1">
        <v>65</v>
      </c>
      <c r="C129" t="str">
        <f ca="1">IFERROR(__xludf.DUMMYFUNCTION((TRANSPOSE(ImportHTML("http://spending.data.al/sq/moneypower/view/id/65/year/2011", "table",2)))),"*Kategoria*")</f>
        <v>*Kategoria*</v>
      </c>
      <c r="E129" t="s">
        <v>719</v>
      </c>
      <c r="F129" t="s">
        <v>720</v>
      </c>
      <c r="G129" t="s">
        <v>721</v>
      </c>
      <c r="H129" t="s">
        <v>722</v>
      </c>
      <c r="I129" t="s">
        <v>723</v>
      </c>
      <c r="J129" t="s">
        <v>724</v>
      </c>
      <c r="K129" t="s">
        <v>685</v>
      </c>
    </row>
    <row r="130" spans="2:11" ht="15">
      <c r="B130" s="7"/>
      <c r="C130" t="s">
        <v>686</v>
      </c>
      <c r="E130" t="s">
        <v>2789</v>
      </c>
      <c r="F130" t="s">
        <v>707</v>
      </c>
      <c r="G130" t="s">
        <v>2790</v>
      </c>
      <c r="H130" t="s">
        <v>707</v>
      </c>
      <c r="J130" t="s">
        <v>707</v>
      </c>
      <c r="K130" t="s">
        <v>707</v>
      </c>
    </row>
    <row r="131" spans="2:11" ht="15">
      <c r="B131" s="1">
        <v>66</v>
      </c>
      <c r="C131" t="str">
        <f ca="1">IFERROR(__xludf.DUMMYFUNCTION((TRANSPOSE(ImportHTML("http://spending.data.al/sq/moneypower/view/id/66/year/2011", "table",2)))),"*Kategoria*")</f>
        <v>*Kategoria*</v>
      </c>
      <c r="E131" t="s">
        <v>719</v>
      </c>
      <c r="F131" t="s">
        <v>720</v>
      </c>
      <c r="G131" t="s">
        <v>721</v>
      </c>
      <c r="H131" t="s">
        <v>722</v>
      </c>
      <c r="I131" t="s">
        <v>723</v>
      </c>
      <c r="J131" t="s">
        <v>724</v>
      </c>
      <c r="K131" t="s">
        <v>685</v>
      </c>
    </row>
    <row r="132" spans="2:11" ht="15">
      <c r="B132" s="7"/>
      <c r="C132" t="s">
        <v>686</v>
      </c>
      <c r="E132" t="s">
        <v>2791</v>
      </c>
      <c r="F132" t="s">
        <v>2601</v>
      </c>
      <c r="G132" t="s">
        <v>2792</v>
      </c>
      <c r="H132" t="s">
        <v>2601</v>
      </c>
      <c r="I132" t="s">
        <v>2601</v>
      </c>
      <c r="J132" t="s">
        <v>2601</v>
      </c>
      <c r="K132" t="s">
        <v>2601</v>
      </c>
    </row>
    <row r="133" spans="2:11" ht="15">
      <c r="B133" s="1">
        <v>67</v>
      </c>
      <c r="C133" t="str">
        <f ca="1">IFERROR(__xludf.DUMMYFUNCTION((TRANSPOSE(ImportHTML("http://spending.data.al/sq/moneypower/view/id/67/year/2011", "table",2)))),"*Kategoria*")</f>
        <v>*Kategoria*</v>
      </c>
      <c r="E133" t="s">
        <v>719</v>
      </c>
      <c r="F133" t="s">
        <v>720</v>
      </c>
      <c r="G133" t="s">
        <v>721</v>
      </c>
      <c r="H133" t="s">
        <v>722</v>
      </c>
      <c r="I133" t="s">
        <v>723</v>
      </c>
      <c r="J133" t="s">
        <v>724</v>
      </c>
      <c r="K133" t="s">
        <v>685</v>
      </c>
    </row>
    <row r="134" spans="2:11" ht="15">
      <c r="B134" s="7"/>
      <c r="C134" t="s">
        <v>686</v>
      </c>
      <c r="E134" t="s">
        <v>2793</v>
      </c>
      <c r="F134" t="s">
        <v>2794</v>
      </c>
      <c r="G134" t="s">
        <v>2795</v>
      </c>
      <c r="H134" t="s">
        <v>2601</v>
      </c>
      <c r="I134" t="s">
        <v>2601</v>
      </c>
      <c r="J134" t="s">
        <v>2601</v>
      </c>
      <c r="K134" t="s">
        <v>2601</v>
      </c>
    </row>
    <row r="135" spans="2:11" ht="15">
      <c r="B135" s="1">
        <v>68</v>
      </c>
      <c r="C135" t="str">
        <f ca="1">IFERROR(__xludf.DUMMYFUNCTION((TRANSPOSE(ImportHTML("http://spending.data.al/sq/moneypower/view/id/68/year/2011", "table",2)))),"*Kategoria*")</f>
        <v>*Kategoria*</v>
      </c>
      <c r="E135" t="s">
        <v>719</v>
      </c>
      <c r="F135" t="s">
        <v>720</v>
      </c>
      <c r="G135" t="s">
        <v>721</v>
      </c>
      <c r="H135" t="s">
        <v>722</v>
      </c>
      <c r="I135" t="s">
        <v>723</v>
      </c>
      <c r="J135" t="s">
        <v>724</v>
      </c>
      <c r="K135" t="s">
        <v>685</v>
      </c>
    </row>
    <row r="136" spans="2:11" ht="15">
      <c r="B136" s="7"/>
      <c r="C136" t="s">
        <v>686</v>
      </c>
      <c r="E136" t="s">
        <v>2796</v>
      </c>
      <c r="F136" t="s">
        <v>727</v>
      </c>
      <c r="G136" t="s">
        <v>727</v>
      </c>
      <c r="H136" t="s">
        <v>727</v>
      </c>
      <c r="I136" t="s">
        <v>727</v>
      </c>
      <c r="J136" t="s">
        <v>727</v>
      </c>
      <c r="K136" t="s">
        <v>727</v>
      </c>
    </row>
    <row r="137" spans="2:11" ht="15">
      <c r="B137" s="1">
        <v>69</v>
      </c>
      <c r="C137" t="str">
        <f ca="1">IFERROR(__xludf.DUMMYFUNCTION((TRANSPOSE(ImportHTML("http://spending.data.al/sq/moneypower/view/id/69/year/2011", "table",2)))),"*Kategoria*")</f>
        <v>*Kategoria*</v>
      </c>
      <c r="E137" t="s">
        <v>719</v>
      </c>
      <c r="F137" t="s">
        <v>720</v>
      </c>
      <c r="G137" t="s">
        <v>721</v>
      </c>
      <c r="H137" t="s">
        <v>722</v>
      </c>
      <c r="I137" t="s">
        <v>723</v>
      </c>
      <c r="J137" t="s">
        <v>724</v>
      </c>
      <c r="K137" t="s">
        <v>685</v>
      </c>
    </row>
    <row r="138" spans="2:11" ht="15">
      <c r="B138" s="7"/>
      <c r="C138" t="s">
        <v>686</v>
      </c>
      <c r="E138" t="s">
        <v>2797</v>
      </c>
      <c r="F138" t="s">
        <v>2798</v>
      </c>
      <c r="G138" t="s">
        <v>2799</v>
      </c>
      <c r="H138" t="s">
        <v>727</v>
      </c>
      <c r="I138" t="s">
        <v>727</v>
      </c>
      <c r="J138" t="s">
        <v>727</v>
      </c>
      <c r="K138" t="s">
        <v>727</v>
      </c>
    </row>
    <row r="139" spans="2:11" ht="15">
      <c r="B139" s="1">
        <v>70</v>
      </c>
      <c r="C139" t="str">
        <f ca="1">IFERROR(__xludf.DUMMYFUNCTION((TRANSPOSE(ImportHTML("http://spending.data.al/sq/moneypower/view/id/70/year/2011", "table",2)))),"*Kategoria*")</f>
        <v>*Kategoria*</v>
      </c>
      <c r="E139" t="s">
        <v>719</v>
      </c>
      <c r="F139" t="s">
        <v>720</v>
      </c>
      <c r="G139" t="s">
        <v>721</v>
      </c>
      <c r="H139" t="s">
        <v>722</v>
      </c>
      <c r="I139" t="s">
        <v>723</v>
      </c>
      <c r="J139" t="s">
        <v>724</v>
      </c>
      <c r="K139" t="s">
        <v>685</v>
      </c>
    </row>
    <row r="140" spans="2:11" ht="15">
      <c r="B140" s="7"/>
      <c r="C140" t="s">
        <v>686</v>
      </c>
      <c r="E140" t="s">
        <v>2800</v>
      </c>
      <c r="F140" t="s">
        <v>2801</v>
      </c>
      <c r="G140" t="s">
        <v>727</v>
      </c>
      <c r="H140" t="s">
        <v>727</v>
      </c>
      <c r="I140" t="s">
        <v>727</v>
      </c>
      <c r="J140" t="s">
        <v>727</v>
      </c>
      <c r="K140" t="s">
        <v>2802</v>
      </c>
    </row>
    <row r="141" spans="2:11" ht="15">
      <c r="B141" s="1">
        <v>71</v>
      </c>
      <c r="C141" t="str">
        <f ca="1">IFERROR(__xludf.DUMMYFUNCTION((TRANSPOSE(ImportHTML("http://spending.data.al/sq/moneypower/view/id/71/year/2011", "table",2)))),"*Kategoria*")</f>
        <v>*Kategoria*</v>
      </c>
      <c r="D141" t="s">
        <v>2589</v>
      </c>
    </row>
    <row r="142" spans="2:11" ht="15">
      <c r="B142" s="7"/>
      <c r="C142" t="s">
        <v>686</v>
      </c>
    </row>
    <row r="143" spans="2:11" ht="15">
      <c r="B143" s="1">
        <v>72</v>
      </c>
      <c r="C143" t="str">
        <f ca="1">IFERROR(__xludf.DUMMYFUNCTION((TRANSPOSE(ImportHTML("http://spending.data.al/sq/moneypower/view/id/72/year/2011", "table",2)))),"*Kategoria*")</f>
        <v>*Kategoria*</v>
      </c>
      <c r="E143" t="s">
        <v>719</v>
      </c>
      <c r="F143" t="s">
        <v>720</v>
      </c>
      <c r="G143" t="s">
        <v>721</v>
      </c>
      <c r="H143" t="s">
        <v>722</v>
      </c>
      <c r="I143" t="s">
        <v>723</v>
      </c>
      <c r="J143" t="s">
        <v>724</v>
      </c>
      <c r="K143" t="s">
        <v>685</v>
      </c>
    </row>
    <row r="144" spans="2:11" ht="15">
      <c r="B144" s="7"/>
      <c r="C144" t="s">
        <v>686</v>
      </c>
      <c r="E144" t="s">
        <v>2803</v>
      </c>
      <c r="F144" t="s">
        <v>727</v>
      </c>
      <c r="G144" t="s">
        <v>2804</v>
      </c>
      <c r="H144" t="s">
        <v>727</v>
      </c>
      <c r="I144" t="s">
        <v>727</v>
      </c>
      <c r="J144" t="s">
        <v>727</v>
      </c>
      <c r="K144" t="s">
        <v>727</v>
      </c>
    </row>
    <row r="145" spans="2:4" ht="15">
      <c r="B145" s="1">
        <v>73</v>
      </c>
      <c r="C145" t="str">
        <f ca="1">IFERROR(__xludf.DUMMYFUNCTION((TRANSPOSE(ImportHTML("http://spending.data.al/sq/moneypower/view/id/73/year/2011", "table",2)))),"*Kategoria*")</f>
        <v>*Kategoria*</v>
      </c>
      <c r="D145" t="s">
        <v>2589</v>
      </c>
    </row>
    <row r="146" spans="2:4" ht="15">
      <c r="B146" s="7"/>
      <c r="C146" t="s">
        <v>686</v>
      </c>
    </row>
    <row r="147" spans="2:4" ht="15">
      <c r="B147" s="1">
        <v>74</v>
      </c>
      <c r="C147" t="str">
        <f ca="1">IFERROR(__xludf.DUMMYFUNCTION((TRANSPOSE(ImportHTML("http://spending.data.al/sq/moneypower/view/id/74/year/2011", "table",2)))),"*Kategoria*")</f>
        <v>*Kategoria*</v>
      </c>
      <c r="D147" t="s">
        <v>2589</v>
      </c>
    </row>
    <row r="148" spans="2:4" ht="15">
      <c r="B148" s="7"/>
      <c r="C148" t="s">
        <v>686</v>
      </c>
    </row>
    <row r="149" spans="2:4" ht="15">
      <c r="B149" s="1">
        <v>75</v>
      </c>
      <c r="C149" t="str">
        <f ca="1">IFERROR(__xludf.DUMMYFUNCTION((TRANSPOSE(ImportHTML("http://spending.data.al/sq/moneypower/view/id/75/year/2011", "table",2)))),"*Kategoria*")</f>
        <v>*Kategoria*</v>
      </c>
      <c r="D149" t="s">
        <v>2589</v>
      </c>
    </row>
    <row r="150" spans="2:4" ht="15">
      <c r="B150" s="7"/>
      <c r="C150" t="s">
        <v>686</v>
      </c>
    </row>
    <row r="151" spans="2:4" ht="15">
      <c r="B151" s="1">
        <v>76</v>
      </c>
      <c r="C151" t="str">
        <f ca="1">IFERROR(__xludf.DUMMYFUNCTION((TRANSPOSE(ImportHTML("http://spending.data.al/sq/moneypower/view/id/76/year/2011", "table",2)))),"*Kategoria*")</f>
        <v>*Kategoria*</v>
      </c>
      <c r="D151" t="s">
        <v>2589</v>
      </c>
    </row>
    <row r="152" spans="2:4" ht="15">
      <c r="B152" s="7"/>
      <c r="C152" t="s">
        <v>686</v>
      </c>
    </row>
    <row r="153" spans="2:4" ht="15">
      <c r="B153" s="1">
        <v>77</v>
      </c>
      <c r="C153" t="str">
        <f ca="1">IFERROR(__xludf.DUMMYFUNCTION((TRANSPOSE(ImportHTML("http://spending.data.al/sq/moneypower/view/id/77/year/2011", "table",2)))),"*Kategoria*")</f>
        <v>*Kategoria*</v>
      </c>
      <c r="D153" t="s">
        <v>2589</v>
      </c>
    </row>
    <row r="154" spans="2:4" ht="15">
      <c r="B154" s="7"/>
      <c r="C154" t="s">
        <v>686</v>
      </c>
    </row>
    <row r="155" spans="2:4" ht="15">
      <c r="B155" s="1">
        <v>78</v>
      </c>
      <c r="C155" t="str">
        <f ca="1">IFERROR(__xludf.DUMMYFUNCTION((TRANSPOSE(ImportHTML("http://spending.data.al/sq/moneypower/view/id/78/year/2011", "table",2)))),"*Kategoria*")</f>
        <v>*Kategoria*</v>
      </c>
      <c r="D155" t="s">
        <v>2589</v>
      </c>
    </row>
    <row r="156" spans="2:4" ht="15">
      <c r="B156" s="7"/>
      <c r="C156" t="s">
        <v>686</v>
      </c>
    </row>
    <row r="157" spans="2:4" ht="15">
      <c r="B157" s="1">
        <v>79</v>
      </c>
      <c r="C157" t="str">
        <f ca="1">IFERROR(__xludf.DUMMYFUNCTION((TRANSPOSE(ImportHTML("http://spending.data.al/sq/moneypower/view/id/79/year/2011", "table",2)))),"*Kategoria*")</f>
        <v>*Kategoria*</v>
      </c>
      <c r="D157" t="s">
        <v>2589</v>
      </c>
    </row>
    <row r="158" spans="2:4" ht="15">
      <c r="B158" s="7"/>
      <c r="C158" t="s">
        <v>686</v>
      </c>
    </row>
    <row r="159" spans="2:4" ht="15">
      <c r="B159" s="1">
        <v>80</v>
      </c>
      <c r="C159" t="str">
        <f ca="1">IFERROR(__xludf.DUMMYFUNCTION((TRANSPOSE(ImportHTML("http://spending.data.al/sq/moneypower/view/id/80/year/2011", "table",2)))),"*Kategoria*")</f>
        <v>*Kategoria*</v>
      </c>
      <c r="D159" t="s">
        <v>2589</v>
      </c>
    </row>
    <row r="160" spans="2:4" ht="15">
      <c r="B160" s="7"/>
      <c r="C160" t="s">
        <v>686</v>
      </c>
    </row>
    <row r="161" spans="2:4" ht="15">
      <c r="B161" s="1">
        <v>81</v>
      </c>
      <c r="C161" t="str">
        <f ca="1">IFERROR(__xludf.DUMMYFUNCTION((TRANSPOSE(ImportHTML("http://spending.data.al/sq/moneypower/view/id/81/year/2011", "table",2)))),"*Kategoria*")</f>
        <v>*Kategoria*</v>
      </c>
      <c r="D161" t="s">
        <v>2589</v>
      </c>
    </row>
    <row r="162" spans="2:4" ht="15">
      <c r="B162" s="7"/>
      <c r="C162" t="s">
        <v>686</v>
      </c>
    </row>
    <row r="163" spans="2:4" ht="15">
      <c r="B163" s="1">
        <v>82</v>
      </c>
      <c r="C163" t="str">
        <f ca="1">IFERROR(__xludf.DUMMYFUNCTION((TRANSPOSE(ImportHTML("http://spending.data.al/sq/moneypower/view/id/82/year/2011", "table",2)))),"*Kategoria*")</f>
        <v>*Kategoria*</v>
      </c>
      <c r="D163" t="s">
        <v>2589</v>
      </c>
    </row>
    <row r="164" spans="2:4" ht="15">
      <c r="B164" s="7"/>
      <c r="C164" t="s">
        <v>686</v>
      </c>
    </row>
    <row r="165" spans="2:4" ht="15">
      <c r="B165" s="1">
        <v>83</v>
      </c>
      <c r="C165" t="str">
        <f ca="1">IFERROR(__xludf.DUMMYFUNCTION((TRANSPOSE(ImportHTML("http://spending.data.al/sq/moneypower/view/id/83/year/2011", "table",2)))),"*Kategoria*")</f>
        <v>*Kategoria*</v>
      </c>
      <c r="D165" t="s">
        <v>2589</v>
      </c>
    </row>
    <row r="166" spans="2:4" ht="15">
      <c r="B166" s="7"/>
      <c r="C166" t="s">
        <v>686</v>
      </c>
    </row>
    <row r="167" spans="2:4" ht="15">
      <c r="B167" s="1">
        <v>84</v>
      </c>
      <c r="C167" t="str">
        <f ca="1">IFERROR(__xludf.DUMMYFUNCTION((TRANSPOSE(ImportHTML("http://spending.data.al/sq/moneypower/view/id/84/year/2011", "table",2)))),"*Kategoria*")</f>
        <v>*Kategoria*</v>
      </c>
      <c r="D167" t="s">
        <v>2589</v>
      </c>
    </row>
    <row r="168" spans="2:4" ht="15">
      <c r="B168" s="7"/>
      <c r="C168" t="s">
        <v>686</v>
      </c>
    </row>
    <row r="169" spans="2:4" ht="15">
      <c r="B169" s="1">
        <v>85</v>
      </c>
      <c r="C169" t="str">
        <f ca="1">IFERROR(__xludf.DUMMYFUNCTION((TRANSPOSE(ImportHTML("http://spending.data.al/sq/moneypower/view/id/85/year/2011", "table",2)))),"*Kategoria*")</f>
        <v>*Kategoria*</v>
      </c>
      <c r="D169" t="s">
        <v>2589</v>
      </c>
    </row>
    <row r="170" spans="2:4" ht="15">
      <c r="B170" s="7"/>
      <c r="C170" t="s">
        <v>686</v>
      </c>
    </row>
    <row r="171" spans="2:4" ht="15">
      <c r="B171" s="1">
        <v>86</v>
      </c>
      <c r="C171" t="str">
        <f ca="1">IFERROR(__xludf.DUMMYFUNCTION((TRANSPOSE(ImportHTML("http://spending.data.al/sq/moneypower/view/id/86/year/2011", "table",2)))),"*Kategoria*")</f>
        <v>*Kategoria*</v>
      </c>
      <c r="D171" t="s">
        <v>2589</v>
      </c>
    </row>
    <row r="172" spans="2:4" ht="15">
      <c r="B172" s="7"/>
      <c r="C172" t="s">
        <v>686</v>
      </c>
    </row>
    <row r="173" spans="2:4" ht="15">
      <c r="B173" s="1">
        <v>87</v>
      </c>
      <c r="C173" t="str">
        <f ca="1">IFERROR(__xludf.DUMMYFUNCTION((TRANSPOSE(ImportHTML("http://spending.data.al/sq/moneypower/view/id/87/year/2011", "table",2)))),"*Kategoria*")</f>
        <v>*Kategoria*</v>
      </c>
      <c r="D173" t="s">
        <v>2589</v>
      </c>
    </row>
    <row r="174" spans="2:4" ht="15">
      <c r="B174" s="7"/>
      <c r="C174" t="s">
        <v>686</v>
      </c>
    </row>
    <row r="175" spans="2:4" ht="15">
      <c r="B175" s="1">
        <v>88</v>
      </c>
      <c r="C175" t="str">
        <f ca="1">IFERROR(__xludf.DUMMYFUNCTION((TRANSPOSE(ImportHTML("http://spending.data.al/sq/moneypower/view/id/88/year/2011", "table",2)))),"*Kategoria*")</f>
        <v>*Kategoria*</v>
      </c>
      <c r="D175" t="s">
        <v>2589</v>
      </c>
    </row>
    <row r="176" spans="2:4" ht="15">
      <c r="B176" s="7"/>
      <c r="C176" t="s">
        <v>686</v>
      </c>
    </row>
    <row r="177" spans="2:11" ht="15">
      <c r="B177" s="1">
        <v>89</v>
      </c>
      <c r="C177" t="str">
        <f ca="1">IFERROR(__xludf.DUMMYFUNCTION((TRANSPOSE(ImportHTML("http://spending.data.al/sq/moneypower/view/id/89/year/2011", "table",2)))),"*Kategoria*")</f>
        <v>*Kategoria*</v>
      </c>
      <c r="D177" t="s">
        <v>2589</v>
      </c>
    </row>
    <row r="178" spans="2:11" ht="15">
      <c r="B178" s="7"/>
      <c r="C178" t="s">
        <v>686</v>
      </c>
    </row>
    <row r="179" spans="2:11" ht="15">
      <c r="B179" s="1">
        <v>90</v>
      </c>
      <c r="C179" t="str">
        <f ca="1">IFERROR(__xludf.DUMMYFUNCTION((TRANSPOSE(ImportHTML("http://spending.data.al/sq/moneypower/view/id/90/year/2011", "table",2)))),"*Kategoria*")</f>
        <v>*Kategoria*</v>
      </c>
      <c r="D179" t="s">
        <v>2589</v>
      </c>
    </row>
    <row r="180" spans="2:11" ht="15">
      <c r="B180" s="7"/>
      <c r="C180" t="s">
        <v>686</v>
      </c>
    </row>
    <row r="181" spans="2:11" ht="15">
      <c r="B181" s="1">
        <v>91</v>
      </c>
      <c r="C181" t="str">
        <f ca="1">IFERROR(__xludf.DUMMYFUNCTION((TRANSPOSE(ImportHTML("http://spending.data.al/sq/moneypower/view/id/91/year/2011", "table",2)))),"*Kategoria*")</f>
        <v>*Kategoria*</v>
      </c>
      <c r="E181" t="s">
        <v>719</v>
      </c>
      <c r="F181" t="s">
        <v>720</v>
      </c>
      <c r="G181" t="s">
        <v>721</v>
      </c>
      <c r="H181" t="s">
        <v>722</v>
      </c>
      <c r="I181" t="s">
        <v>723</v>
      </c>
      <c r="J181" t="s">
        <v>724</v>
      </c>
      <c r="K181" t="s">
        <v>685</v>
      </c>
    </row>
    <row r="182" spans="2:11" ht="15">
      <c r="B182" s="7"/>
      <c r="C182" t="s">
        <v>686</v>
      </c>
      <c r="E182" t="s">
        <v>2805</v>
      </c>
      <c r="F182" t="s">
        <v>2806</v>
      </c>
      <c r="G182" t="s">
        <v>2807</v>
      </c>
      <c r="H182" t="s">
        <v>727</v>
      </c>
      <c r="I182" t="s">
        <v>727</v>
      </c>
      <c r="J182" t="s">
        <v>727</v>
      </c>
      <c r="K182" t="s">
        <v>707</v>
      </c>
    </row>
    <row r="183" spans="2:11" ht="15">
      <c r="B183" s="1">
        <v>92</v>
      </c>
      <c r="C183" t="str">
        <f ca="1">IFERROR(__xludf.DUMMYFUNCTION((TRANSPOSE(ImportHTML("http://spending.data.al/sq/moneypower/view/id/92/year/2011", "table",2)))),"*Kategoria*")</f>
        <v>*Kategoria*</v>
      </c>
      <c r="E183" t="s">
        <v>719</v>
      </c>
      <c r="F183" t="s">
        <v>720</v>
      </c>
      <c r="G183" t="s">
        <v>721</v>
      </c>
      <c r="H183" t="s">
        <v>722</v>
      </c>
      <c r="I183" t="s">
        <v>723</v>
      </c>
      <c r="J183" t="s">
        <v>724</v>
      </c>
      <c r="K183" t="s">
        <v>685</v>
      </c>
    </row>
    <row r="184" spans="2:11" ht="15">
      <c r="B184" s="7"/>
      <c r="C184" t="s">
        <v>686</v>
      </c>
      <c r="E184" t="s">
        <v>2808</v>
      </c>
      <c r="F184" t="s">
        <v>2809</v>
      </c>
      <c r="G184" t="s">
        <v>2810</v>
      </c>
      <c r="H184" t="s">
        <v>2811</v>
      </c>
      <c r="I184" t="s">
        <v>2601</v>
      </c>
      <c r="J184" t="s">
        <v>2601</v>
      </c>
      <c r="K184" t="s">
        <v>707</v>
      </c>
    </row>
    <row r="185" spans="2:11" ht="15">
      <c r="B185" s="1">
        <v>93</v>
      </c>
      <c r="C185" t="str">
        <f ca="1">IFERROR(__xludf.DUMMYFUNCTION((TRANSPOSE(ImportHTML("http://spending.data.al/sq/moneypower/view/id/93/year/2011", "table",2)))),"*Kategoria*")</f>
        <v>*Kategoria*</v>
      </c>
      <c r="E185" t="s">
        <v>719</v>
      </c>
      <c r="F185" t="s">
        <v>720</v>
      </c>
      <c r="G185" t="s">
        <v>721</v>
      </c>
      <c r="H185" t="s">
        <v>722</v>
      </c>
      <c r="I185" t="s">
        <v>723</v>
      </c>
      <c r="J185" t="s">
        <v>724</v>
      </c>
      <c r="K185" t="s">
        <v>685</v>
      </c>
    </row>
    <row r="186" spans="2:11" ht="15">
      <c r="B186" s="7"/>
      <c r="C186" t="s">
        <v>686</v>
      </c>
      <c r="E186" t="s">
        <v>2812</v>
      </c>
      <c r="F186" t="s">
        <v>2813</v>
      </c>
      <c r="G186" t="s">
        <v>727</v>
      </c>
      <c r="H186" t="s">
        <v>727</v>
      </c>
      <c r="I186" t="s">
        <v>727</v>
      </c>
      <c r="J186" t="s">
        <v>727</v>
      </c>
      <c r="K186" t="s">
        <v>707</v>
      </c>
    </row>
    <row r="187" spans="2:11" ht="15">
      <c r="B187" s="1">
        <v>94</v>
      </c>
      <c r="C187" t="str">
        <f ca="1">IFERROR(__xludf.DUMMYFUNCTION((TRANSPOSE(ImportHTML("http://spending.data.al/sq/moneypower/view/id/94/year/2011", "table",2)))),"*Kategoria*")</f>
        <v>*Kategoria*</v>
      </c>
      <c r="D187" t="s">
        <v>2589</v>
      </c>
    </row>
    <row r="188" spans="2:11" ht="15">
      <c r="B188" s="7"/>
      <c r="C188" t="s">
        <v>686</v>
      </c>
    </row>
    <row r="189" spans="2:11" ht="15">
      <c r="B189" s="1">
        <v>95</v>
      </c>
      <c r="C189" t="str">
        <f ca="1">IFERROR(__xludf.DUMMYFUNCTION((TRANSPOSE(ImportHTML("http://spending.data.al/sq/moneypower/view/id/95/year/2011", "table",2)))),"*Kategoria*")</f>
        <v>*Kategoria*</v>
      </c>
      <c r="D189" t="s">
        <v>2589</v>
      </c>
    </row>
    <row r="190" spans="2:11" ht="15">
      <c r="B190" s="7"/>
      <c r="C190" t="s">
        <v>686</v>
      </c>
    </row>
    <row r="191" spans="2:11" ht="15">
      <c r="B191" s="1">
        <v>96</v>
      </c>
      <c r="C191" t="str">
        <f ca="1">IFERROR(__xludf.DUMMYFUNCTION((TRANSPOSE(ImportHTML("http://spending.data.al/sq/moneypower/view/id/96/year/2011", "table",2)))),"*Kategoria*")</f>
        <v>*Kategoria*</v>
      </c>
      <c r="E191" t="s">
        <v>719</v>
      </c>
      <c r="F191" t="s">
        <v>720</v>
      </c>
      <c r="G191" t="s">
        <v>721</v>
      </c>
      <c r="H191" t="s">
        <v>722</v>
      </c>
      <c r="I191" t="s">
        <v>723</v>
      </c>
      <c r="J191" t="s">
        <v>724</v>
      </c>
      <c r="K191" t="s">
        <v>685</v>
      </c>
    </row>
    <row r="192" spans="2:11" ht="15">
      <c r="B192" s="7"/>
      <c r="C192" t="s">
        <v>686</v>
      </c>
      <c r="E192" t="s">
        <v>2601</v>
      </c>
      <c r="F192" t="s">
        <v>2814</v>
      </c>
      <c r="G192" t="s">
        <v>2815</v>
      </c>
      <c r="H192" t="s">
        <v>2601</v>
      </c>
      <c r="I192" t="s">
        <v>2601</v>
      </c>
      <c r="J192" t="s">
        <v>2601</v>
      </c>
      <c r="K192" t="s">
        <v>707</v>
      </c>
    </row>
    <row r="193" spans="2:10" ht="15">
      <c r="B193" s="1">
        <v>97</v>
      </c>
      <c r="C193" t="str">
        <f ca="1">IFERROR(__xludf.DUMMYFUNCTION((TRANSPOSE(ImportHTML("http://spending.data.al/sq/moneypower/view/id/97/year/2011", "table",2)))),"*Kategoria*")</f>
        <v>*Kategoria*</v>
      </c>
      <c r="D193" t="s">
        <v>2589</v>
      </c>
    </row>
    <row r="194" spans="2:10" ht="15">
      <c r="B194" s="7"/>
      <c r="C194" t="s">
        <v>686</v>
      </c>
    </row>
    <row r="195" spans="2:10" ht="15">
      <c r="B195" s="1">
        <v>98</v>
      </c>
      <c r="C195" t="str">
        <f ca="1">IFERROR(__xludf.DUMMYFUNCTION((TRANSPOSE(ImportHTML("http://spending.data.al/sq/moneypower/view/id/98/year/2011", "table",2)))),"*Kategoria*")</f>
        <v>*Kategoria*</v>
      </c>
      <c r="D195" t="s">
        <v>2589</v>
      </c>
    </row>
    <row r="196" spans="2:10" ht="15">
      <c r="B196" s="7"/>
      <c r="C196" t="s">
        <v>686</v>
      </c>
    </row>
    <row r="197" spans="2:10" ht="15">
      <c r="B197" s="1">
        <v>99</v>
      </c>
      <c r="C197" t="str">
        <f ca="1">IFERROR(__xludf.DUMMYFUNCTION((TRANSPOSE(ImportHTML("http://spending.data.al/sq/moneypower/view/id/99/year/2011", "table",2)))),"*Kategoria*")</f>
        <v>*Kategoria*</v>
      </c>
      <c r="D197" t="s">
        <v>2589</v>
      </c>
    </row>
    <row r="198" spans="2:10" ht="15">
      <c r="B198" s="7"/>
      <c r="C198" t="s">
        <v>686</v>
      </c>
    </row>
    <row r="199" spans="2:10" ht="15">
      <c r="B199" s="1">
        <v>100</v>
      </c>
      <c r="C199" t="str">
        <f ca="1">IFERROR(__xludf.DUMMYFUNCTION((TRANSPOSE(ImportHTML("http://spending.data.al/sq/moneypower/view/id/100/year/2011", "table",2)))),"*Kategoria*")</f>
        <v>*Kategoria*</v>
      </c>
      <c r="E199" t="s">
        <v>719</v>
      </c>
      <c r="F199" t="s">
        <v>720</v>
      </c>
      <c r="G199" t="s">
        <v>721</v>
      </c>
      <c r="H199" t="s">
        <v>722</v>
      </c>
      <c r="I199" t="s">
        <v>723</v>
      </c>
      <c r="J199" t="s">
        <v>724</v>
      </c>
    </row>
    <row r="200" spans="2:10" ht="15">
      <c r="B200" s="7"/>
      <c r="C200" t="s">
        <v>686</v>
      </c>
      <c r="E200" t="s">
        <v>2816</v>
      </c>
      <c r="F200" t="s">
        <v>2817</v>
      </c>
      <c r="G200" t="s">
        <v>727</v>
      </c>
      <c r="H200" t="s">
        <v>727</v>
      </c>
      <c r="I200" t="s">
        <v>727</v>
      </c>
      <c r="J200" t="s">
        <v>727</v>
      </c>
    </row>
    <row r="201" spans="2:10" ht="15">
      <c r="B201" s="1">
        <v>101</v>
      </c>
      <c r="C201" t="str">
        <f ca="1">IFERROR(__xludf.DUMMYFUNCTION((TRANSPOSE(ImportHTML("http://spending.data.al/sq/moneypower/view/id/101/year/2011", "table",2)))),"*Kategoria*")</f>
        <v>*Kategoria*</v>
      </c>
      <c r="D201" t="s">
        <v>2589</v>
      </c>
    </row>
    <row r="202" spans="2:10" ht="15">
      <c r="B202" s="7"/>
      <c r="C202" t="s">
        <v>686</v>
      </c>
    </row>
    <row r="203" spans="2:10" ht="15">
      <c r="B203" s="1">
        <v>102</v>
      </c>
      <c r="C203" t="str">
        <f ca="1">IFERROR(__xludf.DUMMYFUNCTION((TRANSPOSE(ImportHTML("http://spending.data.al/sq/moneypower/view/id/102/year/2011", "table",2)))),"*Kategoria*")</f>
        <v>*Kategoria*</v>
      </c>
      <c r="D203" t="s">
        <v>2589</v>
      </c>
    </row>
    <row r="204" spans="2:10" ht="15">
      <c r="B204" s="7"/>
      <c r="C204" t="s">
        <v>686</v>
      </c>
    </row>
    <row r="205" spans="2:10" ht="15">
      <c r="B205" s="1">
        <v>103</v>
      </c>
      <c r="C205" t="str">
        <f ca="1">IFERROR(__xludf.DUMMYFUNCTION((TRANSPOSE(ImportHTML("http://spending.data.al/sq/moneypower/view/id/103/year/2011", "table",2)))),"*Kategoria*")</f>
        <v>*Kategoria*</v>
      </c>
      <c r="D205" t="s">
        <v>2589</v>
      </c>
    </row>
    <row r="206" spans="2:10" ht="15">
      <c r="B206" s="7"/>
      <c r="C206" t="s">
        <v>686</v>
      </c>
    </row>
    <row r="207" spans="2:10" ht="15">
      <c r="B207" s="1">
        <v>104</v>
      </c>
      <c r="C207" t="str">
        <f ca="1">IFERROR(__xludf.DUMMYFUNCTION((TRANSPOSE(ImportHTML("http://spending.data.al/sq/moneypower/view/id/104/year/2011", "table",2)))),"*Kategoria*")</f>
        <v>*Kategoria*</v>
      </c>
      <c r="D207" t="s">
        <v>2589</v>
      </c>
    </row>
    <row r="208" spans="2:10" ht="15">
      <c r="B208" s="7"/>
      <c r="C208" t="s">
        <v>686</v>
      </c>
    </row>
    <row r="209" spans="2:11" ht="15">
      <c r="B209" s="1">
        <v>105</v>
      </c>
      <c r="C209" t="str">
        <f ca="1">IFERROR(__xludf.DUMMYFUNCTION((TRANSPOSE(ImportHTML("http://spending.data.al/sq/moneypower/view/id/105/year/2011", "table",2)))),"*Kategoria*")</f>
        <v>*Kategoria*</v>
      </c>
      <c r="D209" t="s">
        <v>2589</v>
      </c>
    </row>
    <row r="210" spans="2:11" ht="15">
      <c r="B210" s="7"/>
      <c r="C210" t="s">
        <v>686</v>
      </c>
    </row>
    <row r="211" spans="2:11" ht="15">
      <c r="B211" s="1">
        <v>106</v>
      </c>
      <c r="C211" t="str">
        <f ca="1">IFERROR(__xludf.DUMMYFUNCTION((TRANSPOSE(ImportHTML("http://spending.data.al/sq/moneypower/view/id/106/year/2011", "table",2)))),"*Kategoria*")</f>
        <v>*Kategoria*</v>
      </c>
      <c r="D211" t="s">
        <v>2589</v>
      </c>
    </row>
    <row r="212" spans="2:11" ht="15">
      <c r="B212" s="7"/>
      <c r="C212" t="s">
        <v>686</v>
      </c>
    </row>
    <row r="213" spans="2:11" ht="15">
      <c r="B213" s="1">
        <v>107</v>
      </c>
      <c r="C213" t="str">
        <f ca="1">IFERROR(__xludf.DUMMYFUNCTION((TRANSPOSE(ImportHTML("http://spending.data.al/sq/moneypower/view/id/107/year/2011", "table",2)))),"*Kategoria*")</f>
        <v>*Kategoria*</v>
      </c>
      <c r="D213" t="s">
        <v>2589</v>
      </c>
    </row>
    <row r="214" spans="2:11" ht="15">
      <c r="B214" s="7"/>
      <c r="C214" t="s">
        <v>686</v>
      </c>
    </row>
    <row r="215" spans="2:11" ht="15">
      <c r="B215" s="1">
        <v>108</v>
      </c>
      <c r="C215" t="str">
        <f ca="1">IFERROR(__xludf.DUMMYFUNCTION((TRANSPOSE(ImportHTML("http://spending.data.al/sq/moneypower/view/id/108/year/2011", "table",2)))),"*Kategoria*")</f>
        <v>*Kategoria*</v>
      </c>
      <c r="D215" t="s">
        <v>2589</v>
      </c>
    </row>
    <row r="216" spans="2:11" ht="15">
      <c r="B216" s="7"/>
      <c r="C216" t="s">
        <v>686</v>
      </c>
    </row>
    <row r="217" spans="2:11" ht="15">
      <c r="B217" s="1">
        <v>109</v>
      </c>
      <c r="C217" t="str">
        <f ca="1">IFERROR(__xludf.DUMMYFUNCTION((TRANSPOSE(ImportHTML("http://spending.data.al/sq/moneypower/view/id/109/year/2011", "table",2)))),"*Kategoria*")</f>
        <v>*Kategoria*</v>
      </c>
      <c r="D217" t="s">
        <v>2589</v>
      </c>
    </row>
    <row r="218" spans="2:11" ht="15">
      <c r="B218" s="7"/>
      <c r="C218" t="s">
        <v>686</v>
      </c>
    </row>
    <row r="219" spans="2:11" ht="15">
      <c r="B219" s="1">
        <v>110</v>
      </c>
      <c r="C219" t="str">
        <f ca="1">IFERROR(__xludf.DUMMYFUNCTION((TRANSPOSE(ImportHTML("http://spending.data.al/sq/moneypower/view/id/110/year/2011", "table",2)))),"*Kategoria*")</f>
        <v>*Kategoria*</v>
      </c>
      <c r="E219" t="s">
        <v>719</v>
      </c>
      <c r="F219" t="s">
        <v>720</v>
      </c>
      <c r="G219" t="s">
        <v>721</v>
      </c>
      <c r="H219" t="s">
        <v>722</v>
      </c>
      <c r="I219" t="s">
        <v>723</v>
      </c>
      <c r="J219" t="s">
        <v>724</v>
      </c>
      <c r="K219" t="s">
        <v>685</v>
      </c>
    </row>
    <row r="220" spans="2:11" ht="15">
      <c r="B220" s="7"/>
      <c r="C220" t="s">
        <v>686</v>
      </c>
      <c r="E220" t="s">
        <v>2818</v>
      </c>
      <c r="F220" t="s">
        <v>2819</v>
      </c>
      <c r="G220" t="s">
        <v>2820</v>
      </c>
      <c r="H220" t="s">
        <v>688</v>
      </c>
      <c r="I220" t="s">
        <v>688</v>
      </c>
      <c r="J220" t="s">
        <v>688</v>
      </c>
      <c r="K220" t="s">
        <v>688</v>
      </c>
    </row>
    <row r="221" spans="2:11" ht="15">
      <c r="B221" s="1">
        <v>111</v>
      </c>
      <c r="C221" t="str">
        <f ca="1">IFERROR(__xludf.DUMMYFUNCTION((TRANSPOSE(ImportHTML("http://spending.data.al/sq/moneypower/view/id/111/year/2011", "table",2)))),"*Kategoria*")</f>
        <v>*Kategoria*</v>
      </c>
      <c r="E221" t="s">
        <v>719</v>
      </c>
      <c r="F221" t="s">
        <v>720</v>
      </c>
      <c r="G221" t="s">
        <v>721</v>
      </c>
      <c r="H221" t="s">
        <v>722</v>
      </c>
      <c r="I221" t="s">
        <v>723</v>
      </c>
      <c r="J221" t="s">
        <v>724</v>
      </c>
      <c r="K221" t="s">
        <v>685</v>
      </c>
    </row>
    <row r="222" spans="2:11" ht="15">
      <c r="B222" s="7"/>
      <c r="C222" t="s">
        <v>686</v>
      </c>
      <c r="E222" t="s">
        <v>2821</v>
      </c>
      <c r="F222" t="s">
        <v>2822</v>
      </c>
      <c r="G222" t="s">
        <v>2823</v>
      </c>
      <c r="H222" t="s">
        <v>688</v>
      </c>
      <c r="I222" t="s">
        <v>688</v>
      </c>
      <c r="J222" t="s">
        <v>688</v>
      </c>
      <c r="K222" t="s">
        <v>2824</v>
      </c>
    </row>
    <row r="223" spans="2:11" ht="15">
      <c r="B223" s="1">
        <v>112</v>
      </c>
      <c r="C223" t="str">
        <f ca="1">IFERROR(__xludf.DUMMYFUNCTION((TRANSPOSE(ImportHTML("http://spending.data.al/sq/moneypower/view/id/112/year/2011", "table",2)))),"*Kategoria*")</f>
        <v>*Kategoria*</v>
      </c>
      <c r="E223" t="s">
        <v>719</v>
      </c>
      <c r="F223" t="s">
        <v>720</v>
      </c>
      <c r="G223" t="s">
        <v>721</v>
      </c>
      <c r="H223" t="s">
        <v>722</v>
      </c>
      <c r="I223" t="s">
        <v>723</v>
      </c>
      <c r="J223" t="s">
        <v>724</v>
      </c>
      <c r="K223" t="s">
        <v>685</v>
      </c>
    </row>
    <row r="224" spans="2:11" ht="15">
      <c r="B224" s="7"/>
      <c r="C224" t="s">
        <v>686</v>
      </c>
      <c r="E224" t="s">
        <v>2825</v>
      </c>
      <c r="F224" t="s">
        <v>688</v>
      </c>
      <c r="G224" t="s">
        <v>2826</v>
      </c>
      <c r="H224" t="s">
        <v>688</v>
      </c>
      <c r="I224" t="s">
        <v>688</v>
      </c>
      <c r="J224" t="s">
        <v>2827</v>
      </c>
      <c r="K224" t="s">
        <v>2828</v>
      </c>
    </row>
    <row r="225" spans="2:4" ht="15">
      <c r="B225" s="1">
        <v>113</v>
      </c>
      <c r="C225" t="str">
        <f ca="1">IFERROR(__xludf.DUMMYFUNCTION((TRANSPOSE(ImportHTML("http://spending.data.al/sq/moneypower/view/id/113/year/2011", "table",2)))),"*Kategoria*")</f>
        <v>*Kategoria*</v>
      </c>
      <c r="D225" t="s">
        <v>2589</v>
      </c>
    </row>
    <row r="226" spans="2:4" ht="15">
      <c r="B226" s="7"/>
      <c r="C226" t="s">
        <v>686</v>
      </c>
    </row>
    <row r="227" spans="2:4" ht="15">
      <c r="B227" s="1">
        <v>114</v>
      </c>
      <c r="C227" t="str">
        <f ca="1">IFERROR(__xludf.DUMMYFUNCTION((TRANSPOSE(ImportHTML("http://spending.data.al/sq/moneypower/view/id/114/year/2011", "table",2)))),"*Kategoria*")</f>
        <v>*Kategoria*</v>
      </c>
      <c r="D227" t="s">
        <v>2589</v>
      </c>
    </row>
    <row r="228" spans="2:4" ht="15">
      <c r="B228" s="7"/>
      <c r="C228" t="s">
        <v>686</v>
      </c>
    </row>
    <row r="229" spans="2:4" ht="15">
      <c r="B229" s="1">
        <v>115</v>
      </c>
      <c r="C229" t="str">
        <f ca="1">IFERROR(__xludf.DUMMYFUNCTION((TRANSPOSE(ImportHTML("http://spending.data.al/sq/moneypower/view/id/115/year/2011", "table",2)))),"*Kategoria*")</f>
        <v>*Kategoria*</v>
      </c>
      <c r="D229" t="s">
        <v>2589</v>
      </c>
    </row>
    <row r="230" spans="2:4" ht="15">
      <c r="B230" s="7"/>
      <c r="C230" t="s">
        <v>686</v>
      </c>
    </row>
    <row r="231" spans="2:4" ht="15">
      <c r="B231" s="1">
        <v>116</v>
      </c>
      <c r="C231" t="str">
        <f ca="1">IFERROR(__xludf.DUMMYFUNCTION((TRANSPOSE(ImportHTML("http://spending.data.al/sq/moneypower/view/id/116/year/2011", "table",2)))),"*Kategoria*")</f>
        <v>*Kategoria*</v>
      </c>
      <c r="D231" t="s">
        <v>2589</v>
      </c>
    </row>
    <row r="232" spans="2:4" ht="15">
      <c r="B232" s="7"/>
      <c r="C232" t="s">
        <v>686</v>
      </c>
    </row>
    <row r="233" spans="2:4" ht="15">
      <c r="B233" s="1">
        <v>117</v>
      </c>
      <c r="C233" t="str">
        <f ca="1">IFERROR(__xludf.DUMMYFUNCTION((TRANSPOSE(ImportHTML("http://spending.data.al/sq/moneypower/view/id/117/year/2011", "table",2)))),"*Kategoria*")</f>
        <v>*Kategoria*</v>
      </c>
      <c r="D233" t="s">
        <v>2589</v>
      </c>
    </row>
    <row r="234" spans="2:4" ht="15">
      <c r="B234" s="7"/>
      <c r="C234" t="s">
        <v>686</v>
      </c>
    </row>
    <row r="235" spans="2:4" ht="15">
      <c r="B235" s="1">
        <v>118</v>
      </c>
      <c r="C235" t="str">
        <f ca="1">IFERROR(__xludf.DUMMYFUNCTION((TRANSPOSE(ImportHTML("http://spending.data.al/sq/moneypower/view/id/118/year/2011", "table",2)))),"*Kategoria*")</f>
        <v>*Kategoria*</v>
      </c>
      <c r="D235" t="s">
        <v>2589</v>
      </c>
    </row>
    <row r="236" spans="2:4" ht="15">
      <c r="B236" s="7"/>
      <c r="C236" t="s">
        <v>686</v>
      </c>
    </row>
    <row r="237" spans="2:4" ht="15">
      <c r="B237" s="1">
        <v>119</v>
      </c>
      <c r="C237" t="str">
        <f ca="1">IFERROR(__xludf.DUMMYFUNCTION((TRANSPOSE(ImportHTML("http://spending.data.al/sq/moneypower/view/id/119/year/2011", "table",2)))),"*Kategoria*")</f>
        <v>*Kategoria*</v>
      </c>
      <c r="D237" t="s">
        <v>2589</v>
      </c>
    </row>
    <row r="238" spans="2:4" ht="15">
      <c r="B238" s="7"/>
      <c r="C238" t="s">
        <v>686</v>
      </c>
    </row>
    <row r="239" spans="2:4" ht="15">
      <c r="B239" s="1">
        <v>120</v>
      </c>
      <c r="C239" t="str">
        <f ca="1">IFERROR(__xludf.DUMMYFUNCTION((TRANSPOSE(ImportHTML("http://spending.data.al/sq/moneypower/view/id/120/year/2011", "table",2)))),"*Kategoria*")</f>
        <v>*Kategoria*</v>
      </c>
      <c r="D239" t="s">
        <v>2589</v>
      </c>
    </row>
    <row r="240" spans="2:4" ht="15">
      <c r="B240" s="7"/>
      <c r="C240" t="s">
        <v>686</v>
      </c>
    </row>
    <row r="241" spans="2:11" ht="15">
      <c r="B241" s="1">
        <v>121</v>
      </c>
      <c r="C241" t="str">
        <f ca="1">IFERROR(__xludf.DUMMYFUNCTION((TRANSPOSE(ImportHTML("http://spending.data.al/sq/moneypower/view/id/121/year/2011", "table",2)))),"*Kategoria*")</f>
        <v>*Kategoria*</v>
      </c>
      <c r="D241" t="s">
        <v>2589</v>
      </c>
    </row>
    <row r="242" spans="2:11" ht="15">
      <c r="B242" s="7"/>
      <c r="C242" t="s">
        <v>686</v>
      </c>
    </row>
    <row r="243" spans="2:11" ht="15">
      <c r="B243" s="1">
        <v>122</v>
      </c>
      <c r="C243" t="str">
        <f ca="1">IFERROR(__xludf.DUMMYFUNCTION((TRANSPOSE(ImportHTML("http://spending.data.al/sq/moneypower/view/id/122/year/2011", "table",2)))),"*Kategoria*")</f>
        <v>*Kategoria*</v>
      </c>
      <c r="D243" t="s">
        <v>2589</v>
      </c>
    </row>
    <row r="244" spans="2:11" ht="15">
      <c r="B244" s="7"/>
      <c r="C244" t="s">
        <v>686</v>
      </c>
    </row>
    <row r="245" spans="2:11" ht="15">
      <c r="B245" s="1">
        <v>123</v>
      </c>
      <c r="C245" t="str">
        <f ca="1">IFERROR(__xludf.DUMMYFUNCTION((TRANSPOSE(ImportHTML("http://spending.data.al/sq/moneypower/view/id/123/year/2011", "table",2)))),"*Kategoria*")</f>
        <v>*Kategoria*</v>
      </c>
      <c r="D245" t="s">
        <v>2589</v>
      </c>
    </row>
    <row r="246" spans="2:11" ht="15">
      <c r="B246" s="7"/>
      <c r="C246" t="s">
        <v>686</v>
      </c>
    </row>
    <row r="247" spans="2:11" ht="15">
      <c r="B247" s="1">
        <v>124</v>
      </c>
      <c r="C247" t="str">
        <f ca="1">IFERROR(__xludf.DUMMYFUNCTION((TRANSPOSE(ImportHTML("http://spending.data.al/sq/moneypower/view/id/124/year/2011", "table",2)))),"*Kategoria*")</f>
        <v>*Kategoria*</v>
      </c>
      <c r="E247" t="s">
        <v>719</v>
      </c>
      <c r="F247" t="s">
        <v>720</v>
      </c>
      <c r="G247" t="s">
        <v>721</v>
      </c>
      <c r="H247" t="s">
        <v>722</v>
      </c>
      <c r="I247" t="s">
        <v>723</v>
      </c>
      <c r="J247" t="s">
        <v>724</v>
      </c>
      <c r="K247" t="s">
        <v>685</v>
      </c>
    </row>
    <row r="248" spans="2:11" ht="15">
      <c r="B248" s="7"/>
      <c r="C248" t="s">
        <v>686</v>
      </c>
      <c r="E248" t="s">
        <v>2829</v>
      </c>
      <c r="F248" t="s">
        <v>2830</v>
      </c>
      <c r="G248" t="s">
        <v>2831</v>
      </c>
      <c r="H248" t="s">
        <v>688</v>
      </c>
      <c r="I248" t="s">
        <v>2832</v>
      </c>
      <c r="J248" t="s">
        <v>688</v>
      </c>
      <c r="K248" t="s">
        <v>2833</v>
      </c>
    </row>
    <row r="249" spans="2:11" ht="15">
      <c r="B249" s="1">
        <v>125</v>
      </c>
      <c r="C249" t="str">
        <f ca="1">IFERROR(__xludf.DUMMYFUNCTION((TRANSPOSE(ImportHTML("http://spending.data.al/sq/moneypower/view/id/125/year/2011", "table",2)))),"*Kategoria*")</f>
        <v>*Kategoria*</v>
      </c>
      <c r="D249" t="s">
        <v>2589</v>
      </c>
    </row>
    <row r="250" spans="2:11" ht="15">
      <c r="B250" s="7"/>
      <c r="C250" t="s">
        <v>686</v>
      </c>
    </row>
    <row r="251" spans="2:11" ht="15">
      <c r="B251" s="1">
        <v>126</v>
      </c>
      <c r="C251" t="str">
        <f ca="1">IFERROR(__xludf.DUMMYFUNCTION((TRANSPOSE(ImportHTML("http://spending.data.al/sq/moneypower/view/id/126/year/2011", "table",2)))),"*Kategoria*")</f>
        <v>*Kategoria*</v>
      </c>
      <c r="E251" t="s">
        <v>719</v>
      </c>
      <c r="F251" t="s">
        <v>720</v>
      </c>
      <c r="G251" t="s">
        <v>721</v>
      </c>
      <c r="H251" t="s">
        <v>722</v>
      </c>
      <c r="I251" t="s">
        <v>723</v>
      </c>
      <c r="J251" t="s">
        <v>724</v>
      </c>
      <c r="K251" t="s">
        <v>685</v>
      </c>
    </row>
    <row r="252" spans="2:11" ht="15">
      <c r="B252" s="7"/>
      <c r="C252" t="s">
        <v>686</v>
      </c>
      <c r="E252" t="s">
        <v>2834</v>
      </c>
      <c r="F252" t="s">
        <v>2835</v>
      </c>
      <c r="G252" t="s">
        <v>2836</v>
      </c>
      <c r="H252" t="s">
        <v>688</v>
      </c>
      <c r="I252" t="s">
        <v>688</v>
      </c>
      <c r="J252" t="s">
        <v>688</v>
      </c>
      <c r="K252" t="s">
        <v>688</v>
      </c>
    </row>
    <row r="253" spans="2:11" ht="15">
      <c r="B253" s="1">
        <v>127</v>
      </c>
      <c r="C253" t="str">
        <f ca="1">IFERROR(__xludf.DUMMYFUNCTION((TRANSPOSE(ImportHTML("http://spending.data.al/sq/moneypower/view/id/127/year/2011", "table",2)))),"*Kategoria*")</f>
        <v>*Kategoria*</v>
      </c>
      <c r="E253" t="s">
        <v>719</v>
      </c>
      <c r="F253" t="s">
        <v>720</v>
      </c>
      <c r="G253" t="s">
        <v>721</v>
      </c>
      <c r="H253" t="s">
        <v>722</v>
      </c>
      <c r="I253" t="s">
        <v>723</v>
      </c>
      <c r="J253" t="s">
        <v>724</v>
      </c>
      <c r="K253" t="s">
        <v>685</v>
      </c>
    </row>
    <row r="254" spans="2:11" ht="15">
      <c r="B254" s="7"/>
      <c r="C254" t="s">
        <v>686</v>
      </c>
      <c r="E254" t="s">
        <v>2837</v>
      </c>
      <c r="F254" t="s">
        <v>2838</v>
      </c>
      <c r="G254" t="s">
        <v>688</v>
      </c>
      <c r="H254" t="s">
        <v>688</v>
      </c>
      <c r="I254" t="s">
        <v>688</v>
      </c>
      <c r="J254" t="s">
        <v>688</v>
      </c>
      <c r="K254" t="s">
        <v>688</v>
      </c>
    </row>
    <row r="255" spans="2:11" ht="15">
      <c r="B255" s="1">
        <v>128</v>
      </c>
      <c r="C255" t="str">
        <f ca="1">IFERROR(__xludf.DUMMYFUNCTION((TRANSPOSE(ImportHTML("http://spending.data.al/sq/moneypower/view/id/128/year/2011", "table",2)))),"*Kategoria*")</f>
        <v>*Kategoria*</v>
      </c>
      <c r="E255" t="s">
        <v>719</v>
      </c>
      <c r="F255" t="s">
        <v>720</v>
      </c>
      <c r="G255" t="s">
        <v>721</v>
      </c>
      <c r="H255" t="s">
        <v>722</v>
      </c>
      <c r="I255" t="s">
        <v>723</v>
      </c>
      <c r="J255" t="s">
        <v>724</v>
      </c>
      <c r="K255" t="s">
        <v>685</v>
      </c>
    </row>
    <row r="256" spans="2:11" ht="15">
      <c r="B256" s="7"/>
      <c r="C256" t="s">
        <v>686</v>
      </c>
      <c r="E256" t="s">
        <v>2839</v>
      </c>
      <c r="F256" t="s">
        <v>2840</v>
      </c>
      <c r="G256" t="s">
        <v>2841</v>
      </c>
      <c r="H256" t="s">
        <v>688</v>
      </c>
      <c r="I256" t="s">
        <v>2842</v>
      </c>
      <c r="J256" t="s">
        <v>688</v>
      </c>
      <c r="K256" t="s">
        <v>688</v>
      </c>
    </row>
    <row r="257" spans="2:11" ht="15">
      <c r="B257" s="1">
        <v>129</v>
      </c>
      <c r="C257" t="str">
        <f ca="1">IFERROR(__xludf.DUMMYFUNCTION((TRANSPOSE(ImportHTML("http://spending.data.al/sq/moneypower/view/id/129/year/2011", "table",2)))),"*Kategoria*")</f>
        <v>*Kategoria*</v>
      </c>
      <c r="E257" t="s">
        <v>719</v>
      </c>
      <c r="F257" t="s">
        <v>720</v>
      </c>
      <c r="G257" t="s">
        <v>721</v>
      </c>
      <c r="H257" t="s">
        <v>722</v>
      </c>
      <c r="I257" t="s">
        <v>723</v>
      </c>
      <c r="J257" t="s">
        <v>724</v>
      </c>
      <c r="K257" t="s">
        <v>685</v>
      </c>
    </row>
    <row r="258" spans="2:11" ht="15">
      <c r="B258" s="7"/>
      <c r="C258" t="s">
        <v>686</v>
      </c>
      <c r="E258" t="s">
        <v>2843</v>
      </c>
      <c r="F258" t="s">
        <v>2844</v>
      </c>
      <c r="G258" t="s">
        <v>2845</v>
      </c>
      <c r="H258" t="s">
        <v>688</v>
      </c>
      <c r="I258" t="s">
        <v>688</v>
      </c>
      <c r="J258" t="s">
        <v>688</v>
      </c>
      <c r="K258" t="s">
        <v>688</v>
      </c>
    </row>
    <row r="259" spans="2:11" ht="15">
      <c r="B259" s="1">
        <v>130</v>
      </c>
      <c r="C259" t="str">
        <f ca="1">IFERROR(__xludf.DUMMYFUNCTION((TRANSPOSE(ImportHTML("http://spending.data.al/sq/moneypower/view/id/130/year/2011", "table",2)))),"*Kategoria*")</f>
        <v>*Kategoria*</v>
      </c>
      <c r="D259" t="s">
        <v>2589</v>
      </c>
    </row>
    <row r="260" spans="2:11" ht="15">
      <c r="B260" s="7"/>
      <c r="C260" t="s">
        <v>686</v>
      </c>
    </row>
    <row r="261" spans="2:11" ht="15">
      <c r="B261" s="1">
        <v>131</v>
      </c>
      <c r="C261" t="str">
        <f ca="1">IFERROR(__xludf.DUMMYFUNCTION((TRANSPOSE(ImportHTML("http://spending.data.al/sq/moneypower/view/id/131/year/2011", "table",2)))),"*Kategoria*")</f>
        <v>*Kategoria*</v>
      </c>
      <c r="E261" t="s">
        <v>719</v>
      </c>
      <c r="F261" t="s">
        <v>720</v>
      </c>
      <c r="G261" t="s">
        <v>721</v>
      </c>
      <c r="H261" t="s">
        <v>722</v>
      </c>
      <c r="I261" t="s">
        <v>723</v>
      </c>
      <c r="J261" t="s">
        <v>724</v>
      </c>
      <c r="K261" t="s">
        <v>685</v>
      </c>
    </row>
    <row r="262" spans="2:11" ht="15">
      <c r="B262" s="7"/>
      <c r="C262" t="s">
        <v>686</v>
      </c>
      <c r="E262" t="s">
        <v>2846</v>
      </c>
      <c r="F262" t="s">
        <v>2847</v>
      </c>
      <c r="G262" t="s">
        <v>2848</v>
      </c>
      <c r="I262" t="s">
        <v>2849</v>
      </c>
      <c r="J262" t="s">
        <v>688</v>
      </c>
      <c r="K262" t="s">
        <v>2850</v>
      </c>
    </row>
    <row r="263" spans="2:11" ht="15">
      <c r="B263" s="1">
        <v>132</v>
      </c>
      <c r="C263" t="str">
        <f ca="1">IFERROR(__xludf.DUMMYFUNCTION((TRANSPOSE(ImportHTML("http://spending.data.al/sq/moneypower/view/id/132/year/2011", "table",2)))),"*Kategoria*")</f>
        <v>*Kategoria*</v>
      </c>
      <c r="D263" t="s">
        <v>2589</v>
      </c>
    </row>
    <row r="264" spans="2:11" ht="15">
      <c r="B264" s="7"/>
      <c r="C264" t="s">
        <v>686</v>
      </c>
    </row>
    <row r="265" spans="2:11" ht="15">
      <c r="B265" s="1">
        <v>133</v>
      </c>
      <c r="C265" t="str">
        <f ca="1">IFERROR(__xludf.DUMMYFUNCTION((TRANSPOSE(ImportHTML("http://spending.data.al/sq/moneypower/view/id/133/year/2011", "table",2)))),"*Kategoria*")</f>
        <v>*Kategoria*</v>
      </c>
      <c r="D265" t="s">
        <v>2589</v>
      </c>
    </row>
    <row r="266" spans="2:11" ht="15">
      <c r="B266" s="7"/>
      <c r="C266" t="s">
        <v>686</v>
      </c>
    </row>
    <row r="267" spans="2:11" ht="15">
      <c r="B267" s="1">
        <v>134</v>
      </c>
      <c r="C267" t="str">
        <f ca="1">IFERROR(__xludf.DUMMYFUNCTION((TRANSPOSE(ImportHTML("http://spending.data.al/sq/moneypower/view/id/134/year/2011", "table",2)))),"*Kategoria*")</f>
        <v>*Kategoria*</v>
      </c>
      <c r="E267" t="s">
        <v>719</v>
      </c>
      <c r="F267" t="s">
        <v>720</v>
      </c>
      <c r="G267" t="s">
        <v>721</v>
      </c>
      <c r="H267" t="s">
        <v>722</v>
      </c>
      <c r="I267" t="s">
        <v>723</v>
      </c>
      <c r="J267" t="s">
        <v>724</v>
      </c>
      <c r="K267" t="s">
        <v>685</v>
      </c>
    </row>
    <row r="268" spans="2:11" ht="15">
      <c r="B268" s="7"/>
      <c r="C268" t="s">
        <v>686</v>
      </c>
      <c r="E268" t="s">
        <v>2851</v>
      </c>
      <c r="F268" t="s">
        <v>2852</v>
      </c>
      <c r="G268" t="s">
        <v>2853</v>
      </c>
      <c r="H268" t="s">
        <v>688</v>
      </c>
      <c r="I268" t="s">
        <v>688</v>
      </c>
      <c r="J268" t="s">
        <v>688</v>
      </c>
      <c r="K268" t="s">
        <v>2854</v>
      </c>
    </row>
    <row r="269" spans="2:11" ht="15">
      <c r="B269" s="1">
        <v>135</v>
      </c>
      <c r="C269" t="str">
        <f ca="1">IFERROR(__xludf.DUMMYFUNCTION((TRANSPOSE(ImportHTML("http://spending.data.al/sq/moneypower/view/id/135/year/2011", "table",2)))),"*Kategoria*")</f>
        <v>*Kategoria*</v>
      </c>
      <c r="D269" t="s">
        <v>2589</v>
      </c>
    </row>
    <row r="270" spans="2:11" ht="15">
      <c r="B270" s="7"/>
      <c r="C270" t="s">
        <v>686</v>
      </c>
    </row>
    <row r="271" spans="2:11" ht="15">
      <c r="B271" s="1">
        <v>136</v>
      </c>
      <c r="C271" t="str">
        <f ca="1">IFERROR(__xludf.DUMMYFUNCTION((TRANSPOSE(ImportHTML("http://spending.data.al/sq/moneypower/view/id/136/year/2011", "table",2)))),"*Kategoria*")</f>
        <v>*Kategoria*</v>
      </c>
      <c r="D271" t="s">
        <v>2589</v>
      </c>
    </row>
    <row r="272" spans="2:11" ht="15">
      <c r="B272" s="7"/>
      <c r="C272" t="s">
        <v>686</v>
      </c>
    </row>
    <row r="273" spans="2:11" ht="15">
      <c r="B273" s="1">
        <v>137</v>
      </c>
      <c r="C273" t="str">
        <f ca="1">IFERROR(__xludf.DUMMYFUNCTION((TRANSPOSE(ImportHTML("http://spending.data.al/sq/moneypower/view/id/137/year/2011", "table",2)))),"*Kategoria*")</f>
        <v>*Kategoria*</v>
      </c>
      <c r="D273" t="s">
        <v>2589</v>
      </c>
    </row>
    <row r="274" spans="2:11" ht="15">
      <c r="B274" s="7"/>
      <c r="C274" t="s">
        <v>686</v>
      </c>
    </row>
    <row r="275" spans="2:11" ht="15">
      <c r="B275" s="1">
        <v>138</v>
      </c>
      <c r="C275" t="str">
        <f ca="1">IFERROR(__xludf.DUMMYFUNCTION((TRANSPOSE(ImportHTML("http://spending.data.al/sq/moneypower/view/id/138/year/2011", "table",2)))),"*Kategoria*")</f>
        <v>*Kategoria*</v>
      </c>
      <c r="D275" t="s">
        <v>2589</v>
      </c>
    </row>
    <row r="276" spans="2:11" ht="15">
      <c r="B276" s="7"/>
      <c r="C276" t="s">
        <v>686</v>
      </c>
    </row>
    <row r="277" spans="2:11" ht="15">
      <c r="B277" s="1">
        <v>139</v>
      </c>
      <c r="C277" t="str">
        <f ca="1">IFERROR(__xludf.DUMMYFUNCTION((TRANSPOSE(ImportHTML("http://spending.data.al/sq/moneypower/view/id/139/year/2011", "table",2)))),"*Kategoria*")</f>
        <v>*Kategoria*</v>
      </c>
      <c r="D277" t="s">
        <v>2589</v>
      </c>
    </row>
    <row r="278" spans="2:11" ht="15">
      <c r="B278" s="7"/>
      <c r="C278" t="s">
        <v>686</v>
      </c>
    </row>
    <row r="279" spans="2:11" ht="15">
      <c r="B279" s="1">
        <v>140</v>
      </c>
      <c r="C279" t="str">
        <f ca="1">IFERROR(__xludf.DUMMYFUNCTION((TRANSPOSE(ImportHTML("http://spending.data.al/sq/moneypower/view/id/140/year/2011", "table",2)))),"*Kategoria*")</f>
        <v>*Kategoria*</v>
      </c>
      <c r="D279" t="s">
        <v>2589</v>
      </c>
    </row>
    <row r="280" spans="2:11" ht="15">
      <c r="B280" s="7"/>
      <c r="C280" t="s">
        <v>686</v>
      </c>
    </row>
    <row r="281" spans="2:11" ht="15">
      <c r="B281" s="1">
        <v>141</v>
      </c>
      <c r="C281" t="str">
        <f ca="1">IFERROR(__xludf.DUMMYFUNCTION((TRANSPOSE(ImportHTML("http://spending.data.al/sq/moneypower/view/id/141/year/2011", "table",2)))),"*Kategoria*")</f>
        <v>*Kategoria*</v>
      </c>
      <c r="D281" t="s">
        <v>2589</v>
      </c>
    </row>
    <row r="282" spans="2:11" ht="15">
      <c r="B282" s="7"/>
      <c r="C282" t="s">
        <v>686</v>
      </c>
    </row>
    <row r="283" spans="2:11" ht="15">
      <c r="B283" s="1">
        <v>142</v>
      </c>
      <c r="C283" t="str">
        <f ca="1">IFERROR(__xludf.DUMMYFUNCTION((TRANSPOSE(ImportHTML("http://spending.data.al/sq/moneypower/view/id/142/year/2011", "table",2)))),"*Kategoria*")</f>
        <v>*Kategoria*</v>
      </c>
      <c r="D283" t="s">
        <v>2589</v>
      </c>
    </row>
    <row r="284" spans="2:11" ht="15">
      <c r="B284" s="7"/>
      <c r="C284" t="s">
        <v>686</v>
      </c>
    </row>
    <row r="285" spans="2:11" ht="15">
      <c r="B285" s="1">
        <v>143</v>
      </c>
      <c r="C285" t="str">
        <f ca="1">IFERROR(__xludf.DUMMYFUNCTION((TRANSPOSE(ImportHTML("http://spending.data.al/sq/moneypower/view/id/143/year/2011", "table",2)))),"*Kategoria*")</f>
        <v>*Kategoria*</v>
      </c>
      <c r="E285" t="s">
        <v>719</v>
      </c>
      <c r="F285" t="s">
        <v>720</v>
      </c>
      <c r="G285" t="s">
        <v>721</v>
      </c>
      <c r="H285" t="s">
        <v>722</v>
      </c>
      <c r="I285" t="s">
        <v>723</v>
      </c>
      <c r="J285" t="s">
        <v>724</v>
      </c>
      <c r="K285" t="s">
        <v>685</v>
      </c>
    </row>
    <row r="286" spans="2:11" ht="15">
      <c r="B286" s="7"/>
      <c r="C286" t="s">
        <v>686</v>
      </c>
      <c r="E286" t="s">
        <v>2855</v>
      </c>
      <c r="F286" t="s">
        <v>2856</v>
      </c>
      <c r="G286" t="s">
        <v>2857</v>
      </c>
      <c r="H286" t="s">
        <v>2858</v>
      </c>
      <c r="I286" t="s">
        <v>2859</v>
      </c>
      <c r="J286" t="s">
        <v>2860</v>
      </c>
      <c r="K286" t="s">
        <v>688</v>
      </c>
    </row>
    <row r="287" spans="2:11" ht="15">
      <c r="B287" s="1">
        <v>144</v>
      </c>
      <c r="C287" t="str">
        <f ca="1">IFERROR(__xludf.DUMMYFUNCTION((TRANSPOSE(ImportHTML("http://spending.data.al/sq/moneypower/view/id/144/year/2011", "table",2)))),"*Kategoria*")</f>
        <v>*Kategoria*</v>
      </c>
      <c r="D287" t="s">
        <v>2589</v>
      </c>
    </row>
    <row r="288" spans="2:11" ht="15">
      <c r="B288" s="7"/>
      <c r="C288" t="s">
        <v>686</v>
      </c>
    </row>
    <row r="289" spans="2:11" ht="15">
      <c r="B289" s="1">
        <v>145</v>
      </c>
      <c r="C289" t="str">
        <f ca="1">IFERROR(__xludf.DUMMYFUNCTION((TRANSPOSE(ImportHTML("http://spending.data.al/sq/moneypower/view/id/145/year/2011", "table",2)))),"*Kategoria*")</f>
        <v>*Kategoria*</v>
      </c>
      <c r="D289" t="s">
        <v>2589</v>
      </c>
    </row>
    <row r="290" spans="2:11" ht="15">
      <c r="B290" s="7"/>
      <c r="C290" t="s">
        <v>686</v>
      </c>
    </row>
    <row r="291" spans="2:11" ht="15">
      <c r="B291" s="1">
        <v>146</v>
      </c>
      <c r="C291" t="str">
        <f ca="1">IFERROR(__xludf.DUMMYFUNCTION((TRANSPOSE(ImportHTML("http://spending.data.al/sq/moneypower/view/id/146/year/2011", "table",2)))),"*Kategoria*")</f>
        <v>*Kategoria*</v>
      </c>
      <c r="D291" t="s">
        <v>2589</v>
      </c>
    </row>
    <row r="292" spans="2:11" ht="15">
      <c r="B292" s="7"/>
      <c r="C292" t="s">
        <v>686</v>
      </c>
    </row>
    <row r="293" spans="2:11" ht="15">
      <c r="B293" s="1">
        <v>147</v>
      </c>
      <c r="C293" t="str">
        <f ca="1">IFERROR(__xludf.DUMMYFUNCTION((TRANSPOSE(ImportHTML("http://spending.data.al/sq/moneypower/view/id/147/year/2011", "table",2)))),"*Kategoria*")</f>
        <v>*Kategoria*</v>
      </c>
      <c r="D293" t="s">
        <v>2589</v>
      </c>
    </row>
    <row r="294" spans="2:11" ht="15">
      <c r="B294" s="7"/>
      <c r="C294" t="s">
        <v>686</v>
      </c>
    </row>
    <row r="295" spans="2:11" ht="15">
      <c r="B295" s="1">
        <v>148</v>
      </c>
      <c r="C295" t="str">
        <f ca="1">IFERROR(__xludf.DUMMYFUNCTION((TRANSPOSE(ImportHTML("http://spending.data.al/sq/moneypower/view/id/148/year/2011", "table",2)))),"*Kategoria*")</f>
        <v>*Kategoria*</v>
      </c>
      <c r="D295" t="s">
        <v>2589</v>
      </c>
    </row>
    <row r="296" spans="2:11" ht="15">
      <c r="B296" s="7"/>
      <c r="C296" t="s">
        <v>686</v>
      </c>
    </row>
    <row r="297" spans="2:11" ht="15">
      <c r="B297" s="1">
        <v>149</v>
      </c>
      <c r="C297" t="str">
        <f ca="1">IFERROR(__xludf.DUMMYFUNCTION((TRANSPOSE(ImportHTML("http://spending.data.al/sq/moneypower/view/id/149/year/2011", "table",2)))),"*Kategoria*")</f>
        <v>*Kategoria*</v>
      </c>
      <c r="D297" t="s">
        <v>2589</v>
      </c>
    </row>
    <row r="298" spans="2:11" ht="15">
      <c r="B298" s="7"/>
      <c r="C298" t="s">
        <v>686</v>
      </c>
    </row>
    <row r="299" spans="2:11" ht="15">
      <c r="B299" s="1">
        <v>150</v>
      </c>
      <c r="C299" t="str">
        <f ca="1">IFERROR(__xludf.DUMMYFUNCTION((TRANSPOSE(ImportHTML("http://spending.data.al/sq/moneypower/view/id/150/year/2011", "table",2)))),"*Kategoria*")</f>
        <v>*Kategoria*</v>
      </c>
      <c r="D299" t="s">
        <v>2589</v>
      </c>
    </row>
    <row r="300" spans="2:11" ht="15">
      <c r="B300" s="7"/>
      <c r="C300" t="s">
        <v>686</v>
      </c>
    </row>
    <row r="301" spans="2:11" ht="15">
      <c r="B301" s="1">
        <v>151</v>
      </c>
      <c r="C301" t="str">
        <f ca="1">IFERROR(__xludf.DUMMYFUNCTION((TRANSPOSE(ImportHTML("http://spending.data.al/sq/moneypower/view/id/151/year/2011", "table",2)))),"*Kategoria*")</f>
        <v>*Kategoria*</v>
      </c>
      <c r="E301" t="s">
        <v>719</v>
      </c>
      <c r="F301" t="s">
        <v>720</v>
      </c>
      <c r="G301" t="s">
        <v>721</v>
      </c>
      <c r="H301" t="s">
        <v>722</v>
      </c>
      <c r="I301" t="s">
        <v>723</v>
      </c>
      <c r="J301" t="s">
        <v>724</v>
      </c>
      <c r="K301" t="s">
        <v>685</v>
      </c>
    </row>
    <row r="302" spans="2:11" ht="15">
      <c r="B302" s="7"/>
      <c r="C302" t="s">
        <v>686</v>
      </c>
      <c r="E302" t="s">
        <v>2861</v>
      </c>
      <c r="F302" t="s">
        <v>2862</v>
      </c>
      <c r="G302" t="s">
        <v>2863</v>
      </c>
      <c r="H302" t="s">
        <v>2601</v>
      </c>
      <c r="I302" t="s">
        <v>2601</v>
      </c>
      <c r="J302" t="s">
        <v>2601</v>
      </c>
      <c r="K302" t="s">
        <v>707</v>
      </c>
    </row>
    <row r="303" spans="2:11" ht="15">
      <c r="B303" s="1">
        <v>152</v>
      </c>
      <c r="C303" t="str">
        <f ca="1">IFERROR(__xludf.DUMMYFUNCTION((TRANSPOSE(ImportHTML("http://spending.data.al/sq/moneypower/view/id/152/year/2011", "table",2)))),"*Kategoria*")</f>
        <v>*Kategoria*</v>
      </c>
      <c r="D303" t="s">
        <v>2589</v>
      </c>
    </row>
    <row r="304" spans="2:11" ht="15">
      <c r="B304" s="7"/>
      <c r="C304" t="s">
        <v>686</v>
      </c>
    </row>
    <row r="305" spans="2:11" ht="15">
      <c r="B305" s="1">
        <v>153</v>
      </c>
      <c r="C305" t="str">
        <f ca="1">IFERROR(__xludf.DUMMYFUNCTION((TRANSPOSE(ImportHTML("http://spending.data.al/sq/moneypower/view/id/153/year/2011", "table",2)))),"*Kategoria*")</f>
        <v>*Kategoria*</v>
      </c>
      <c r="D305" t="s">
        <v>2589</v>
      </c>
    </row>
    <row r="306" spans="2:11" ht="15">
      <c r="B306" s="7"/>
      <c r="C306" t="s">
        <v>686</v>
      </c>
    </row>
    <row r="307" spans="2:11" ht="15">
      <c r="B307" s="1">
        <v>154</v>
      </c>
      <c r="C307" t="str">
        <f ca="1">IFERROR(__xludf.DUMMYFUNCTION((TRANSPOSE(ImportHTML("http://spending.data.al/sq/moneypower/view/id/154/year/2011", "table",2)))),"*Kategoria*")</f>
        <v>*Kategoria*</v>
      </c>
      <c r="D307" t="s">
        <v>2589</v>
      </c>
    </row>
    <row r="308" spans="2:11" ht="15">
      <c r="B308" s="7"/>
      <c r="C308" t="s">
        <v>686</v>
      </c>
    </row>
    <row r="309" spans="2:11" ht="15">
      <c r="B309" s="1">
        <v>155</v>
      </c>
      <c r="C309" t="str">
        <f ca="1">IFERROR(__xludf.DUMMYFUNCTION((TRANSPOSE(ImportHTML("http://spending.data.al/sq/moneypower/view/id/155/year/2011", "table",2)))),"*Kategoria*")</f>
        <v>*Kategoria*</v>
      </c>
      <c r="D309" t="s">
        <v>2589</v>
      </c>
    </row>
    <row r="310" spans="2:11" ht="15">
      <c r="B310" s="7"/>
      <c r="C310" t="s">
        <v>686</v>
      </c>
    </row>
    <row r="311" spans="2:11" ht="15">
      <c r="B311" s="1">
        <v>156</v>
      </c>
      <c r="C311" t="str">
        <f ca="1">IFERROR(__xludf.DUMMYFUNCTION((TRANSPOSE(ImportHTML("http://spending.data.al/sq/moneypower/view/id/156/year/2011", "table",2)))),"*Kategoria*")</f>
        <v>*Kategoria*</v>
      </c>
      <c r="D311" t="s">
        <v>2589</v>
      </c>
    </row>
    <row r="312" spans="2:11" ht="15">
      <c r="B312" s="7"/>
      <c r="C312" t="s">
        <v>686</v>
      </c>
    </row>
    <row r="313" spans="2:11" ht="15">
      <c r="B313" s="1">
        <v>157</v>
      </c>
      <c r="C313" t="str">
        <f ca="1">IFERROR(__xludf.DUMMYFUNCTION((TRANSPOSE(ImportHTML("http://spending.data.al/sq/moneypower/view/id/157/year/2011", "table",2)))),"*Kategoria*")</f>
        <v>*Kategoria*</v>
      </c>
      <c r="E313" t="s">
        <v>719</v>
      </c>
      <c r="F313" t="s">
        <v>720</v>
      </c>
      <c r="G313" t="s">
        <v>721</v>
      </c>
      <c r="H313" t="s">
        <v>722</v>
      </c>
      <c r="I313" t="s">
        <v>723</v>
      </c>
      <c r="J313" t="s">
        <v>724</v>
      </c>
      <c r="K313" t="s">
        <v>685</v>
      </c>
    </row>
    <row r="314" spans="2:11" ht="15">
      <c r="B314" s="7"/>
      <c r="C314" t="s">
        <v>686</v>
      </c>
      <c r="E314" t="s">
        <v>2864</v>
      </c>
      <c r="F314" t="s">
        <v>2865</v>
      </c>
      <c r="G314" t="s">
        <v>2866</v>
      </c>
      <c r="H314" t="s">
        <v>727</v>
      </c>
      <c r="I314" t="s">
        <v>2867</v>
      </c>
      <c r="J314" t="s">
        <v>2868</v>
      </c>
      <c r="K314" t="s">
        <v>707</v>
      </c>
    </row>
    <row r="315" spans="2:11" ht="15">
      <c r="B315" s="1">
        <v>158</v>
      </c>
      <c r="C315" t="str">
        <f ca="1">IFERROR(__xludf.DUMMYFUNCTION((TRANSPOSE(ImportHTML("http://spending.data.al/sq/moneypower/view/id/158/year/2011", "table",2)))),"*Kategoria*")</f>
        <v>*Kategoria*</v>
      </c>
      <c r="D315" t="s">
        <v>2589</v>
      </c>
    </row>
    <row r="316" spans="2:11" ht="15">
      <c r="B316" s="7"/>
      <c r="C316" t="s">
        <v>686</v>
      </c>
    </row>
    <row r="317" spans="2:11" ht="15">
      <c r="B317" s="1">
        <v>159</v>
      </c>
      <c r="C317" t="str">
        <f ca="1">IFERROR(__xludf.DUMMYFUNCTION((TRANSPOSE(ImportHTML("http://spending.data.al/sq/moneypower/view/id/159/year/2011", "table",2)))),"*Kategoria*")</f>
        <v>*Kategoria*</v>
      </c>
      <c r="D317" t="s">
        <v>2589</v>
      </c>
    </row>
    <row r="318" spans="2:11" ht="15">
      <c r="B318" s="7"/>
      <c r="C318" t="s">
        <v>686</v>
      </c>
    </row>
    <row r="319" spans="2:11" ht="15">
      <c r="B319" s="1">
        <v>160</v>
      </c>
      <c r="C319" t="str">
        <f ca="1">IFERROR(__xludf.DUMMYFUNCTION((TRANSPOSE(ImportHTML("http://spending.data.al/sq/moneypower/view/id/160/year/2011", "table",2)))),"*Kategoria*")</f>
        <v>*Kategoria*</v>
      </c>
      <c r="D319" t="s">
        <v>2589</v>
      </c>
    </row>
    <row r="320" spans="2:11" ht="15">
      <c r="B320" s="7"/>
      <c r="C320" t="s">
        <v>686</v>
      </c>
    </row>
    <row r="321" spans="2:4" ht="15">
      <c r="B321" s="1">
        <v>161</v>
      </c>
      <c r="C321" t="str">
        <f ca="1">IFERROR(__xludf.DUMMYFUNCTION((TRANSPOSE(ImportHTML("http://spending.data.al/sq/moneypower/view/id/161/year/2011", "table",2)))),"*Kategoria*")</f>
        <v>*Kategoria*</v>
      </c>
      <c r="D321" t="s">
        <v>2589</v>
      </c>
    </row>
    <row r="322" spans="2:4" ht="15">
      <c r="B322" s="7"/>
      <c r="C322" t="s">
        <v>686</v>
      </c>
    </row>
    <row r="323" spans="2:4" ht="15">
      <c r="B323" s="1">
        <v>162</v>
      </c>
      <c r="C323" t="str">
        <f ca="1">IFERROR(__xludf.DUMMYFUNCTION((TRANSPOSE(ImportHTML("http://spending.data.al/sq/moneypower/view/id/162/year/2011", "table",2)))),"*Kategoria*")</f>
        <v>*Kategoria*</v>
      </c>
      <c r="D323" t="s">
        <v>2589</v>
      </c>
    </row>
    <row r="324" spans="2:4" ht="15">
      <c r="B324" s="7"/>
      <c r="C324" t="s">
        <v>686</v>
      </c>
    </row>
    <row r="325" spans="2:4" ht="15">
      <c r="B325" s="1">
        <v>163</v>
      </c>
      <c r="C325" t="str">
        <f ca="1">IFERROR(__xludf.DUMMYFUNCTION((TRANSPOSE(ImportHTML("http://spending.data.al/sq/moneypower/view/id/163/year/2011", "table",2)))),"*Kategoria*")</f>
        <v>*Kategoria*</v>
      </c>
      <c r="D325" t="s">
        <v>2589</v>
      </c>
    </row>
    <row r="326" spans="2:4" ht="15">
      <c r="B326" s="7"/>
      <c r="C326" t="s">
        <v>686</v>
      </c>
    </row>
    <row r="327" spans="2:4" ht="15">
      <c r="B327" s="1">
        <v>164</v>
      </c>
      <c r="C327" t="str">
        <f ca="1">IFERROR(__xludf.DUMMYFUNCTION((TRANSPOSE(ImportHTML("http://spending.data.al/sq/moneypower/view/id/164/year/2011", "table",2)))),"*Kategoria*")</f>
        <v>*Kategoria*</v>
      </c>
      <c r="D327" t="s">
        <v>2589</v>
      </c>
    </row>
    <row r="328" spans="2:4" ht="15">
      <c r="B328" s="7"/>
      <c r="C328" t="s">
        <v>686</v>
      </c>
    </row>
    <row r="329" spans="2:4" ht="15">
      <c r="B329" s="1">
        <v>165</v>
      </c>
      <c r="C329" t="str">
        <f ca="1">IFERROR(__xludf.DUMMYFUNCTION((TRANSPOSE(ImportHTML("http://spending.data.al/sq/moneypower/view/id/165/year/2011", "table",2)))),"*Kategoria*")</f>
        <v>*Kategoria*</v>
      </c>
      <c r="D329" t="s">
        <v>2589</v>
      </c>
    </row>
    <row r="330" spans="2:4" ht="15">
      <c r="B330" s="7"/>
      <c r="C330" t="s">
        <v>686</v>
      </c>
    </row>
    <row r="331" spans="2:4" ht="15">
      <c r="B331" s="1">
        <v>166</v>
      </c>
      <c r="C331" t="str">
        <f ca="1">IFERROR(__xludf.DUMMYFUNCTION((TRANSPOSE(ImportHTML("http://spending.data.al/sq/moneypower/view/id/166/year/2011", "table",2)))),"*Kategoria*")</f>
        <v>*Kategoria*</v>
      </c>
      <c r="D331" t="s">
        <v>2589</v>
      </c>
    </row>
    <row r="332" spans="2:4" ht="15">
      <c r="B332" s="7"/>
      <c r="C332" t="s">
        <v>686</v>
      </c>
    </row>
    <row r="333" spans="2:4" ht="15">
      <c r="B333" s="1">
        <v>167</v>
      </c>
      <c r="C333" t="str">
        <f ca="1">IFERROR(__xludf.DUMMYFUNCTION((TRANSPOSE(ImportHTML("http://spending.data.al/sq/moneypower/view/id/167/year/2011", "table",2)))),"*Kategoria*")</f>
        <v>*Kategoria*</v>
      </c>
      <c r="D333" t="s">
        <v>2589</v>
      </c>
    </row>
    <row r="334" spans="2:4" ht="15">
      <c r="B334" s="7"/>
      <c r="C334" t="s">
        <v>686</v>
      </c>
    </row>
    <row r="335" spans="2:4" ht="15">
      <c r="B335" s="1">
        <v>168</v>
      </c>
      <c r="C335" t="str">
        <f ca="1">IFERROR(__xludf.DUMMYFUNCTION((TRANSPOSE(ImportHTML("http://spending.data.al/sq/moneypower/view/id/168/year/2011", "table",2)))),"*Kategoria*")</f>
        <v>*Kategoria*</v>
      </c>
      <c r="D335" t="s">
        <v>2589</v>
      </c>
    </row>
    <row r="336" spans="2:4" ht="15">
      <c r="B336" s="7"/>
      <c r="C336" t="s">
        <v>686</v>
      </c>
    </row>
    <row r="337" spans="2:11" ht="15">
      <c r="B337" s="1">
        <v>169</v>
      </c>
      <c r="C337" t="str">
        <f ca="1">IFERROR(__xludf.DUMMYFUNCTION((TRANSPOSE(ImportHTML("http://spending.data.al/sq/moneypower/view/id/169/year/2011", "table",2)))),"*Kategoria*")</f>
        <v>*Kategoria*</v>
      </c>
      <c r="E337" t="s">
        <v>719</v>
      </c>
      <c r="F337" t="s">
        <v>720</v>
      </c>
      <c r="G337" t="s">
        <v>721</v>
      </c>
      <c r="H337" t="s">
        <v>722</v>
      </c>
      <c r="I337" t="s">
        <v>723</v>
      </c>
      <c r="J337" t="s">
        <v>724</v>
      </c>
      <c r="K337" t="s">
        <v>685</v>
      </c>
    </row>
    <row r="338" spans="2:11" ht="15">
      <c r="B338" s="7"/>
      <c r="C338" t="s">
        <v>686</v>
      </c>
      <c r="E338" t="s">
        <v>2869</v>
      </c>
      <c r="F338" t="s">
        <v>2870</v>
      </c>
      <c r="G338" t="s">
        <v>2871</v>
      </c>
      <c r="H338" t="s">
        <v>727</v>
      </c>
      <c r="I338" t="s">
        <v>727</v>
      </c>
      <c r="J338" t="s">
        <v>727</v>
      </c>
      <c r="K338" t="s">
        <v>707</v>
      </c>
    </row>
    <row r="339" spans="2:11" ht="15">
      <c r="B339" s="1">
        <v>170</v>
      </c>
      <c r="C339" t="str">
        <f ca="1">IFERROR(__xludf.DUMMYFUNCTION((TRANSPOSE(ImportHTML("http://spending.data.al/sq/moneypower/view/id/170/year/2011", "table",2)))),"*Kategoria*")</f>
        <v>*Kategoria*</v>
      </c>
      <c r="D339" t="s">
        <v>2589</v>
      </c>
    </row>
    <row r="340" spans="2:11" ht="15">
      <c r="B340" s="7"/>
      <c r="C340" t="s">
        <v>686</v>
      </c>
    </row>
    <row r="341" spans="2:11" ht="15">
      <c r="B341" s="1">
        <v>171</v>
      </c>
      <c r="C341" t="str">
        <f ca="1">IFERROR(__xludf.DUMMYFUNCTION((TRANSPOSE(ImportHTML("http://spending.data.al/sq/moneypower/view/id/171/year/2011", "table",2)))),"*Kategoria*")</f>
        <v>*Kategoria*</v>
      </c>
      <c r="D341" t="s">
        <v>2589</v>
      </c>
    </row>
    <row r="342" spans="2:11" ht="15">
      <c r="B342" s="7"/>
      <c r="C342" t="s">
        <v>686</v>
      </c>
    </row>
    <row r="343" spans="2:11" ht="15">
      <c r="B343" s="1">
        <v>172</v>
      </c>
      <c r="C343" t="str">
        <f ca="1">IFERROR(__xludf.DUMMYFUNCTION((TRANSPOSE(ImportHTML("http://spending.data.al/sq/moneypower/view/id/172/year/2011", "table",2)))),"*Kategoria*")</f>
        <v>*Kategoria*</v>
      </c>
      <c r="E343" t="s">
        <v>719</v>
      </c>
      <c r="F343" t="s">
        <v>720</v>
      </c>
      <c r="G343" t="s">
        <v>721</v>
      </c>
      <c r="H343" t="s">
        <v>722</v>
      </c>
      <c r="I343" t="s">
        <v>723</v>
      </c>
      <c r="J343" t="s">
        <v>724</v>
      </c>
      <c r="K343" t="s">
        <v>685</v>
      </c>
    </row>
    <row r="344" spans="2:11" ht="15">
      <c r="B344" s="7"/>
      <c r="C344" t="s">
        <v>686</v>
      </c>
      <c r="E344" t="s">
        <v>727</v>
      </c>
      <c r="F344" t="s">
        <v>2872</v>
      </c>
      <c r="G344" t="s">
        <v>727</v>
      </c>
      <c r="H344" t="s">
        <v>727</v>
      </c>
      <c r="I344" t="s">
        <v>727</v>
      </c>
      <c r="J344" t="s">
        <v>727</v>
      </c>
      <c r="K344" t="s">
        <v>2873</v>
      </c>
    </row>
    <row r="345" spans="2:11" ht="15">
      <c r="B345" s="1">
        <v>173</v>
      </c>
      <c r="C345" t="str">
        <f ca="1">IFERROR(__xludf.DUMMYFUNCTION((TRANSPOSE(ImportHTML("http://spending.data.al/sq/moneypower/view/id/173/year/2011", "table",2)))),"*Kategoria*")</f>
        <v>*Kategoria*</v>
      </c>
      <c r="D345" t="s">
        <v>2589</v>
      </c>
    </row>
    <row r="346" spans="2:11" ht="15">
      <c r="B346" s="7"/>
      <c r="C346" t="s">
        <v>686</v>
      </c>
    </row>
    <row r="347" spans="2:11" ht="15">
      <c r="B347" s="1">
        <v>174</v>
      </c>
      <c r="C347" t="str">
        <f ca="1">IFERROR(__xludf.DUMMYFUNCTION((TRANSPOSE(ImportHTML("http://spending.data.al/sq/moneypower/view/id/174/year/2011", "table",2)))),"*Kategoria*")</f>
        <v>*Kategoria*</v>
      </c>
      <c r="D347" t="s">
        <v>2589</v>
      </c>
    </row>
    <row r="348" spans="2:11" ht="15">
      <c r="B348" s="7"/>
      <c r="C348" t="s">
        <v>686</v>
      </c>
    </row>
    <row r="349" spans="2:11" ht="15">
      <c r="B349" s="1">
        <v>175</v>
      </c>
      <c r="C349" t="str">
        <f ca="1">IFERROR(__xludf.DUMMYFUNCTION((TRANSPOSE(ImportHTML("http://spending.data.al/sq/moneypower/view/id/175/year/2011", "table",2)))),"*Kategoria*")</f>
        <v>*Kategoria*</v>
      </c>
      <c r="D349" t="s">
        <v>2589</v>
      </c>
    </row>
    <row r="350" spans="2:11" ht="15">
      <c r="B350" s="7"/>
      <c r="C350" t="s">
        <v>686</v>
      </c>
    </row>
    <row r="351" spans="2:11" ht="15">
      <c r="B351" s="1">
        <v>176</v>
      </c>
      <c r="C351" t="str">
        <f ca="1">IFERROR(__xludf.DUMMYFUNCTION((TRANSPOSE(ImportHTML("http://spending.data.al/sq/moneypower/view/id/176/year/2011", "table",2)))),"*Kategoria*")</f>
        <v>*Kategoria*</v>
      </c>
      <c r="D351" t="s">
        <v>2589</v>
      </c>
    </row>
    <row r="352" spans="2:11" ht="15">
      <c r="B352" s="7"/>
      <c r="C352" t="s">
        <v>686</v>
      </c>
    </row>
    <row r="353" spans="2:11" ht="15">
      <c r="B353" s="1">
        <v>177</v>
      </c>
      <c r="C353" t="str">
        <f ca="1">IFERROR(__xludf.DUMMYFUNCTION((TRANSPOSE(ImportHTML("http://spending.data.al/sq/moneypower/view/id/177/year/2011", "table",2)))),"*Kategoria*")</f>
        <v>*Kategoria*</v>
      </c>
      <c r="D353" t="s">
        <v>2589</v>
      </c>
    </row>
    <row r="354" spans="2:11" ht="15">
      <c r="B354" s="7"/>
      <c r="C354" t="s">
        <v>686</v>
      </c>
    </row>
    <row r="355" spans="2:11" ht="15">
      <c r="B355" s="1">
        <v>178</v>
      </c>
      <c r="C355" t="str">
        <f ca="1">IFERROR(__xludf.DUMMYFUNCTION((TRANSPOSE(ImportHTML("http://spending.data.al/sq/moneypower/view/id/178/year/2011", "table",2)))),"*Kategoria*")</f>
        <v>*Kategoria*</v>
      </c>
      <c r="D355" t="s">
        <v>2589</v>
      </c>
    </row>
    <row r="356" spans="2:11" ht="15">
      <c r="B356" s="7"/>
      <c r="C356" t="s">
        <v>686</v>
      </c>
    </row>
    <row r="357" spans="2:11" ht="15">
      <c r="B357" s="1">
        <v>179</v>
      </c>
      <c r="C357" t="str">
        <f ca="1">IFERROR(__xludf.DUMMYFUNCTION((TRANSPOSE(ImportHTML("http://spending.data.al/sq/moneypower/view/id/179/year/2011", "table",2)))),"*Kategoria*")</f>
        <v>*Kategoria*</v>
      </c>
      <c r="D357" t="s">
        <v>2589</v>
      </c>
    </row>
    <row r="358" spans="2:11" ht="15">
      <c r="B358" s="7"/>
      <c r="C358" t="s">
        <v>686</v>
      </c>
    </row>
    <row r="359" spans="2:11" ht="15">
      <c r="B359" s="1">
        <v>180</v>
      </c>
      <c r="C359" t="str">
        <f ca="1">IFERROR(__xludf.DUMMYFUNCTION((TRANSPOSE(ImportHTML("http://spending.data.al/sq/moneypower/view/id/180/year/2011", "table",2)))),"*Kategoria*")</f>
        <v>*Kategoria*</v>
      </c>
      <c r="D359" t="s">
        <v>2589</v>
      </c>
    </row>
    <row r="360" spans="2:11" ht="15">
      <c r="B360" s="7"/>
      <c r="C360" t="s">
        <v>686</v>
      </c>
    </row>
    <row r="361" spans="2:11" ht="15">
      <c r="B361" s="1">
        <v>181</v>
      </c>
      <c r="C361" t="str">
        <f ca="1">IFERROR(__xludf.DUMMYFUNCTION((TRANSPOSE(ImportHTML("http://spending.data.al/sq/moneypower/view/id/181/year/2011", "table",2)))),"*Kategoria*")</f>
        <v>*Kategoria*</v>
      </c>
      <c r="D361" t="s">
        <v>2589</v>
      </c>
    </row>
    <row r="362" spans="2:11" ht="15">
      <c r="B362" s="7"/>
      <c r="C362" t="s">
        <v>686</v>
      </c>
    </row>
    <row r="363" spans="2:11" ht="15">
      <c r="B363" s="1">
        <v>182</v>
      </c>
      <c r="C363" t="str">
        <f ca="1">IFERROR(__xludf.DUMMYFUNCTION((TRANSPOSE(ImportHTML("http://spending.data.al/sq/moneypower/view/id/182/year/2011", "table",2)))),"*Kategoria*")</f>
        <v>*Kategoria*</v>
      </c>
      <c r="D363" t="s">
        <v>2589</v>
      </c>
    </row>
    <row r="364" spans="2:11" ht="15">
      <c r="B364" s="7"/>
      <c r="C364" t="s">
        <v>686</v>
      </c>
    </row>
    <row r="365" spans="2:11" ht="15">
      <c r="B365" s="1">
        <v>183</v>
      </c>
      <c r="C365" t="str">
        <f ca="1">IFERROR(__xludf.DUMMYFUNCTION((TRANSPOSE(ImportHTML("http://spending.data.al/sq/moneypower/view/id/183/year/2011", "table",2)))),"*Kategoria*")</f>
        <v>*Kategoria*</v>
      </c>
      <c r="E365" t="s">
        <v>719</v>
      </c>
      <c r="F365" t="s">
        <v>720</v>
      </c>
      <c r="G365" t="s">
        <v>721</v>
      </c>
      <c r="H365" t="s">
        <v>722</v>
      </c>
      <c r="I365" t="s">
        <v>723</v>
      </c>
      <c r="J365" t="s">
        <v>724</v>
      </c>
      <c r="K365" t="s">
        <v>685</v>
      </c>
    </row>
    <row r="366" spans="2:11" ht="15">
      <c r="B366" s="7"/>
      <c r="C366" t="s">
        <v>686</v>
      </c>
      <c r="E366" t="s">
        <v>2874</v>
      </c>
      <c r="F366" t="s">
        <v>2875</v>
      </c>
      <c r="G366" t="s">
        <v>2601</v>
      </c>
      <c r="H366" t="s">
        <v>2601</v>
      </c>
      <c r="I366" t="s">
        <v>2601</v>
      </c>
      <c r="J366" t="s">
        <v>2601</v>
      </c>
      <c r="K366" t="s">
        <v>2601</v>
      </c>
    </row>
    <row r="367" spans="2:11" ht="15">
      <c r="B367" s="1">
        <v>184</v>
      </c>
      <c r="C367" t="str">
        <f ca="1">IFERROR(__xludf.DUMMYFUNCTION((TRANSPOSE(ImportHTML("http://spending.data.al/sq/moneypower/view/id/184/year/2011", "table",2)))),"*Kategoria*")</f>
        <v>*Kategoria*</v>
      </c>
      <c r="D367" t="s">
        <v>2589</v>
      </c>
    </row>
    <row r="368" spans="2:11" ht="15">
      <c r="B368" s="7"/>
      <c r="C368" t="s">
        <v>686</v>
      </c>
    </row>
    <row r="369" spans="2:11" ht="15">
      <c r="B369" s="1">
        <v>185</v>
      </c>
      <c r="C369" t="str">
        <f ca="1">IFERROR(__xludf.DUMMYFUNCTION((TRANSPOSE(ImportHTML("http://spending.data.al/sq/moneypower/view/id/185/year/2011", "table",2)))),"*Kategoria*")</f>
        <v>*Kategoria*</v>
      </c>
      <c r="D369" t="s">
        <v>2589</v>
      </c>
    </row>
    <row r="370" spans="2:11" ht="15">
      <c r="B370" s="7"/>
      <c r="C370" t="s">
        <v>686</v>
      </c>
    </row>
    <row r="371" spans="2:11" ht="15">
      <c r="B371" s="1">
        <v>186</v>
      </c>
      <c r="C371" t="str">
        <f ca="1">IFERROR(__xludf.DUMMYFUNCTION((TRANSPOSE(ImportHTML("http://spending.data.al/sq/moneypower/view/id/186/year/2011", "table",2)))),"*Kategoria*")</f>
        <v>*Kategoria*</v>
      </c>
      <c r="D371" t="s">
        <v>2589</v>
      </c>
    </row>
    <row r="372" spans="2:11" ht="15">
      <c r="B372" s="7"/>
      <c r="C372" t="s">
        <v>686</v>
      </c>
    </row>
    <row r="373" spans="2:11" ht="15">
      <c r="B373" s="1">
        <v>187</v>
      </c>
      <c r="C373" t="str">
        <f ca="1">IFERROR(__xludf.DUMMYFUNCTION((TRANSPOSE(ImportHTML("http://spending.data.al/sq/moneypower/view/id/187/year/2011", "table",2)))),"*Kategoria*")</f>
        <v>*Kategoria*</v>
      </c>
      <c r="D373" t="s">
        <v>2589</v>
      </c>
    </row>
    <row r="374" spans="2:11" ht="15">
      <c r="B374" s="7"/>
      <c r="C374" t="s">
        <v>686</v>
      </c>
    </row>
    <row r="375" spans="2:11" ht="15">
      <c r="B375" s="1">
        <v>188</v>
      </c>
      <c r="C375" t="str">
        <f ca="1">IFERROR(__xludf.DUMMYFUNCTION((TRANSPOSE(ImportHTML("http://spending.data.al/sq/moneypower/view/id/188/year/2011", "table",2)))),"*Kategoria*")</f>
        <v>*Kategoria*</v>
      </c>
      <c r="D375" t="s">
        <v>2589</v>
      </c>
    </row>
    <row r="376" spans="2:11" ht="15">
      <c r="B376" s="7"/>
      <c r="C376" t="s">
        <v>686</v>
      </c>
    </row>
    <row r="377" spans="2:11" ht="15">
      <c r="B377" s="1">
        <v>189</v>
      </c>
      <c r="C377" t="str">
        <f ca="1">IFERROR(__xludf.DUMMYFUNCTION((TRANSPOSE(ImportHTML("http://spending.data.al/sq/moneypower/view/id/189/year/2011", "table",2)))),"*Kategoria*")</f>
        <v>*Kategoria*</v>
      </c>
      <c r="D377" t="s">
        <v>2589</v>
      </c>
    </row>
    <row r="378" spans="2:11" ht="15">
      <c r="B378" s="7"/>
      <c r="C378" t="s">
        <v>686</v>
      </c>
    </row>
    <row r="379" spans="2:11" ht="15">
      <c r="B379" s="1">
        <v>190</v>
      </c>
      <c r="C379" t="str">
        <f ca="1">IFERROR(__xludf.DUMMYFUNCTION((TRANSPOSE(ImportHTML("http://spending.data.al/sq/moneypower/view/id/190/year/2011", "table",2)))),"*Kategoria*")</f>
        <v>*Kategoria*</v>
      </c>
      <c r="D379" t="s">
        <v>2589</v>
      </c>
    </row>
    <row r="380" spans="2:11" ht="15">
      <c r="B380" s="7"/>
      <c r="C380" t="s">
        <v>686</v>
      </c>
    </row>
    <row r="381" spans="2:11" ht="15">
      <c r="B381" s="1">
        <v>191</v>
      </c>
      <c r="C381" t="str">
        <f ca="1">IFERROR(__xludf.DUMMYFUNCTION((TRANSPOSE(ImportHTML("http://spending.data.al/sq/moneypower/view/id/191/year/2011", "table",2)))),"*Kategoria*")</f>
        <v>*Kategoria*</v>
      </c>
      <c r="D381" t="s">
        <v>2589</v>
      </c>
    </row>
    <row r="382" spans="2:11" ht="15">
      <c r="B382" s="7"/>
      <c r="C382" t="s">
        <v>686</v>
      </c>
    </row>
    <row r="383" spans="2:11" ht="15">
      <c r="B383" s="1">
        <v>192</v>
      </c>
      <c r="C383" t="str">
        <f ca="1">IFERROR(__xludf.DUMMYFUNCTION((TRANSPOSE(ImportHTML("http://spending.data.al/sq/moneypower/view/id/192/year/2011", "table",2)))),"*Kategoria*")</f>
        <v>*Kategoria*</v>
      </c>
      <c r="E383" t="s">
        <v>719</v>
      </c>
      <c r="F383" t="s">
        <v>720</v>
      </c>
      <c r="G383" t="s">
        <v>721</v>
      </c>
      <c r="H383" t="s">
        <v>722</v>
      </c>
      <c r="I383" t="s">
        <v>723</v>
      </c>
      <c r="J383" t="s">
        <v>724</v>
      </c>
      <c r="K383" t="s">
        <v>685</v>
      </c>
    </row>
    <row r="384" spans="2:11" ht="15">
      <c r="B384" s="7"/>
      <c r="C384" t="s">
        <v>686</v>
      </c>
      <c r="E384" t="s">
        <v>2876</v>
      </c>
      <c r="F384" t="s">
        <v>2877</v>
      </c>
      <c r="G384" t="s">
        <v>2878</v>
      </c>
      <c r="H384" t="s">
        <v>688</v>
      </c>
      <c r="I384" t="s">
        <v>2879</v>
      </c>
      <c r="J384" t="s">
        <v>688</v>
      </c>
      <c r="K384" t="s">
        <v>2880</v>
      </c>
    </row>
    <row r="385" spans="2:11" ht="15">
      <c r="B385" s="1">
        <v>193</v>
      </c>
      <c r="C385" t="str">
        <f ca="1">IFERROR(__xludf.DUMMYFUNCTION((TRANSPOSE(ImportHTML("http://spending.data.al/sq/moneypower/view/id/193/year/2011", "table",2)))),"*Kategoria*")</f>
        <v>*Kategoria*</v>
      </c>
      <c r="D385" t="s">
        <v>2589</v>
      </c>
    </row>
    <row r="386" spans="2:11" ht="15">
      <c r="B386" s="7"/>
      <c r="C386" t="s">
        <v>686</v>
      </c>
    </row>
    <row r="387" spans="2:11" ht="15">
      <c r="B387" s="1">
        <v>194</v>
      </c>
      <c r="C387" t="str">
        <f ca="1">IFERROR(__xludf.DUMMYFUNCTION((TRANSPOSE(ImportHTML("http://spending.data.al/sq/moneypower/view/id/194/year/2011", "table",2)))),"*Kategoria*")</f>
        <v>*Kategoria*</v>
      </c>
      <c r="E387" t="s">
        <v>719</v>
      </c>
      <c r="F387" t="s">
        <v>720</v>
      </c>
      <c r="G387" t="s">
        <v>721</v>
      </c>
      <c r="H387" t="s">
        <v>722</v>
      </c>
      <c r="I387" t="s">
        <v>723</v>
      </c>
      <c r="J387" t="s">
        <v>724</v>
      </c>
      <c r="K387" t="s">
        <v>685</v>
      </c>
    </row>
    <row r="388" spans="2:11" ht="15">
      <c r="B388" s="7"/>
      <c r="C388" t="s">
        <v>686</v>
      </c>
      <c r="E388" t="s">
        <v>2881</v>
      </c>
      <c r="F388" t="s">
        <v>2882</v>
      </c>
      <c r="G388" t="s">
        <v>2883</v>
      </c>
      <c r="H388" t="s">
        <v>688</v>
      </c>
      <c r="I388" t="s">
        <v>688</v>
      </c>
      <c r="J388" t="s">
        <v>688</v>
      </c>
      <c r="K388" t="s">
        <v>688</v>
      </c>
    </row>
    <row r="389" spans="2:11" ht="15">
      <c r="B389" s="1">
        <v>195</v>
      </c>
      <c r="C389" t="str">
        <f ca="1">IFERROR(__xludf.DUMMYFUNCTION((TRANSPOSE(ImportHTML("http://spending.data.al/sq/moneypower/view/id/195/year/2011", "table",2)))),"*Kategoria*")</f>
        <v>*Kategoria*</v>
      </c>
      <c r="D389" t="s">
        <v>2589</v>
      </c>
    </row>
    <row r="390" spans="2:11" ht="15">
      <c r="B390" s="7"/>
      <c r="C390" t="s">
        <v>686</v>
      </c>
    </row>
    <row r="391" spans="2:11" ht="15">
      <c r="B391" s="1">
        <v>196</v>
      </c>
      <c r="C391" t="str">
        <f ca="1">IFERROR(__xludf.DUMMYFUNCTION((TRANSPOSE(ImportHTML("http://spending.data.al/sq/moneypower/view/id/196/year/2011", "table",2)))),"*Kategoria*")</f>
        <v>*Kategoria*</v>
      </c>
      <c r="E391" t="s">
        <v>719</v>
      </c>
      <c r="F391" t="s">
        <v>720</v>
      </c>
      <c r="G391" t="s">
        <v>721</v>
      </c>
      <c r="H391" t="s">
        <v>722</v>
      </c>
      <c r="I391" t="s">
        <v>723</v>
      </c>
      <c r="J391" t="s">
        <v>724</v>
      </c>
      <c r="K391" t="s">
        <v>685</v>
      </c>
    </row>
    <row r="392" spans="2:11" ht="15">
      <c r="B392" s="7"/>
      <c r="C392" t="s">
        <v>686</v>
      </c>
      <c r="E392" t="s">
        <v>2884</v>
      </c>
      <c r="F392" t="s">
        <v>2885</v>
      </c>
      <c r="G392" t="s">
        <v>2886</v>
      </c>
      <c r="H392" t="s">
        <v>688</v>
      </c>
      <c r="I392" t="s">
        <v>688</v>
      </c>
      <c r="J392" t="s">
        <v>688</v>
      </c>
      <c r="K392" t="s">
        <v>688</v>
      </c>
    </row>
    <row r="393" spans="2:11" ht="15">
      <c r="B393" s="1">
        <v>197</v>
      </c>
      <c r="C393" t="str">
        <f ca="1">IFERROR(__xludf.DUMMYFUNCTION((TRANSPOSE(ImportHTML("http://spending.data.al/sq/moneypower/view/id/197/year/2011", "table",2)))),"*Kategoria*")</f>
        <v>*Kategoria*</v>
      </c>
      <c r="D393" t="s">
        <v>2589</v>
      </c>
    </row>
    <row r="394" spans="2:11" ht="15">
      <c r="B394" s="7"/>
      <c r="C394" t="s">
        <v>686</v>
      </c>
    </row>
    <row r="395" spans="2:11" ht="15">
      <c r="B395" s="1">
        <v>198</v>
      </c>
      <c r="C395" t="str">
        <f ca="1">IFERROR(__xludf.DUMMYFUNCTION((TRANSPOSE(ImportHTML("http://spending.data.al/sq/moneypower/view/id/198/year/2011", "table",2)))),"*Kategoria*")</f>
        <v>*Kategoria*</v>
      </c>
      <c r="E395" t="s">
        <v>719</v>
      </c>
      <c r="F395" t="s">
        <v>720</v>
      </c>
      <c r="G395" t="s">
        <v>721</v>
      </c>
      <c r="H395" t="s">
        <v>722</v>
      </c>
      <c r="I395" t="s">
        <v>723</v>
      </c>
      <c r="J395" t="s">
        <v>724</v>
      </c>
      <c r="K395" t="s">
        <v>685</v>
      </c>
    </row>
    <row r="396" spans="2:11" ht="15">
      <c r="B396" s="7"/>
      <c r="C396" t="s">
        <v>686</v>
      </c>
      <c r="E396" t="s">
        <v>688</v>
      </c>
      <c r="F396" t="s">
        <v>2887</v>
      </c>
      <c r="G396" t="s">
        <v>2888</v>
      </c>
      <c r="H396" t="s">
        <v>688</v>
      </c>
      <c r="I396" t="s">
        <v>688</v>
      </c>
      <c r="J396" t="s">
        <v>688</v>
      </c>
      <c r="K396" t="s">
        <v>688</v>
      </c>
    </row>
    <row r="397" spans="2:11" ht="15">
      <c r="B397" s="1">
        <v>199</v>
      </c>
      <c r="C397" t="str">
        <f ca="1">IFERROR(__xludf.DUMMYFUNCTION((TRANSPOSE(ImportHTML("http://spending.data.al/sq/moneypower/view/id/199/year/2011", "table",2)))),"*Kategoria*")</f>
        <v>*Kategoria*</v>
      </c>
      <c r="E397" t="s">
        <v>719</v>
      </c>
      <c r="F397" t="s">
        <v>720</v>
      </c>
      <c r="G397" t="s">
        <v>721</v>
      </c>
      <c r="H397" t="s">
        <v>722</v>
      </c>
      <c r="I397" t="s">
        <v>723</v>
      </c>
      <c r="J397" t="s">
        <v>724</v>
      </c>
      <c r="K397" t="s">
        <v>685</v>
      </c>
    </row>
    <row r="398" spans="2:11" ht="15">
      <c r="B398" s="7"/>
      <c r="C398" t="s">
        <v>686</v>
      </c>
      <c r="E398" t="s">
        <v>2889</v>
      </c>
      <c r="F398" t="s">
        <v>2890</v>
      </c>
      <c r="G398" t="s">
        <v>2891</v>
      </c>
      <c r="H398" t="s">
        <v>688</v>
      </c>
      <c r="I398" t="s">
        <v>688</v>
      </c>
      <c r="J398" t="s">
        <v>688</v>
      </c>
    </row>
    <row r="399" spans="2:11" ht="15">
      <c r="B399" s="1">
        <v>200</v>
      </c>
      <c r="C399" t="str">
        <f ca="1">IFERROR(__xludf.DUMMYFUNCTION((TRANSPOSE(ImportHTML("http://spending.data.al/sq/moneypower/view/id/200/year/2011", "table",2)))),"*Kategoria*")</f>
        <v>*Kategoria*</v>
      </c>
      <c r="E399" t="s">
        <v>719</v>
      </c>
      <c r="F399" t="s">
        <v>720</v>
      </c>
      <c r="G399" t="s">
        <v>721</v>
      </c>
      <c r="H399" t="s">
        <v>722</v>
      </c>
      <c r="I399" t="s">
        <v>723</v>
      </c>
      <c r="J399" t="s">
        <v>724</v>
      </c>
      <c r="K399" t="s">
        <v>685</v>
      </c>
    </row>
    <row r="400" spans="2:11" ht="15">
      <c r="B400" s="7"/>
      <c r="C400" t="s">
        <v>686</v>
      </c>
      <c r="E400" t="s">
        <v>2892</v>
      </c>
      <c r="F400" t="s">
        <v>2893</v>
      </c>
      <c r="G400" t="s">
        <v>2894</v>
      </c>
      <c r="H400" t="s">
        <v>688</v>
      </c>
      <c r="I400" t="s">
        <v>688</v>
      </c>
      <c r="J400" t="s">
        <v>688</v>
      </c>
      <c r="K400" t="s">
        <v>688</v>
      </c>
    </row>
    <row r="401" spans="2:11" ht="15">
      <c r="B401" s="1">
        <v>201</v>
      </c>
      <c r="C401" t="str">
        <f ca="1">IFERROR(__xludf.DUMMYFUNCTION((TRANSPOSE(ImportHTML("http://spending.data.al/sq/moneypower/view/id/201/year/2011", "table",2)))),"*Kategoria*")</f>
        <v>*Kategoria*</v>
      </c>
      <c r="D401" t="s">
        <v>2589</v>
      </c>
    </row>
    <row r="402" spans="2:11" ht="15">
      <c r="B402" s="7"/>
      <c r="C402" t="s">
        <v>686</v>
      </c>
    </row>
    <row r="403" spans="2:11" ht="15">
      <c r="B403" s="1">
        <v>202</v>
      </c>
      <c r="C403" t="str">
        <f ca="1">IFERROR(__xludf.DUMMYFUNCTION((TRANSPOSE(ImportHTML("http://spending.data.al/sq/moneypower/view/id/202/year/2011", "table",2)))),"*Kategoria*")</f>
        <v>*Kategoria*</v>
      </c>
      <c r="D403" t="s">
        <v>2589</v>
      </c>
    </row>
    <row r="404" spans="2:11" ht="15">
      <c r="B404" s="7"/>
      <c r="C404" t="s">
        <v>686</v>
      </c>
    </row>
    <row r="405" spans="2:11" ht="15">
      <c r="B405" s="1">
        <v>203</v>
      </c>
      <c r="C405" t="str">
        <f ca="1">IFERROR(__xludf.DUMMYFUNCTION((TRANSPOSE(ImportHTML("http://spending.data.al/sq/moneypower/view/id/203/year/2011", "table",2)))),"*Kategoria*")</f>
        <v>*Kategoria*</v>
      </c>
      <c r="E405" t="s">
        <v>719</v>
      </c>
      <c r="F405" t="s">
        <v>720</v>
      </c>
      <c r="G405" t="s">
        <v>721</v>
      </c>
      <c r="H405" t="s">
        <v>722</v>
      </c>
      <c r="I405" t="s">
        <v>723</v>
      </c>
      <c r="J405" t="s">
        <v>724</v>
      </c>
      <c r="K405" t="s">
        <v>685</v>
      </c>
    </row>
    <row r="406" spans="2:11" ht="15">
      <c r="B406" s="7"/>
      <c r="C406" t="s">
        <v>686</v>
      </c>
      <c r="E406" t="s">
        <v>2895</v>
      </c>
      <c r="F406" t="s">
        <v>2896</v>
      </c>
      <c r="G406" t="s">
        <v>2897</v>
      </c>
      <c r="H406" t="s">
        <v>688</v>
      </c>
      <c r="I406" t="s">
        <v>2898</v>
      </c>
      <c r="J406" t="s">
        <v>688</v>
      </c>
      <c r="K406" t="s">
        <v>688</v>
      </c>
    </row>
    <row r="407" spans="2:11" ht="15">
      <c r="B407" s="1">
        <v>204</v>
      </c>
      <c r="C407" t="str">
        <f ca="1">IFERROR(__xludf.DUMMYFUNCTION((TRANSPOSE(ImportHTML("http://spending.data.al/sq/moneypower/view/id/204/year/2011", "table",2)))),"*Kategoria*")</f>
        <v>*Kategoria*</v>
      </c>
      <c r="D407" t="s">
        <v>2589</v>
      </c>
    </row>
    <row r="408" spans="2:11" ht="15">
      <c r="B408" s="7"/>
      <c r="C408" t="s">
        <v>686</v>
      </c>
    </row>
    <row r="409" spans="2:11" ht="15">
      <c r="B409" s="1">
        <v>205</v>
      </c>
      <c r="C409" t="str">
        <f ca="1">IFERROR(__xludf.DUMMYFUNCTION((TRANSPOSE(ImportHTML("http://spending.data.al/sq/moneypower/view/id/205/year/2011", "table",2)))),"*Kategoria*")</f>
        <v>*Kategoria*</v>
      </c>
      <c r="E409" t="s">
        <v>719</v>
      </c>
      <c r="F409" t="s">
        <v>720</v>
      </c>
      <c r="G409" t="s">
        <v>721</v>
      </c>
      <c r="H409" t="s">
        <v>722</v>
      </c>
      <c r="I409" t="s">
        <v>723</v>
      </c>
      <c r="J409" t="s">
        <v>724</v>
      </c>
      <c r="K409" t="s">
        <v>685</v>
      </c>
    </row>
    <row r="410" spans="2:11" ht="15">
      <c r="B410" s="7"/>
      <c r="C410" t="s">
        <v>686</v>
      </c>
      <c r="E410" t="s">
        <v>2899</v>
      </c>
      <c r="F410" t="s">
        <v>2900</v>
      </c>
      <c r="G410" t="s">
        <v>2901</v>
      </c>
      <c r="H410" t="s">
        <v>2601</v>
      </c>
      <c r="I410" t="s">
        <v>2601</v>
      </c>
      <c r="J410" t="s">
        <v>2601</v>
      </c>
      <c r="K410" t="s">
        <v>707</v>
      </c>
    </row>
    <row r="411" spans="2:11" ht="15">
      <c r="B411" s="1">
        <v>206</v>
      </c>
      <c r="C411" t="str">
        <f ca="1">IFERROR(__xludf.DUMMYFUNCTION((TRANSPOSE(ImportHTML("http://spending.data.al/sq/moneypower/view/id/206/year/2011", "table",2)))),"*Kategoria*")</f>
        <v>*Kategoria*</v>
      </c>
      <c r="D411" t="s">
        <v>2589</v>
      </c>
    </row>
    <row r="412" spans="2:11" ht="15">
      <c r="B412" s="7"/>
      <c r="C412" t="s">
        <v>686</v>
      </c>
    </row>
    <row r="413" spans="2:11" ht="15">
      <c r="B413" s="1">
        <v>207</v>
      </c>
      <c r="C413" t="str">
        <f ca="1">IFERROR(__xludf.DUMMYFUNCTION((TRANSPOSE(ImportHTML("http://spending.data.al/sq/moneypower/view/id/207/year/2011", "table",2)))),"*Kategoria*")</f>
        <v>*Kategoria*</v>
      </c>
      <c r="D413" t="s">
        <v>2589</v>
      </c>
    </row>
    <row r="414" spans="2:11" ht="15">
      <c r="B414" s="7"/>
      <c r="C414" t="s">
        <v>686</v>
      </c>
    </row>
    <row r="415" spans="2:11" ht="15">
      <c r="B415" s="1">
        <v>208</v>
      </c>
      <c r="C415" t="str">
        <f ca="1">IFERROR(__xludf.DUMMYFUNCTION((TRANSPOSE(ImportHTML("http://spending.data.al/sq/moneypower/view/id/208/year/2011", "table",2)))),"*Kategoria*")</f>
        <v>*Kategoria*</v>
      </c>
      <c r="E415" t="s">
        <v>719</v>
      </c>
      <c r="F415" t="s">
        <v>720</v>
      </c>
      <c r="G415" t="s">
        <v>721</v>
      </c>
      <c r="H415" t="s">
        <v>722</v>
      </c>
      <c r="I415" t="s">
        <v>723</v>
      </c>
      <c r="J415" t="s">
        <v>724</v>
      </c>
      <c r="K415" t="s">
        <v>685</v>
      </c>
    </row>
    <row r="416" spans="2:11" ht="15">
      <c r="B416" s="7"/>
      <c r="C416" t="s">
        <v>686</v>
      </c>
      <c r="E416" t="s">
        <v>2902</v>
      </c>
      <c r="F416" t="s">
        <v>2903</v>
      </c>
      <c r="G416" t="s">
        <v>2601</v>
      </c>
      <c r="H416" t="s">
        <v>2904</v>
      </c>
      <c r="I416" t="s">
        <v>2905</v>
      </c>
      <c r="J416" t="s">
        <v>2601</v>
      </c>
      <c r="K416" t="s">
        <v>707</v>
      </c>
    </row>
    <row r="417" spans="2:11" ht="15">
      <c r="B417" s="1">
        <v>209</v>
      </c>
      <c r="C417" t="str">
        <f ca="1">IFERROR(__xludf.DUMMYFUNCTION((TRANSPOSE(ImportHTML("http://spending.data.al/sq/moneypower/view/id/209/year/2011", "table",2)))),"*Kategoria*")</f>
        <v>*Kategoria*</v>
      </c>
      <c r="D417" t="s">
        <v>2589</v>
      </c>
    </row>
    <row r="418" spans="2:11" ht="15">
      <c r="B418" s="7"/>
      <c r="C418" t="s">
        <v>686</v>
      </c>
    </row>
    <row r="419" spans="2:11" ht="15">
      <c r="B419" s="1">
        <v>210</v>
      </c>
      <c r="C419" t="str">
        <f ca="1">IFERROR(__xludf.DUMMYFUNCTION((TRANSPOSE(ImportHTML("http://spending.data.al/sq/moneypower/view/id/210/year/2011", "table",2)))),"*Kategoria*")</f>
        <v>*Kategoria*</v>
      </c>
      <c r="D419" t="s">
        <v>2589</v>
      </c>
    </row>
    <row r="420" spans="2:11" ht="15">
      <c r="B420" s="7"/>
      <c r="C420" t="s">
        <v>686</v>
      </c>
    </row>
    <row r="421" spans="2:11" ht="15">
      <c r="B421" s="1">
        <v>211</v>
      </c>
      <c r="C421" t="str">
        <f ca="1">IFERROR(__xludf.DUMMYFUNCTION((TRANSPOSE(ImportHTML("http://spending.data.al/sq/moneypower/view/id/211/year/2011", "table",2)))),"*Kategoria*")</f>
        <v>*Kategoria*</v>
      </c>
      <c r="D421" t="s">
        <v>2589</v>
      </c>
    </row>
    <row r="422" spans="2:11" ht="15">
      <c r="B422" s="7"/>
      <c r="C422" t="s">
        <v>686</v>
      </c>
    </row>
    <row r="423" spans="2:11" ht="15">
      <c r="B423" s="1">
        <v>212</v>
      </c>
      <c r="C423" t="str">
        <f ca="1">IFERROR(__xludf.DUMMYFUNCTION((TRANSPOSE(ImportHTML("http://spending.data.al/sq/moneypower/view/id/212/year/2011", "table",2)))),"*Kategoria*")</f>
        <v>*Kategoria*</v>
      </c>
      <c r="E423" t="s">
        <v>719</v>
      </c>
      <c r="F423" t="s">
        <v>720</v>
      </c>
      <c r="G423" t="s">
        <v>721</v>
      </c>
      <c r="H423" t="s">
        <v>722</v>
      </c>
      <c r="I423" t="s">
        <v>723</v>
      </c>
      <c r="J423" t="s">
        <v>724</v>
      </c>
      <c r="K423" t="s">
        <v>685</v>
      </c>
    </row>
    <row r="424" spans="2:11" ht="15">
      <c r="B424" s="7"/>
      <c r="C424" t="s">
        <v>686</v>
      </c>
      <c r="E424" t="s">
        <v>2906</v>
      </c>
      <c r="F424" t="s">
        <v>2907</v>
      </c>
      <c r="G424" t="s">
        <v>2908</v>
      </c>
      <c r="H424" t="s">
        <v>688</v>
      </c>
      <c r="I424" t="s">
        <v>688</v>
      </c>
      <c r="J424" t="s">
        <v>688</v>
      </c>
      <c r="K424" t="s">
        <v>688</v>
      </c>
    </row>
    <row r="425" spans="2:11" ht="15">
      <c r="B425" s="1">
        <v>213</v>
      </c>
      <c r="C425" t="str">
        <f ca="1">IFERROR(__xludf.DUMMYFUNCTION((TRANSPOSE(ImportHTML("http://spending.data.al/sq/moneypower/view/id/213/year/2011", "table",2)))),"*Kategoria*")</f>
        <v>*Kategoria*</v>
      </c>
      <c r="E425" t="s">
        <v>719</v>
      </c>
      <c r="F425" t="s">
        <v>720</v>
      </c>
      <c r="G425" t="s">
        <v>721</v>
      </c>
      <c r="H425" t="s">
        <v>722</v>
      </c>
      <c r="I425" t="s">
        <v>723</v>
      </c>
      <c r="J425" t="s">
        <v>724</v>
      </c>
      <c r="K425" t="s">
        <v>685</v>
      </c>
    </row>
    <row r="426" spans="2:11" ht="15">
      <c r="B426" s="7"/>
      <c r="C426" t="s">
        <v>686</v>
      </c>
      <c r="E426" t="s">
        <v>2909</v>
      </c>
      <c r="F426" t="s">
        <v>2601</v>
      </c>
      <c r="G426" t="s">
        <v>2601</v>
      </c>
      <c r="H426" t="s">
        <v>2601</v>
      </c>
      <c r="I426" t="s">
        <v>2601</v>
      </c>
      <c r="J426" t="s">
        <v>2601</v>
      </c>
      <c r="K426" t="s">
        <v>707</v>
      </c>
    </row>
    <row r="427" spans="2:11" ht="15">
      <c r="B427" s="1">
        <v>214</v>
      </c>
      <c r="C427" t="str">
        <f ca="1">IFERROR(__xludf.DUMMYFUNCTION((TRANSPOSE(ImportHTML("http://spending.data.al/sq/moneypower/view/id/214/year/2011", "table",2)))),"*Kategoria*")</f>
        <v>*Kategoria*</v>
      </c>
      <c r="E427" t="s">
        <v>719</v>
      </c>
      <c r="F427" t="s">
        <v>720</v>
      </c>
      <c r="G427" t="s">
        <v>721</v>
      </c>
      <c r="H427" t="s">
        <v>722</v>
      </c>
      <c r="I427" t="s">
        <v>723</v>
      </c>
      <c r="J427" t="s">
        <v>724</v>
      </c>
      <c r="K427" t="s">
        <v>685</v>
      </c>
    </row>
    <row r="428" spans="2:11" ht="15">
      <c r="B428" s="7"/>
      <c r="C428" t="s">
        <v>686</v>
      </c>
      <c r="E428" t="s">
        <v>2910</v>
      </c>
      <c r="F428" t="s">
        <v>2911</v>
      </c>
      <c r="G428" t="s">
        <v>2912</v>
      </c>
      <c r="H428" t="s">
        <v>727</v>
      </c>
      <c r="I428" t="s">
        <v>727</v>
      </c>
      <c r="J428" t="s">
        <v>727</v>
      </c>
      <c r="K428" t="s">
        <v>2913</v>
      </c>
    </row>
    <row r="429" spans="2:11" ht="15">
      <c r="B429" s="1">
        <v>215</v>
      </c>
      <c r="C429" t="str">
        <f ca="1">IFERROR(__xludf.DUMMYFUNCTION((TRANSPOSE(ImportHTML("http://spending.data.al/sq/moneypower/view/id/215/year/2011", "table",2)))),"*Kategoria*")</f>
        <v>*Kategoria*</v>
      </c>
      <c r="E429" t="s">
        <v>719</v>
      </c>
      <c r="F429" t="s">
        <v>720</v>
      </c>
      <c r="G429" t="s">
        <v>721</v>
      </c>
      <c r="H429" t="s">
        <v>722</v>
      </c>
      <c r="I429" t="s">
        <v>723</v>
      </c>
      <c r="J429" t="s">
        <v>724</v>
      </c>
      <c r="K429" t="s">
        <v>685</v>
      </c>
    </row>
    <row r="430" spans="2:11" ht="15">
      <c r="B430" s="7"/>
      <c r="C430" t="s">
        <v>686</v>
      </c>
      <c r="E430" t="s">
        <v>2914</v>
      </c>
      <c r="F430" t="s">
        <v>2915</v>
      </c>
      <c r="G430" t="s">
        <v>2601</v>
      </c>
      <c r="H430" t="s">
        <v>727</v>
      </c>
      <c r="I430" t="s">
        <v>727</v>
      </c>
      <c r="J430" t="s">
        <v>727</v>
      </c>
      <c r="K430" t="s">
        <v>2916</v>
      </c>
    </row>
    <row r="431" spans="2:11" ht="15">
      <c r="B431" s="1">
        <v>216</v>
      </c>
      <c r="C431" t="str">
        <f ca="1">IFERROR(__xludf.DUMMYFUNCTION((TRANSPOSE(ImportHTML("http://spending.data.al/sq/moneypower/view/id/216/year/2011", "table",2)))),"*Kategoria*")</f>
        <v>*Kategoria*</v>
      </c>
      <c r="E431" t="s">
        <v>719</v>
      </c>
      <c r="F431" t="s">
        <v>720</v>
      </c>
      <c r="G431" t="s">
        <v>721</v>
      </c>
      <c r="H431" t="s">
        <v>722</v>
      </c>
      <c r="I431" t="s">
        <v>723</v>
      </c>
      <c r="J431" t="s">
        <v>724</v>
      </c>
      <c r="K431" t="s">
        <v>685</v>
      </c>
    </row>
    <row r="432" spans="2:11" ht="15">
      <c r="B432" s="7"/>
      <c r="C432" t="s">
        <v>686</v>
      </c>
      <c r="E432" t="s">
        <v>2917</v>
      </c>
      <c r="F432" t="s">
        <v>727</v>
      </c>
      <c r="G432" t="s">
        <v>727</v>
      </c>
      <c r="H432" t="s">
        <v>727</v>
      </c>
      <c r="I432" t="s">
        <v>727</v>
      </c>
      <c r="J432" t="s">
        <v>727</v>
      </c>
      <c r="K432" t="s">
        <v>707</v>
      </c>
    </row>
    <row r="433" spans="2:11" ht="15">
      <c r="B433" s="1">
        <v>217</v>
      </c>
      <c r="C433" t="str">
        <f ca="1">IFERROR(__xludf.DUMMYFUNCTION((TRANSPOSE(ImportHTML("http://spending.data.al/sq/moneypower/view/id/217/year/2011", "table",2)))),"*Kategoria*")</f>
        <v>*Kategoria*</v>
      </c>
      <c r="E433" t="s">
        <v>719</v>
      </c>
      <c r="F433" t="s">
        <v>720</v>
      </c>
      <c r="G433" t="s">
        <v>721</v>
      </c>
      <c r="H433" t="s">
        <v>722</v>
      </c>
      <c r="I433" t="s">
        <v>723</v>
      </c>
      <c r="J433" t="s">
        <v>724</v>
      </c>
      <c r="K433" t="s">
        <v>685</v>
      </c>
    </row>
    <row r="434" spans="2:11" ht="15">
      <c r="B434" s="7"/>
      <c r="C434" t="s">
        <v>686</v>
      </c>
      <c r="E434" t="s">
        <v>2918</v>
      </c>
      <c r="F434" t="s">
        <v>727</v>
      </c>
      <c r="G434" t="s">
        <v>727</v>
      </c>
      <c r="H434" t="s">
        <v>727</v>
      </c>
      <c r="I434" t="s">
        <v>2601</v>
      </c>
      <c r="J434" t="s">
        <v>2601</v>
      </c>
      <c r="K434" t="s">
        <v>727</v>
      </c>
    </row>
    <row r="435" spans="2:11" ht="15">
      <c r="B435" s="1">
        <v>218</v>
      </c>
      <c r="C435" t="str">
        <f ca="1">IFERROR(__xludf.DUMMYFUNCTION((TRANSPOSE(ImportHTML("http://spending.data.al/sq/moneypower/view/id/218/year/2011", "table",2)))),"*Kategoria*")</f>
        <v>*Kategoria*</v>
      </c>
      <c r="E435" t="s">
        <v>719</v>
      </c>
      <c r="F435" t="s">
        <v>720</v>
      </c>
      <c r="G435" t="s">
        <v>721</v>
      </c>
      <c r="H435" t="s">
        <v>722</v>
      </c>
      <c r="I435" t="s">
        <v>723</v>
      </c>
      <c r="J435" t="s">
        <v>724</v>
      </c>
      <c r="K435" t="s">
        <v>685</v>
      </c>
    </row>
    <row r="436" spans="2:11" ht="15">
      <c r="B436" s="7"/>
      <c r="C436" t="s">
        <v>686</v>
      </c>
      <c r="E436" t="s">
        <v>2919</v>
      </c>
      <c r="F436" t="s">
        <v>727</v>
      </c>
      <c r="G436" t="s">
        <v>2920</v>
      </c>
      <c r="H436" t="s">
        <v>727</v>
      </c>
      <c r="I436" t="s">
        <v>2921</v>
      </c>
      <c r="J436" t="s">
        <v>727</v>
      </c>
      <c r="K436" t="s">
        <v>727</v>
      </c>
    </row>
    <row r="437" spans="2:11" ht="15">
      <c r="B437" s="1">
        <v>219</v>
      </c>
      <c r="C437" t="str">
        <f ca="1">IFERROR(__xludf.DUMMYFUNCTION((TRANSPOSE(ImportHTML("http://spending.data.al/sq/moneypower/view/id/219/year/2011", "table",2)))),"*Kategoria*")</f>
        <v>*Kategoria*</v>
      </c>
      <c r="E437" t="s">
        <v>719</v>
      </c>
      <c r="F437" t="s">
        <v>720</v>
      </c>
      <c r="G437" t="s">
        <v>721</v>
      </c>
      <c r="H437" t="s">
        <v>722</v>
      </c>
      <c r="I437" t="s">
        <v>723</v>
      </c>
      <c r="J437" t="s">
        <v>724</v>
      </c>
      <c r="K437" t="s">
        <v>685</v>
      </c>
    </row>
    <row r="438" spans="2:11" ht="15">
      <c r="B438" s="7"/>
      <c r="C438" t="s">
        <v>686</v>
      </c>
      <c r="E438" t="s">
        <v>2922</v>
      </c>
      <c r="F438" t="s">
        <v>2923</v>
      </c>
      <c r="G438" t="s">
        <v>2924</v>
      </c>
      <c r="H438" t="s">
        <v>2601</v>
      </c>
      <c r="I438" t="s">
        <v>2601</v>
      </c>
      <c r="J438" t="s">
        <v>2601</v>
      </c>
      <c r="K438" t="s">
        <v>2601</v>
      </c>
    </row>
    <row r="439" spans="2:11" ht="15">
      <c r="B439" s="1">
        <v>220</v>
      </c>
      <c r="C439" t="str">
        <f ca="1">IFERROR(__xludf.DUMMYFUNCTION((TRANSPOSE(ImportHTML("http://spending.data.al/sq/moneypower/view/id/220/year/2011", "table",2)))),"*Kategoria*")</f>
        <v>*Kategoria*</v>
      </c>
      <c r="E439" t="s">
        <v>719</v>
      </c>
      <c r="F439" t="s">
        <v>720</v>
      </c>
      <c r="G439" t="s">
        <v>721</v>
      </c>
      <c r="H439" t="s">
        <v>722</v>
      </c>
      <c r="I439" t="s">
        <v>723</v>
      </c>
      <c r="J439" t="s">
        <v>724</v>
      </c>
      <c r="K439" t="s">
        <v>685</v>
      </c>
    </row>
    <row r="440" spans="2:11" ht="15">
      <c r="B440" s="7"/>
      <c r="C440" t="s">
        <v>686</v>
      </c>
      <c r="E440" t="s">
        <v>2925</v>
      </c>
      <c r="F440" t="s">
        <v>2926</v>
      </c>
      <c r="G440" t="s">
        <v>2927</v>
      </c>
      <c r="H440" t="s">
        <v>727</v>
      </c>
      <c r="I440" t="s">
        <v>727</v>
      </c>
      <c r="J440" t="s">
        <v>727</v>
      </c>
      <c r="K440" t="s">
        <v>2928</v>
      </c>
    </row>
    <row r="441" spans="2:11" ht="15">
      <c r="B441" s="1">
        <v>221</v>
      </c>
      <c r="C441" t="str">
        <f ca="1">IFERROR(__xludf.DUMMYFUNCTION((TRANSPOSE(ImportHTML("http://spending.data.al/sq/moneypower/view/id/221/year/2011", "table",2)))),"*Kategoria*")</f>
        <v>*Kategoria*</v>
      </c>
      <c r="E441" t="s">
        <v>719</v>
      </c>
      <c r="F441" t="s">
        <v>720</v>
      </c>
      <c r="G441" t="s">
        <v>721</v>
      </c>
      <c r="H441" t="s">
        <v>722</v>
      </c>
      <c r="I441" t="s">
        <v>723</v>
      </c>
      <c r="J441" t="s">
        <v>724</v>
      </c>
      <c r="K441" t="s">
        <v>685</v>
      </c>
    </row>
    <row r="442" spans="2:11" ht="15">
      <c r="B442" s="7"/>
      <c r="C442" t="s">
        <v>686</v>
      </c>
      <c r="E442" t="s">
        <v>2929</v>
      </c>
      <c r="F442" t="s">
        <v>2601</v>
      </c>
      <c r="G442" t="s">
        <v>2930</v>
      </c>
      <c r="H442" t="s">
        <v>2601</v>
      </c>
      <c r="I442" t="s">
        <v>2601</v>
      </c>
      <c r="J442" t="s">
        <v>2601</v>
      </c>
      <c r="K442" t="s">
        <v>2601</v>
      </c>
    </row>
    <row r="443" spans="2:11" ht="15">
      <c r="B443" s="1">
        <v>222</v>
      </c>
      <c r="C443" t="str">
        <f ca="1">IFERROR(__xludf.DUMMYFUNCTION((TRANSPOSE(ImportHTML("http://spending.data.al/sq/moneypower/view/id/222/year/2011", "table",2)))),"*Kategoria*")</f>
        <v>*Kategoria*</v>
      </c>
      <c r="D443" t="s">
        <v>2589</v>
      </c>
    </row>
    <row r="444" spans="2:11" ht="15">
      <c r="B444" s="7"/>
      <c r="C444" t="s">
        <v>686</v>
      </c>
    </row>
    <row r="445" spans="2:11" ht="15">
      <c r="B445" s="1">
        <v>223</v>
      </c>
      <c r="C445" t="str">
        <f ca="1">IFERROR(__xludf.DUMMYFUNCTION((TRANSPOSE(ImportHTML("http://spending.data.al/sq/moneypower/view/id/223/year/2011", "table",2)))),"*Kategoria*")</f>
        <v>*Kategoria*</v>
      </c>
      <c r="E445" t="s">
        <v>719</v>
      </c>
      <c r="F445" t="s">
        <v>720</v>
      </c>
      <c r="G445" t="s">
        <v>721</v>
      </c>
      <c r="H445" t="s">
        <v>722</v>
      </c>
      <c r="I445" t="s">
        <v>723</v>
      </c>
      <c r="J445" t="s">
        <v>724</v>
      </c>
      <c r="K445" t="s">
        <v>685</v>
      </c>
    </row>
    <row r="446" spans="2:11" ht="15">
      <c r="B446" s="7"/>
      <c r="C446" t="s">
        <v>686</v>
      </c>
      <c r="E446" t="s">
        <v>2931</v>
      </c>
      <c r="F446" t="s">
        <v>2932</v>
      </c>
      <c r="G446" t="s">
        <v>2601</v>
      </c>
      <c r="H446" t="s">
        <v>2601</v>
      </c>
      <c r="I446" t="s">
        <v>2601</v>
      </c>
      <c r="J446" t="s">
        <v>2601</v>
      </c>
      <c r="K446" t="s">
        <v>2601</v>
      </c>
    </row>
    <row r="447" spans="2:11" ht="15">
      <c r="B447" s="1">
        <v>224</v>
      </c>
      <c r="C447" t="str">
        <f ca="1">IFERROR(__xludf.DUMMYFUNCTION((TRANSPOSE(ImportHTML("http://spending.data.al/sq/moneypower/view/id/224/year/2011", "table",2)))),"*Kategoria*")</f>
        <v>*Kategoria*</v>
      </c>
      <c r="E447" t="s">
        <v>719</v>
      </c>
      <c r="F447" t="s">
        <v>720</v>
      </c>
      <c r="G447" t="s">
        <v>721</v>
      </c>
      <c r="H447" t="s">
        <v>722</v>
      </c>
      <c r="I447" t="s">
        <v>723</v>
      </c>
      <c r="J447" t="s">
        <v>724</v>
      </c>
      <c r="K447" t="s">
        <v>685</v>
      </c>
    </row>
    <row r="448" spans="2:11" ht="15">
      <c r="B448" s="7"/>
      <c r="C448" t="s">
        <v>686</v>
      </c>
      <c r="E448" t="s">
        <v>2933</v>
      </c>
      <c r="F448" t="s">
        <v>2934</v>
      </c>
      <c r="G448" t="s">
        <v>2935</v>
      </c>
      <c r="H448" t="s">
        <v>727</v>
      </c>
      <c r="I448" t="s">
        <v>2936</v>
      </c>
      <c r="J448" t="s">
        <v>727</v>
      </c>
      <c r="K448" t="s">
        <v>2937</v>
      </c>
    </row>
    <row r="449" spans="2:11" ht="15">
      <c r="B449" s="1">
        <v>225</v>
      </c>
      <c r="C449" t="str">
        <f ca="1">IFERROR(__xludf.DUMMYFUNCTION((TRANSPOSE(ImportHTML("http://spending.data.al/sq/moneypower/view/id/225/year/2011", "table",2)))),"*Kategoria*")</f>
        <v>*Kategoria*</v>
      </c>
      <c r="E449" t="s">
        <v>719</v>
      </c>
      <c r="F449" t="s">
        <v>720</v>
      </c>
      <c r="G449" t="s">
        <v>721</v>
      </c>
      <c r="H449" t="s">
        <v>722</v>
      </c>
      <c r="I449" t="s">
        <v>723</v>
      </c>
      <c r="J449" t="s">
        <v>724</v>
      </c>
      <c r="K449" t="s">
        <v>685</v>
      </c>
    </row>
    <row r="450" spans="2:11" ht="15">
      <c r="B450" s="7"/>
      <c r="C450" t="s">
        <v>686</v>
      </c>
      <c r="E450" t="s">
        <v>2938</v>
      </c>
      <c r="F450" t="s">
        <v>2939</v>
      </c>
      <c r="G450" t="s">
        <v>2940</v>
      </c>
      <c r="H450" t="s">
        <v>727</v>
      </c>
      <c r="I450" t="s">
        <v>727</v>
      </c>
      <c r="J450" t="s">
        <v>727</v>
      </c>
      <c r="K450" t="s">
        <v>727</v>
      </c>
    </row>
    <row r="451" spans="2:11" ht="15">
      <c r="B451" s="1">
        <v>226</v>
      </c>
      <c r="C451" t="str">
        <f ca="1">IFERROR(__xludf.DUMMYFUNCTION((TRANSPOSE(ImportHTML("http://spending.data.al/sq/moneypower/view/id/226/year/2011", "table",2)))),"*Kategoria*")</f>
        <v>*Kategoria*</v>
      </c>
      <c r="E451" t="s">
        <v>719</v>
      </c>
      <c r="F451" t="s">
        <v>720</v>
      </c>
      <c r="G451" t="s">
        <v>721</v>
      </c>
      <c r="H451" t="s">
        <v>722</v>
      </c>
      <c r="I451" t="s">
        <v>723</v>
      </c>
      <c r="J451" t="s">
        <v>724</v>
      </c>
      <c r="K451" t="s">
        <v>685</v>
      </c>
    </row>
    <row r="452" spans="2:11" ht="15">
      <c r="B452" s="7"/>
      <c r="C452" t="s">
        <v>686</v>
      </c>
      <c r="E452" t="s">
        <v>2941</v>
      </c>
      <c r="F452" t="s">
        <v>2942</v>
      </c>
      <c r="G452" t="s">
        <v>2943</v>
      </c>
      <c r="H452" t="s">
        <v>727</v>
      </c>
      <c r="I452" t="s">
        <v>727</v>
      </c>
      <c r="J452" t="s">
        <v>2944</v>
      </c>
      <c r="K452" t="s">
        <v>727</v>
      </c>
    </row>
    <row r="453" spans="2:11" ht="15">
      <c r="B453" s="1">
        <v>227</v>
      </c>
      <c r="C453" t="str">
        <f ca="1">IFERROR(__xludf.DUMMYFUNCTION((TRANSPOSE(ImportHTML("http://spending.data.al/sq/moneypower/view/id/227/year/2011", "table",2)))),"*Kategoria*")</f>
        <v>*Kategoria*</v>
      </c>
      <c r="E453" t="s">
        <v>719</v>
      </c>
      <c r="F453" t="s">
        <v>720</v>
      </c>
      <c r="G453" t="s">
        <v>721</v>
      </c>
      <c r="H453" t="s">
        <v>722</v>
      </c>
      <c r="I453" t="s">
        <v>723</v>
      </c>
      <c r="J453" t="s">
        <v>724</v>
      </c>
      <c r="K453" t="s">
        <v>685</v>
      </c>
    </row>
    <row r="454" spans="2:11" ht="15">
      <c r="B454" s="7"/>
      <c r="C454" t="s">
        <v>686</v>
      </c>
      <c r="E454" t="s">
        <v>2945</v>
      </c>
      <c r="F454" t="s">
        <v>727</v>
      </c>
      <c r="G454" t="s">
        <v>2946</v>
      </c>
      <c r="H454" t="s">
        <v>727</v>
      </c>
      <c r="I454" t="s">
        <v>727</v>
      </c>
      <c r="J454" t="s">
        <v>727</v>
      </c>
      <c r="K454" t="s">
        <v>727</v>
      </c>
    </row>
    <row r="455" spans="2:11" ht="15">
      <c r="B455" s="1">
        <v>228</v>
      </c>
      <c r="C455" t="str">
        <f ca="1">IFERROR(__xludf.DUMMYFUNCTION((TRANSPOSE(ImportHTML("http://spending.data.al/sq/moneypower/view/id/228/year/2011", "table",2)))),"*Kategoria*")</f>
        <v>*Kategoria*</v>
      </c>
      <c r="E455" t="s">
        <v>719</v>
      </c>
      <c r="F455" t="s">
        <v>720</v>
      </c>
      <c r="G455" t="s">
        <v>721</v>
      </c>
      <c r="H455" t="s">
        <v>722</v>
      </c>
      <c r="I455" t="s">
        <v>723</v>
      </c>
      <c r="J455" t="s">
        <v>724</v>
      </c>
      <c r="K455" t="s">
        <v>685</v>
      </c>
    </row>
    <row r="456" spans="2:11" ht="15">
      <c r="B456" s="7"/>
      <c r="C456" t="s">
        <v>686</v>
      </c>
      <c r="E456" t="s">
        <v>2947</v>
      </c>
      <c r="F456" t="s">
        <v>727</v>
      </c>
      <c r="G456" t="s">
        <v>2948</v>
      </c>
      <c r="H456" t="s">
        <v>727</v>
      </c>
      <c r="I456" t="s">
        <v>727</v>
      </c>
      <c r="J456" t="s">
        <v>727</v>
      </c>
      <c r="K456" t="s">
        <v>727</v>
      </c>
    </row>
    <row r="457" spans="2:11" ht="15">
      <c r="B457" s="1">
        <v>229</v>
      </c>
      <c r="C457" t="str">
        <f ca="1">IFERROR(__xludf.DUMMYFUNCTION((TRANSPOSE(ImportHTML("http://spending.data.al/sq/moneypower/view/id/229/year/2011", "table",2)))),"*Kategoria*")</f>
        <v>*Kategoria*</v>
      </c>
      <c r="E457" t="s">
        <v>719</v>
      </c>
      <c r="F457" t="s">
        <v>720</v>
      </c>
      <c r="G457" t="s">
        <v>721</v>
      </c>
      <c r="H457" t="s">
        <v>722</v>
      </c>
      <c r="I457" t="s">
        <v>723</v>
      </c>
      <c r="J457" t="s">
        <v>724</v>
      </c>
      <c r="K457" t="s">
        <v>685</v>
      </c>
    </row>
    <row r="458" spans="2:11" ht="15">
      <c r="B458" s="7"/>
      <c r="C458" t="s">
        <v>686</v>
      </c>
      <c r="E458" t="s">
        <v>727</v>
      </c>
      <c r="F458" t="s">
        <v>2949</v>
      </c>
      <c r="G458" t="s">
        <v>2950</v>
      </c>
      <c r="H458" t="s">
        <v>727</v>
      </c>
      <c r="I458" t="s">
        <v>727</v>
      </c>
      <c r="J458" t="s">
        <v>727</v>
      </c>
      <c r="K458" t="s">
        <v>2951</v>
      </c>
    </row>
    <row r="459" spans="2:11" ht="15">
      <c r="B459" s="1">
        <v>230</v>
      </c>
      <c r="C459" t="str">
        <f ca="1">IFERROR(__xludf.DUMMYFUNCTION((TRANSPOSE(ImportHTML("http://spending.data.al/sq/moneypower/view/id/230/year/2011", "table",2)))),"*Kategoria*")</f>
        <v>*Kategoria*</v>
      </c>
      <c r="E459" t="s">
        <v>719</v>
      </c>
      <c r="F459" t="s">
        <v>720</v>
      </c>
      <c r="G459" t="s">
        <v>721</v>
      </c>
      <c r="H459" t="s">
        <v>722</v>
      </c>
      <c r="I459" t="s">
        <v>723</v>
      </c>
      <c r="J459" t="s">
        <v>724</v>
      </c>
      <c r="K459" t="s">
        <v>685</v>
      </c>
    </row>
    <row r="460" spans="2:11" ht="15">
      <c r="B460" s="7"/>
      <c r="C460" t="s">
        <v>686</v>
      </c>
      <c r="E460" t="s">
        <v>2952</v>
      </c>
      <c r="F460" t="s">
        <v>727</v>
      </c>
      <c r="G460" t="s">
        <v>2953</v>
      </c>
      <c r="H460" t="s">
        <v>727</v>
      </c>
      <c r="I460" t="s">
        <v>727</v>
      </c>
      <c r="J460" t="s">
        <v>727</v>
      </c>
      <c r="K460" t="s">
        <v>727</v>
      </c>
    </row>
    <row r="461" spans="2:11" ht="15">
      <c r="B461" s="1">
        <v>231</v>
      </c>
      <c r="C461" t="str">
        <f ca="1">IFERROR(__xludf.DUMMYFUNCTION((TRANSPOSE(ImportHTML("http://spending.data.al/sq/moneypower/view/id/231/year/2011", "table",2)))),"*Kategoria*")</f>
        <v>*Kategoria*</v>
      </c>
      <c r="E461" t="s">
        <v>719</v>
      </c>
      <c r="F461" t="s">
        <v>720</v>
      </c>
      <c r="G461" t="s">
        <v>721</v>
      </c>
      <c r="H461" t="s">
        <v>722</v>
      </c>
      <c r="I461" t="s">
        <v>723</v>
      </c>
      <c r="J461" t="s">
        <v>724</v>
      </c>
      <c r="K461" t="s">
        <v>685</v>
      </c>
    </row>
    <row r="462" spans="2:11" ht="15">
      <c r="B462" s="7"/>
      <c r="C462" t="s">
        <v>686</v>
      </c>
      <c r="E462" t="s">
        <v>2952</v>
      </c>
      <c r="F462" t="s">
        <v>727</v>
      </c>
      <c r="G462" t="s">
        <v>2953</v>
      </c>
      <c r="H462" t="s">
        <v>727</v>
      </c>
      <c r="I462" t="s">
        <v>727</v>
      </c>
      <c r="J462" t="s">
        <v>727</v>
      </c>
      <c r="K462" t="s">
        <v>727</v>
      </c>
    </row>
    <row r="463" spans="2:11" ht="15">
      <c r="B463" s="1">
        <v>232</v>
      </c>
      <c r="C463" t="str">
        <f ca="1">IFERROR(__xludf.DUMMYFUNCTION((TRANSPOSE(ImportHTML("http://spending.data.al/sq/moneypower/view/id/232/year/2011", "table",2)))),"*Kategoria*")</f>
        <v>*Kategoria*</v>
      </c>
      <c r="D463" t="s">
        <v>2589</v>
      </c>
    </row>
    <row r="464" spans="2:11" ht="15">
      <c r="B464" s="7"/>
      <c r="C464" t="s">
        <v>686</v>
      </c>
    </row>
    <row r="465" spans="2:11" ht="15">
      <c r="B465" s="1">
        <v>233</v>
      </c>
      <c r="C465" t="str">
        <f ca="1">IFERROR(__xludf.DUMMYFUNCTION((TRANSPOSE(ImportHTML("http://spending.data.al/sq/moneypower/view/id/233/year/2011", "table",2)))),"*Kategoria*")</f>
        <v>*Kategoria*</v>
      </c>
      <c r="E465" t="s">
        <v>719</v>
      </c>
      <c r="F465" t="s">
        <v>720</v>
      </c>
      <c r="G465" t="s">
        <v>721</v>
      </c>
      <c r="H465" t="s">
        <v>722</v>
      </c>
      <c r="I465" t="s">
        <v>723</v>
      </c>
      <c r="J465" t="s">
        <v>724</v>
      </c>
      <c r="K465" t="s">
        <v>685</v>
      </c>
    </row>
    <row r="466" spans="2:11" ht="15">
      <c r="B466" s="7"/>
      <c r="C466" t="s">
        <v>686</v>
      </c>
      <c r="E466" t="s">
        <v>2954</v>
      </c>
      <c r="F466" t="s">
        <v>2955</v>
      </c>
      <c r="G466" t="s">
        <v>2956</v>
      </c>
      <c r="H466" t="s">
        <v>727</v>
      </c>
      <c r="I466" t="s">
        <v>727</v>
      </c>
      <c r="J466" t="s">
        <v>727</v>
      </c>
      <c r="K466" t="s">
        <v>727</v>
      </c>
    </row>
    <row r="467" spans="2:11" ht="15">
      <c r="B467" s="1">
        <v>234</v>
      </c>
      <c r="C467" t="str">
        <f ca="1">IFERROR(__xludf.DUMMYFUNCTION((TRANSPOSE(ImportHTML("http://spending.data.al/sq/moneypower/view/id/234/year/2011", "table",2)))),"*Kategoria*")</f>
        <v>*Kategoria*</v>
      </c>
      <c r="E467" t="s">
        <v>719</v>
      </c>
      <c r="F467" t="s">
        <v>720</v>
      </c>
      <c r="G467" t="s">
        <v>721</v>
      </c>
      <c r="H467" t="s">
        <v>722</v>
      </c>
      <c r="I467" t="s">
        <v>723</v>
      </c>
      <c r="J467" t="s">
        <v>724</v>
      </c>
      <c r="K467" t="s">
        <v>685</v>
      </c>
    </row>
    <row r="468" spans="2:11" ht="15">
      <c r="B468" s="7"/>
      <c r="C468" t="s">
        <v>686</v>
      </c>
      <c r="E468" t="s">
        <v>2957</v>
      </c>
      <c r="F468" t="s">
        <v>2595</v>
      </c>
      <c r="G468" t="s">
        <v>2958</v>
      </c>
      <c r="H468" t="s">
        <v>727</v>
      </c>
      <c r="I468" t="s">
        <v>727</v>
      </c>
      <c r="J468" t="s">
        <v>727</v>
      </c>
      <c r="K468" t="s">
        <v>727</v>
      </c>
    </row>
    <row r="469" spans="2:11" ht="15">
      <c r="B469" s="1">
        <v>235</v>
      </c>
      <c r="C469" t="str">
        <f ca="1">IFERROR(__xludf.DUMMYFUNCTION((TRANSPOSE(ImportHTML("http://spending.data.al/sq/moneypower/view/id/235/year/2011", "table",2)))),"*Kategoria*")</f>
        <v>*Kategoria*</v>
      </c>
      <c r="D469" t="s">
        <v>2589</v>
      </c>
    </row>
    <row r="470" spans="2:11" ht="15">
      <c r="B470" s="7"/>
      <c r="C470" t="s">
        <v>686</v>
      </c>
    </row>
    <row r="471" spans="2:11" ht="15">
      <c r="B471" s="1">
        <v>236</v>
      </c>
      <c r="C471" t="str">
        <f ca="1">IFERROR(__xludf.DUMMYFUNCTION((TRANSPOSE(ImportHTML("http://spending.data.al/sq/moneypower/view/id/236/year/2011", "table",2)))),"*Kategoria*")</f>
        <v>*Kategoria*</v>
      </c>
      <c r="D471" t="s">
        <v>2589</v>
      </c>
    </row>
    <row r="472" spans="2:11" ht="15">
      <c r="B472" s="7"/>
      <c r="C472" t="s">
        <v>686</v>
      </c>
    </row>
    <row r="473" spans="2:11" ht="15">
      <c r="B473" s="1">
        <v>237</v>
      </c>
      <c r="C473" t="str">
        <f ca="1">IFERROR(__xludf.DUMMYFUNCTION((TRANSPOSE(ImportHTML("http://spending.data.al/sq/moneypower/view/id/237/year/2011", "table",2)))),"*Kategoria*")</f>
        <v>*Kategoria*</v>
      </c>
      <c r="E473" t="s">
        <v>719</v>
      </c>
      <c r="F473" t="s">
        <v>720</v>
      </c>
      <c r="G473" t="s">
        <v>721</v>
      </c>
      <c r="H473" t="s">
        <v>722</v>
      </c>
      <c r="I473" t="s">
        <v>723</v>
      </c>
      <c r="J473" t="s">
        <v>724</v>
      </c>
      <c r="K473" t="s">
        <v>685</v>
      </c>
    </row>
    <row r="474" spans="2:11" ht="15">
      <c r="B474" s="7"/>
      <c r="C474" t="s">
        <v>686</v>
      </c>
      <c r="E474" t="s">
        <v>2584</v>
      </c>
      <c r="F474" t="s">
        <v>2585</v>
      </c>
      <c r="G474" t="s">
        <v>2586</v>
      </c>
      <c r="H474" t="s">
        <v>688</v>
      </c>
      <c r="I474" t="s">
        <v>2587</v>
      </c>
      <c r="J474" t="s">
        <v>688</v>
      </c>
      <c r="K474" t="s">
        <v>2588</v>
      </c>
    </row>
    <row r="475" spans="2:11" ht="15">
      <c r="B475" s="1">
        <v>238</v>
      </c>
      <c r="C475" t="str">
        <f ca="1">IFERROR(__xludf.DUMMYFUNCTION((TRANSPOSE(ImportHTML("http://spending.data.al/sq/moneypower/view/id/238/year/2011", "table",2)))),"*Kategoria*")</f>
        <v>*Kategoria*</v>
      </c>
      <c r="D475" t="s">
        <v>2589</v>
      </c>
    </row>
    <row r="476" spans="2:11" ht="15">
      <c r="B476" s="7"/>
      <c r="C476" t="s">
        <v>686</v>
      </c>
    </row>
    <row r="477" spans="2:11" ht="15">
      <c r="B477" s="1">
        <v>239</v>
      </c>
      <c r="C477" t="str">
        <f ca="1">IFERROR(__xludf.DUMMYFUNCTION((TRANSPOSE(ImportHTML("http://spending.data.al/sq/moneypower/view/id/239/year/2011", "table",2)))),"*Kategoria*")</f>
        <v>*Kategoria*</v>
      </c>
      <c r="D477" t="s">
        <v>2589</v>
      </c>
    </row>
    <row r="478" spans="2:11" ht="15">
      <c r="B478" s="7"/>
      <c r="C478" t="s">
        <v>686</v>
      </c>
    </row>
    <row r="479" spans="2:11" ht="15">
      <c r="B479" s="1">
        <v>240</v>
      </c>
      <c r="C479" t="str">
        <f ca="1">IFERROR(__xludf.DUMMYFUNCTION((TRANSPOSE(ImportHTML("http://spending.data.al/sq/moneypower/view/id/240/year/2011", "table",2)))),"*Kategoria*")</f>
        <v>*Kategoria*</v>
      </c>
      <c r="D479" t="s">
        <v>2589</v>
      </c>
    </row>
    <row r="480" spans="2:11" ht="15">
      <c r="B480" s="7"/>
      <c r="C480" t="s">
        <v>686</v>
      </c>
    </row>
    <row r="481" spans="2:11" ht="15">
      <c r="B481" s="1">
        <v>241</v>
      </c>
      <c r="C481" t="str">
        <f ca="1">IFERROR(__xludf.DUMMYFUNCTION((TRANSPOSE(ImportHTML("http://spending.data.al/sq/moneypower/view/id/241/year/2011", "table",2)))),"*Kategoria*")</f>
        <v>*Kategoria*</v>
      </c>
      <c r="D481" t="s">
        <v>2589</v>
      </c>
    </row>
    <row r="482" spans="2:11" ht="15">
      <c r="B482" s="7"/>
      <c r="C482" t="s">
        <v>686</v>
      </c>
    </row>
    <row r="483" spans="2:11" ht="15">
      <c r="B483" s="1">
        <v>242</v>
      </c>
      <c r="C483" t="str">
        <f ca="1">IFERROR(__xludf.DUMMYFUNCTION((TRANSPOSE(ImportHTML("http://spending.data.al/sq/moneypower/view/id/242/year/2011", "table",2)))),"*Kategoria*")</f>
        <v>*Kategoria*</v>
      </c>
      <c r="D483" t="s">
        <v>2589</v>
      </c>
    </row>
    <row r="484" spans="2:11" ht="15">
      <c r="B484" s="7"/>
      <c r="C484" t="s">
        <v>686</v>
      </c>
    </row>
    <row r="485" spans="2:11" ht="15">
      <c r="B485" s="1">
        <v>243</v>
      </c>
      <c r="C485" t="str">
        <f ca="1">IFERROR(__xludf.DUMMYFUNCTION((TRANSPOSE(ImportHTML("http://spending.data.al/sq/moneypower/view/id/243/year/2011", "table",2)))),"*Kategoria*")</f>
        <v>*Kategoria*</v>
      </c>
      <c r="D485" t="s">
        <v>2589</v>
      </c>
    </row>
    <row r="486" spans="2:11" ht="15">
      <c r="B486" s="7"/>
      <c r="C486" t="s">
        <v>686</v>
      </c>
    </row>
    <row r="487" spans="2:11" ht="15">
      <c r="B487" s="1">
        <v>244</v>
      </c>
      <c r="C487" t="str">
        <f ca="1">IFERROR(__xludf.DUMMYFUNCTION((TRANSPOSE(ImportHTML("http://spending.data.al/sq/moneypower/view/id/244/year/2011", "table",2)))),"*Kategoria*")</f>
        <v>*Kategoria*</v>
      </c>
      <c r="D487" t="s">
        <v>2589</v>
      </c>
    </row>
    <row r="488" spans="2:11" ht="15">
      <c r="B488" s="7"/>
      <c r="C488" t="s">
        <v>686</v>
      </c>
    </row>
    <row r="489" spans="2:11" ht="15">
      <c r="B489" s="1">
        <v>245</v>
      </c>
      <c r="C489" t="str">
        <f ca="1">IFERROR(__xludf.DUMMYFUNCTION((TRANSPOSE(ImportHTML("http://spending.data.al/sq/moneypower/view/id/245/year/2011", "table",2)))),"*Kategoria*")</f>
        <v>*Kategoria*</v>
      </c>
      <c r="D489" t="s">
        <v>2589</v>
      </c>
    </row>
    <row r="490" spans="2:11" ht="15">
      <c r="B490" s="7"/>
      <c r="C490" t="s">
        <v>686</v>
      </c>
    </row>
    <row r="491" spans="2:11" ht="15">
      <c r="B491" s="1">
        <v>246</v>
      </c>
      <c r="C491" t="str">
        <f ca="1">IFERROR(__xludf.DUMMYFUNCTION((TRANSPOSE(ImportHTML("http://spending.data.al/sq/moneypower/view/id/246/year/2011", "table",2)))),"*Kategoria*")</f>
        <v>*Kategoria*</v>
      </c>
      <c r="D491" t="s">
        <v>2589</v>
      </c>
    </row>
    <row r="492" spans="2:11" ht="15">
      <c r="B492" s="7"/>
      <c r="C492" t="s">
        <v>686</v>
      </c>
    </row>
    <row r="493" spans="2:11" ht="15">
      <c r="B493" s="1">
        <v>247</v>
      </c>
      <c r="C493" t="str">
        <f ca="1">IFERROR(__xludf.DUMMYFUNCTION((TRANSPOSE(ImportHTML("http://spending.data.al/sq/moneypower/view/id/247/year/2011", "table",2)))),"*Kategoria*")</f>
        <v>*Kategoria*</v>
      </c>
      <c r="D493" t="s">
        <v>2589</v>
      </c>
    </row>
    <row r="494" spans="2:11" ht="15">
      <c r="B494" s="7"/>
      <c r="C494" t="s">
        <v>686</v>
      </c>
    </row>
    <row r="495" spans="2:11" ht="15">
      <c r="B495" s="1">
        <v>248</v>
      </c>
      <c r="C495" t="str">
        <f ca="1">IFERROR(__xludf.DUMMYFUNCTION((TRANSPOSE(ImportHTML("http://spending.data.al/sq/moneypower/view/id/248/year/2011", "table",2)))),"*Kategoria*")</f>
        <v>*Kategoria*</v>
      </c>
      <c r="E495" t="s">
        <v>719</v>
      </c>
      <c r="F495" t="s">
        <v>720</v>
      </c>
      <c r="G495" t="s">
        <v>721</v>
      </c>
      <c r="H495" t="s">
        <v>722</v>
      </c>
      <c r="I495" t="s">
        <v>723</v>
      </c>
      <c r="J495" t="s">
        <v>724</v>
      </c>
      <c r="K495" t="s">
        <v>685</v>
      </c>
    </row>
    <row r="496" spans="2:11" ht="15">
      <c r="B496" s="7"/>
      <c r="C496" t="s">
        <v>686</v>
      </c>
      <c r="E496" t="s">
        <v>2590</v>
      </c>
      <c r="F496" t="s">
        <v>2591</v>
      </c>
      <c r="G496" t="s">
        <v>2592</v>
      </c>
      <c r="H496" t="s">
        <v>727</v>
      </c>
      <c r="I496" t="s">
        <v>727</v>
      </c>
      <c r="J496" t="s">
        <v>727</v>
      </c>
      <c r="K496" t="s">
        <v>2593</v>
      </c>
    </row>
    <row r="497" spans="2:11" ht="15">
      <c r="B497" s="1">
        <v>249</v>
      </c>
      <c r="C497" t="str">
        <f ca="1">IFERROR(__xludf.DUMMYFUNCTION((TRANSPOSE(ImportHTML("http://spending.data.al/sq/moneypower/view/id/249/year/2011", "table",2)))),"*Kategoria*")</f>
        <v>*Kategoria*</v>
      </c>
      <c r="D497" t="s">
        <v>2589</v>
      </c>
    </row>
    <row r="498" spans="2:11" ht="15">
      <c r="B498" s="7"/>
      <c r="C498" t="s">
        <v>686</v>
      </c>
    </row>
    <row r="499" spans="2:11" ht="15">
      <c r="B499" s="1">
        <v>250</v>
      </c>
      <c r="C499" t="str">
        <f ca="1">IFERROR(__xludf.DUMMYFUNCTION((TRANSPOSE(ImportHTML("http://spending.data.al/sq/moneypower/view/id/250/year/2011", "table",2)))),"*Kategoria*")</f>
        <v>*Kategoria*</v>
      </c>
      <c r="D499" t="s">
        <v>2589</v>
      </c>
    </row>
    <row r="500" spans="2:11" ht="15">
      <c r="B500" s="7"/>
      <c r="C500" t="s">
        <v>686</v>
      </c>
    </row>
    <row r="501" spans="2:11" ht="15">
      <c r="B501" s="1">
        <v>251</v>
      </c>
      <c r="C501" t="str">
        <f ca="1">IFERROR(__xludf.DUMMYFUNCTION((TRANSPOSE(ImportHTML("http://spending.data.al/sq/moneypower/view/id/251/year/2011", "table",2)))),"*Kategoria*")</f>
        <v>*Kategoria*</v>
      </c>
      <c r="D501" t="s">
        <v>2589</v>
      </c>
    </row>
    <row r="502" spans="2:11" ht="15">
      <c r="B502" s="7"/>
      <c r="C502" t="s">
        <v>686</v>
      </c>
    </row>
    <row r="503" spans="2:11" ht="15">
      <c r="B503" s="1">
        <v>252</v>
      </c>
      <c r="C503" t="str">
        <f ca="1">IFERROR(__xludf.DUMMYFUNCTION((TRANSPOSE(ImportHTML("http://spending.data.al/sq/moneypower/view/id/252/year/2011", "table",2)))),"*Kategoria*")</f>
        <v>*Kategoria*</v>
      </c>
      <c r="E503" t="s">
        <v>719</v>
      </c>
      <c r="F503" t="s">
        <v>720</v>
      </c>
      <c r="G503" t="s">
        <v>721</v>
      </c>
      <c r="H503" t="s">
        <v>722</v>
      </c>
      <c r="I503" t="s">
        <v>723</v>
      </c>
      <c r="J503" t="s">
        <v>724</v>
      </c>
      <c r="K503" t="s">
        <v>685</v>
      </c>
    </row>
    <row r="504" spans="2:11" ht="15">
      <c r="B504" s="7"/>
      <c r="C504" t="s">
        <v>686</v>
      </c>
      <c r="E504" t="s">
        <v>2594</v>
      </c>
      <c r="F504" t="s">
        <v>2595</v>
      </c>
      <c r="G504" t="s">
        <v>2596</v>
      </c>
      <c r="H504" t="s">
        <v>727</v>
      </c>
      <c r="I504" t="s">
        <v>727</v>
      </c>
      <c r="J504" t="s">
        <v>727</v>
      </c>
      <c r="K504" t="s">
        <v>727</v>
      </c>
    </row>
    <row r="505" spans="2:11" ht="15">
      <c r="B505" s="1">
        <v>253</v>
      </c>
      <c r="C505" t="str">
        <f ca="1">IFERROR(__xludf.DUMMYFUNCTION((TRANSPOSE(ImportHTML("http://spending.data.al/sq/moneypower/view/id/253/year/2011", "table",2)))),"*Kategoria*")</f>
        <v>*Kategoria*</v>
      </c>
      <c r="E505" t="s">
        <v>719</v>
      </c>
      <c r="F505" t="s">
        <v>720</v>
      </c>
      <c r="G505" t="s">
        <v>721</v>
      </c>
      <c r="H505" t="s">
        <v>722</v>
      </c>
      <c r="I505" t="s">
        <v>723</v>
      </c>
      <c r="J505" t="s">
        <v>724</v>
      </c>
      <c r="K505" t="s">
        <v>685</v>
      </c>
    </row>
    <row r="506" spans="2:11" ht="15">
      <c r="B506" s="7"/>
      <c r="C506" t="s">
        <v>686</v>
      </c>
      <c r="E506" t="s">
        <v>2597</v>
      </c>
      <c r="F506" t="s">
        <v>2598</v>
      </c>
      <c r="G506" t="s">
        <v>2599</v>
      </c>
      <c r="H506" t="s">
        <v>727</v>
      </c>
      <c r="I506" t="s">
        <v>727</v>
      </c>
      <c r="J506" t="s">
        <v>727</v>
      </c>
      <c r="K506" t="s">
        <v>727</v>
      </c>
    </row>
    <row r="507" spans="2:11" ht="15">
      <c r="B507" s="1">
        <v>254</v>
      </c>
      <c r="C507" t="str">
        <f ca="1">IFERROR(__xludf.DUMMYFUNCTION((TRANSPOSE(ImportHTML("http://spending.data.al/sq/moneypower/view/id/254/year/2011", "table",2)))),"*Kategoria*")</f>
        <v>*Kategoria*</v>
      </c>
      <c r="D507" t="s">
        <v>2589</v>
      </c>
    </row>
    <row r="508" spans="2:11" ht="15">
      <c r="B508" s="7"/>
      <c r="C508" t="s">
        <v>686</v>
      </c>
    </row>
    <row r="509" spans="2:11" ht="15">
      <c r="B509" s="1">
        <v>255</v>
      </c>
      <c r="C509" t="str">
        <f ca="1">IFERROR(__xludf.DUMMYFUNCTION((TRANSPOSE(ImportHTML("http://spending.data.al/sq/moneypower/view/id/255/year/2011", "table",2)))),"*Kategoria*")</f>
        <v>*Kategoria*</v>
      </c>
      <c r="D509" t="s">
        <v>2589</v>
      </c>
    </row>
    <row r="510" spans="2:11" ht="15">
      <c r="B510" s="7"/>
      <c r="C510" t="s">
        <v>686</v>
      </c>
    </row>
    <row r="511" spans="2:11" ht="15">
      <c r="B511" s="1">
        <v>256</v>
      </c>
      <c r="C511" t="str">
        <f ca="1">IFERROR(__xludf.DUMMYFUNCTION((TRANSPOSE(ImportHTML("http://spending.data.al/sq/moneypower/view/id/256/year/2011", "table",2)))),"*Kategoria*")</f>
        <v>*Kategoria*</v>
      </c>
      <c r="D511" t="s">
        <v>2589</v>
      </c>
    </row>
    <row r="512" spans="2:11" ht="15">
      <c r="B512" s="7"/>
      <c r="C512" t="s">
        <v>686</v>
      </c>
    </row>
    <row r="513" spans="2:11" ht="15">
      <c r="B513" s="1">
        <v>257</v>
      </c>
      <c r="C513" t="str">
        <f ca="1">IFERROR(__xludf.DUMMYFUNCTION((TRANSPOSE(ImportHTML("http://spending.data.al/sq/moneypower/view/id/257/year/2011", "table",2)))),"*Kategoria*")</f>
        <v>*Kategoria*</v>
      </c>
      <c r="D513" t="s">
        <v>2589</v>
      </c>
    </row>
    <row r="514" spans="2:11" ht="15">
      <c r="B514" s="7"/>
      <c r="C514" t="s">
        <v>686</v>
      </c>
    </row>
    <row r="515" spans="2:11" ht="15">
      <c r="B515" s="1">
        <v>258</v>
      </c>
      <c r="C515" t="str">
        <f ca="1">IFERROR(__xludf.DUMMYFUNCTION((TRANSPOSE(ImportHTML("http://spending.data.al/sq/moneypower/view/id/258/year/2011", "table",2)))),"*Kategoria*")</f>
        <v>*Kategoria*</v>
      </c>
      <c r="E515" t="s">
        <v>719</v>
      </c>
      <c r="F515" t="s">
        <v>720</v>
      </c>
      <c r="G515" t="s">
        <v>721</v>
      </c>
      <c r="H515" t="s">
        <v>722</v>
      </c>
      <c r="I515" t="s">
        <v>723</v>
      </c>
      <c r="J515" t="s">
        <v>724</v>
      </c>
      <c r="K515" t="s">
        <v>685</v>
      </c>
    </row>
    <row r="516" spans="2:11" ht="15">
      <c r="B516" s="7"/>
      <c r="C516" t="s">
        <v>686</v>
      </c>
      <c r="E516" t="s">
        <v>2600</v>
      </c>
      <c r="F516" t="s">
        <v>2601</v>
      </c>
      <c r="G516" t="s">
        <v>2602</v>
      </c>
      <c r="H516" t="s">
        <v>2601</v>
      </c>
      <c r="I516" t="s">
        <v>2601</v>
      </c>
      <c r="J516" t="s">
        <v>2601</v>
      </c>
      <c r="K516" t="s">
        <v>2601</v>
      </c>
    </row>
    <row r="517" spans="2:11" ht="15">
      <c r="B517" s="1">
        <v>259</v>
      </c>
      <c r="C517" t="str">
        <f ca="1">IFERROR(__xludf.DUMMYFUNCTION((TRANSPOSE(ImportHTML("http://spending.data.al/sq/moneypower/view/id/259/year/2011", "table",2)))),"*Kategoria*")</f>
        <v>*Kategoria*</v>
      </c>
      <c r="D517" t="s">
        <v>2589</v>
      </c>
    </row>
    <row r="518" spans="2:11" ht="15">
      <c r="B518" s="7"/>
      <c r="C518" t="s">
        <v>686</v>
      </c>
    </row>
    <row r="519" spans="2:11" ht="15">
      <c r="B519" s="1">
        <v>260</v>
      </c>
      <c r="C519" t="str">
        <f ca="1">IFERROR(__xludf.DUMMYFUNCTION((TRANSPOSE(ImportHTML("http://spending.data.al/sq/moneypower/view/id/260/year/2011", "table",2)))),"*Kategoria*")</f>
        <v>*Kategoria*</v>
      </c>
      <c r="D519" t="s">
        <v>2589</v>
      </c>
    </row>
    <row r="520" spans="2:11" ht="15">
      <c r="B520" s="7"/>
      <c r="C520" t="s">
        <v>686</v>
      </c>
    </row>
    <row r="521" spans="2:11" ht="15">
      <c r="B521" s="1">
        <v>261</v>
      </c>
      <c r="C521" t="str">
        <f ca="1">IFERROR(__xludf.DUMMYFUNCTION((TRANSPOSE(ImportHTML("http://spending.data.al/sq/moneypower/view/id/261/year/2011", "table",2)))),"*Kategoria*")</f>
        <v>*Kategoria*</v>
      </c>
      <c r="D521" t="s">
        <v>2589</v>
      </c>
    </row>
    <row r="522" spans="2:11" ht="15">
      <c r="B522" s="7"/>
      <c r="C522" t="s">
        <v>686</v>
      </c>
    </row>
    <row r="523" spans="2:11" ht="15">
      <c r="B523" s="1">
        <v>262</v>
      </c>
      <c r="C523" t="str">
        <f ca="1">IFERROR(__xludf.DUMMYFUNCTION((TRANSPOSE(ImportHTML("http://spending.data.al/sq/moneypower/view/id/262/year/2011", "table",2)))),"*Kategoria*")</f>
        <v>*Kategoria*</v>
      </c>
      <c r="D523" t="s">
        <v>2589</v>
      </c>
    </row>
    <row r="524" spans="2:11" ht="15">
      <c r="B524" s="7"/>
      <c r="C524" t="s">
        <v>686</v>
      </c>
    </row>
    <row r="525" spans="2:11" ht="15">
      <c r="B525" s="1">
        <v>263</v>
      </c>
      <c r="C525" t="str">
        <f ca="1">IFERROR(__xludf.DUMMYFUNCTION((TRANSPOSE(ImportHTML("http://spending.data.al/sq/moneypower/view/id/263/year/2011", "table",2)))),"*Kategoria*")</f>
        <v>*Kategoria*</v>
      </c>
      <c r="D525" t="s">
        <v>2589</v>
      </c>
    </row>
    <row r="526" spans="2:11" ht="15">
      <c r="B526" s="7"/>
      <c r="C526" t="s">
        <v>686</v>
      </c>
    </row>
    <row r="527" spans="2:11" ht="15">
      <c r="B527" s="1">
        <v>264</v>
      </c>
      <c r="C527" t="str">
        <f ca="1">IFERROR(__xludf.DUMMYFUNCTION((TRANSPOSE(ImportHTML("http://spending.data.al/sq/moneypower/view/id/264/year/2011", "table",2)))),"*Kategoria*")</f>
        <v>*Kategoria*</v>
      </c>
      <c r="D527" t="s">
        <v>2589</v>
      </c>
    </row>
    <row r="528" spans="2:11" ht="15">
      <c r="B528" s="7"/>
      <c r="C528" t="s">
        <v>686</v>
      </c>
    </row>
    <row r="529" spans="2:11" ht="15">
      <c r="B529" s="1">
        <v>265</v>
      </c>
      <c r="C529" t="str">
        <f ca="1">IFERROR(__xludf.DUMMYFUNCTION((TRANSPOSE(ImportHTML("http://spending.data.al/sq/moneypower/view/id/265/year/2011", "table",2)))),"*Kategoria*")</f>
        <v>*Kategoria*</v>
      </c>
      <c r="D529" t="s">
        <v>2589</v>
      </c>
    </row>
    <row r="530" spans="2:11" ht="15">
      <c r="B530" s="7"/>
      <c r="C530" t="s">
        <v>686</v>
      </c>
    </row>
    <row r="531" spans="2:11" ht="15">
      <c r="B531" s="1">
        <v>266</v>
      </c>
      <c r="C531" t="str">
        <f ca="1">IFERROR(__xludf.DUMMYFUNCTION((TRANSPOSE(ImportHTML("http://spending.data.al/sq/moneypower/view/id/266/year/2011", "table",2)))),"*Kategoria*")</f>
        <v>*Kategoria*</v>
      </c>
      <c r="D531" t="s">
        <v>2589</v>
      </c>
    </row>
    <row r="532" spans="2:11" ht="15">
      <c r="B532" s="7"/>
      <c r="C532" t="s">
        <v>686</v>
      </c>
    </row>
    <row r="533" spans="2:11" ht="15">
      <c r="B533" s="1">
        <v>267</v>
      </c>
      <c r="C533" t="str">
        <f ca="1">IFERROR(__xludf.DUMMYFUNCTION((TRANSPOSE(ImportHTML("http://spending.data.al/sq/moneypower/view/id/267/year/2011", "table",2)))),"*Kategoria*")</f>
        <v>*Kategoria*</v>
      </c>
      <c r="E533" t="s">
        <v>719</v>
      </c>
      <c r="F533" t="s">
        <v>720</v>
      </c>
      <c r="G533" t="s">
        <v>721</v>
      </c>
      <c r="H533" t="s">
        <v>722</v>
      </c>
      <c r="I533" t="s">
        <v>723</v>
      </c>
      <c r="J533" t="s">
        <v>724</v>
      </c>
      <c r="K533" t="s">
        <v>685</v>
      </c>
    </row>
    <row r="534" spans="2:11" ht="15">
      <c r="B534" s="7"/>
      <c r="C534" t="s">
        <v>686</v>
      </c>
      <c r="E534" t="s">
        <v>2603</v>
      </c>
      <c r="F534" t="s">
        <v>727</v>
      </c>
      <c r="G534" t="s">
        <v>2604</v>
      </c>
      <c r="H534" t="s">
        <v>727</v>
      </c>
      <c r="I534" t="s">
        <v>727</v>
      </c>
      <c r="J534" t="s">
        <v>727</v>
      </c>
      <c r="K534" t="s">
        <v>2605</v>
      </c>
    </row>
    <row r="535" spans="2:11" ht="15">
      <c r="B535" s="1">
        <v>268</v>
      </c>
      <c r="C535" t="str">
        <f ca="1">IFERROR(__xludf.DUMMYFUNCTION((TRANSPOSE(ImportHTML("http://spending.data.al/sq/moneypower/view/id/268/year/2011", "table",2)))),"*Kategoria*")</f>
        <v>*Kategoria*</v>
      </c>
      <c r="E535" t="s">
        <v>719</v>
      </c>
      <c r="F535" t="s">
        <v>720</v>
      </c>
      <c r="G535" t="s">
        <v>721</v>
      </c>
      <c r="H535" t="s">
        <v>722</v>
      </c>
      <c r="I535" t="s">
        <v>723</v>
      </c>
      <c r="J535" t="s">
        <v>724</v>
      </c>
      <c r="K535" t="s">
        <v>685</v>
      </c>
    </row>
    <row r="536" spans="2:11" ht="15">
      <c r="B536" s="7"/>
      <c r="C536" t="s">
        <v>686</v>
      </c>
      <c r="E536" t="s">
        <v>2606</v>
      </c>
      <c r="F536" t="s">
        <v>2607</v>
      </c>
      <c r="G536" t="s">
        <v>2608</v>
      </c>
      <c r="H536" t="s">
        <v>727</v>
      </c>
      <c r="I536" t="s">
        <v>727</v>
      </c>
      <c r="J536" t="s">
        <v>727</v>
      </c>
      <c r="K536" t="s">
        <v>727</v>
      </c>
    </row>
    <row r="537" spans="2:11" ht="15">
      <c r="B537" s="1">
        <v>269</v>
      </c>
      <c r="C537" t="str">
        <f ca="1">IFERROR(__xludf.DUMMYFUNCTION((TRANSPOSE(ImportHTML("http://spending.data.al/sq/moneypower/view/id/269/year/2011", "table",2)))),"*Kategoria*")</f>
        <v>*Kategoria*</v>
      </c>
      <c r="E537" t="s">
        <v>719</v>
      </c>
      <c r="F537" t="s">
        <v>720</v>
      </c>
      <c r="G537" t="s">
        <v>721</v>
      </c>
      <c r="H537" t="s">
        <v>722</v>
      </c>
      <c r="I537" t="s">
        <v>723</v>
      </c>
      <c r="J537" t="s">
        <v>724</v>
      </c>
      <c r="K537" t="s">
        <v>685</v>
      </c>
    </row>
    <row r="538" spans="2:11" ht="15">
      <c r="B538" s="7"/>
      <c r="C538" t="s">
        <v>686</v>
      </c>
      <c r="E538" t="s">
        <v>2609</v>
      </c>
      <c r="F538" t="s">
        <v>2610</v>
      </c>
      <c r="G538" t="s">
        <v>2611</v>
      </c>
      <c r="H538" t="s">
        <v>727</v>
      </c>
      <c r="I538" t="s">
        <v>2612</v>
      </c>
      <c r="J538" t="s">
        <v>727</v>
      </c>
      <c r="K538" t="s">
        <v>2613</v>
      </c>
    </row>
    <row r="539" spans="2:11" ht="15">
      <c r="B539" s="1">
        <v>270</v>
      </c>
      <c r="C539" t="str">
        <f ca="1">IFERROR(__xludf.DUMMYFUNCTION((TRANSPOSE(ImportHTML("http://spending.data.al/sq/moneypower/view/id/270/year/2011", "table",2)))),"*Kategoria*")</f>
        <v>*Kategoria*</v>
      </c>
      <c r="D539" t="s">
        <v>2589</v>
      </c>
    </row>
    <row r="540" spans="2:11" ht="15">
      <c r="B540" s="7"/>
      <c r="C540" t="s">
        <v>686</v>
      </c>
    </row>
    <row r="541" spans="2:11" ht="15">
      <c r="B541" s="1">
        <v>271</v>
      </c>
      <c r="C541" t="str">
        <f ca="1">IFERROR(__xludf.DUMMYFUNCTION((TRANSPOSE(ImportHTML("http://spending.data.al/sq/moneypower/view/id/271/year/2011", "table",2)))),"*Kategoria*")</f>
        <v>*Kategoria*</v>
      </c>
      <c r="E541" t="s">
        <v>719</v>
      </c>
      <c r="F541" t="s">
        <v>720</v>
      </c>
      <c r="G541" t="s">
        <v>721</v>
      </c>
      <c r="H541" t="s">
        <v>722</v>
      </c>
      <c r="I541" t="s">
        <v>723</v>
      </c>
      <c r="J541" t="s">
        <v>724</v>
      </c>
      <c r="K541" t="s">
        <v>685</v>
      </c>
    </row>
    <row r="542" spans="2:11" ht="15">
      <c r="B542" s="7"/>
      <c r="C542" t="s">
        <v>686</v>
      </c>
      <c r="E542" t="s">
        <v>2614</v>
      </c>
      <c r="F542" t="s">
        <v>2615</v>
      </c>
      <c r="G542" t="s">
        <v>727</v>
      </c>
      <c r="H542" t="s">
        <v>727</v>
      </c>
      <c r="I542" t="s">
        <v>727</v>
      </c>
      <c r="J542" t="s">
        <v>727</v>
      </c>
      <c r="K542" t="s">
        <v>727</v>
      </c>
    </row>
    <row r="543" spans="2:11" ht="15">
      <c r="B543" s="1">
        <v>272</v>
      </c>
      <c r="C543" t="str">
        <f ca="1">IFERROR(__xludf.DUMMYFUNCTION((TRANSPOSE(ImportHTML("http://spending.data.al/sq/moneypower/view/id/272/year/2011", "table",2)))),"*Kategoria*")</f>
        <v>*Kategoria*</v>
      </c>
      <c r="D543" t="s">
        <v>2589</v>
      </c>
    </row>
    <row r="544" spans="2:11" ht="15">
      <c r="B544" s="7"/>
      <c r="C544" t="s">
        <v>686</v>
      </c>
    </row>
    <row r="545" spans="2:11" ht="15">
      <c r="B545" s="1">
        <v>273</v>
      </c>
      <c r="C545" t="str">
        <f ca="1">IFERROR(__xludf.DUMMYFUNCTION((TRANSPOSE(ImportHTML("http://spending.data.al/sq/moneypower/view/id/273/year/2011", "table",2)))),"*Kategoria*")</f>
        <v>*Kategoria*</v>
      </c>
      <c r="E545" t="s">
        <v>719</v>
      </c>
      <c r="F545" t="s">
        <v>720</v>
      </c>
      <c r="G545" t="s">
        <v>721</v>
      </c>
      <c r="H545" t="s">
        <v>722</v>
      </c>
      <c r="I545" t="s">
        <v>723</v>
      </c>
      <c r="J545" t="s">
        <v>724</v>
      </c>
      <c r="K545" t="s">
        <v>685</v>
      </c>
    </row>
    <row r="546" spans="2:11" ht="15">
      <c r="B546" s="7"/>
      <c r="C546" t="s">
        <v>686</v>
      </c>
      <c r="E546" t="s">
        <v>2616</v>
      </c>
      <c r="F546" t="s">
        <v>2617</v>
      </c>
      <c r="G546" t="s">
        <v>2618</v>
      </c>
      <c r="H546" t="s">
        <v>707</v>
      </c>
      <c r="I546" t="s">
        <v>2619</v>
      </c>
      <c r="J546" t="s">
        <v>688</v>
      </c>
      <c r="K546" t="s">
        <v>688</v>
      </c>
    </row>
    <row r="547" spans="2:11" ht="15">
      <c r="B547" s="1">
        <v>274</v>
      </c>
      <c r="C547" t="str">
        <f ca="1">IFERROR(__xludf.DUMMYFUNCTION((TRANSPOSE(ImportHTML("http://spending.data.al/sq/moneypower/view/id/274/year/2011", "table",2)))),"*Kategoria*")</f>
        <v>*Kategoria*</v>
      </c>
      <c r="D547" t="s">
        <v>2589</v>
      </c>
    </row>
    <row r="548" spans="2:11" ht="15">
      <c r="B548" s="7"/>
      <c r="C548" t="s">
        <v>686</v>
      </c>
    </row>
    <row r="549" spans="2:11" ht="15">
      <c r="B549" s="1">
        <v>275</v>
      </c>
      <c r="C549" t="str">
        <f ca="1">IFERROR(__xludf.DUMMYFUNCTION((TRANSPOSE(ImportHTML("http://spending.data.al/sq/moneypower/view/id/275/year/2011", "table",2)))),"*Kategoria*")</f>
        <v>*Kategoria*</v>
      </c>
      <c r="D549" t="s">
        <v>2589</v>
      </c>
    </row>
    <row r="550" spans="2:11" ht="15">
      <c r="B550" s="7"/>
      <c r="C550" t="s">
        <v>686</v>
      </c>
    </row>
    <row r="551" spans="2:11" ht="15">
      <c r="B551" s="1">
        <v>276</v>
      </c>
      <c r="C551" t="str">
        <f ca="1">IFERROR(__xludf.DUMMYFUNCTION((TRANSPOSE(ImportHTML("http://spending.data.al/sq/moneypower/view/id/276/year/2011", "table",2)))),"*Kategoria*")</f>
        <v>*Kategoria*</v>
      </c>
      <c r="D551" t="s">
        <v>2589</v>
      </c>
    </row>
    <row r="552" spans="2:11" ht="15">
      <c r="B552" s="7"/>
      <c r="C552" t="s">
        <v>686</v>
      </c>
    </row>
    <row r="553" spans="2:11" ht="15">
      <c r="B553" s="1">
        <v>277</v>
      </c>
      <c r="C553" t="str">
        <f ca="1">IFERROR(__xludf.DUMMYFUNCTION((TRANSPOSE(ImportHTML("http://spending.data.al/sq/moneypower/view/id/277/year/2011", "table",2)))),"*Kategoria*")</f>
        <v>*Kategoria*</v>
      </c>
      <c r="E553" t="s">
        <v>719</v>
      </c>
      <c r="F553" t="s">
        <v>720</v>
      </c>
      <c r="G553" t="s">
        <v>721</v>
      </c>
      <c r="H553" t="s">
        <v>722</v>
      </c>
      <c r="I553" t="s">
        <v>723</v>
      </c>
      <c r="J553" t="s">
        <v>724</v>
      </c>
      <c r="K553" t="s">
        <v>685</v>
      </c>
    </row>
    <row r="554" spans="2:11" ht="15">
      <c r="B554" s="7"/>
      <c r="C554" t="s">
        <v>686</v>
      </c>
      <c r="E554" t="s">
        <v>2620</v>
      </c>
      <c r="F554" t="s">
        <v>2621</v>
      </c>
      <c r="G554" t="s">
        <v>2622</v>
      </c>
      <c r="H554" t="s">
        <v>688</v>
      </c>
      <c r="I554" t="s">
        <v>688</v>
      </c>
      <c r="K554" t="s">
        <v>2623</v>
      </c>
    </row>
    <row r="555" spans="2:11" ht="15">
      <c r="B555" s="1">
        <v>278</v>
      </c>
      <c r="C555" t="str">
        <f ca="1">IFERROR(__xludf.DUMMYFUNCTION((TRANSPOSE(ImportHTML("http://spending.data.al/sq/moneypower/view/id/278/year/2011", "table",2)))),"*Kategoria*")</f>
        <v>*Kategoria*</v>
      </c>
      <c r="D555" t="s">
        <v>2589</v>
      </c>
    </row>
    <row r="556" spans="2:11" ht="15">
      <c r="B556" s="7"/>
      <c r="C556" t="s">
        <v>686</v>
      </c>
    </row>
    <row r="557" spans="2:11" ht="15">
      <c r="B557" s="1">
        <v>279</v>
      </c>
      <c r="C557" t="str">
        <f ca="1">IFERROR(__xludf.DUMMYFUNCTION((TRANSPOSE(ImportHTML("http://spending.data.al/sq/moneypower/view/id/279/year/2011", "table",2)))),"*Kategoria*")</f>
        <v>*Kategoria*</v>
      </c>
      <c r="E557" t="s">
        <v>719</v>
      </c>
      <c r="F557" t="s">
        <v>720</v>
      </c>
      <c r="G557" t="s">
        <v>721</v>
      </c>
      <c r="H557" t="s">
        <v>722</v>
      </c>
      <c r="I557" t="s">
        <v>723</v>
      </c>
      <c r="J557" t="s">
        <v>724</v>
      </c>
      <c r="K557" t="s">
        <v>685</v>
      </c>
    </row>
    <row r="558" spans="2:11" ht="15">
      <c r="B558" s="7"/>
      <c r="C558" t="s">
        <v>686</v>
      </c>
      <c r="E558" t="s">
        <v>2624</v>
      </c>
      <c r="F558" t="s">
        <v>2625</v>
      </c>
      <c r="G558" t="s">
        <v>2626</v>
      </c>
      <c r="H558" t="s">
        <v>688</v>
      </c>
      <c r="I558" t="s">
        <v>688</v>
      </c>
      <c r="K558" t="s">
        <v>2627</v>
      </c>
    </row>
    <row r="559" spans="2:11" ht="15">
      <c r="B559" s="1">
        <v>280</v>
      </c>
      <c r="C559" t="str">
        <f ca="1">IFERROR(__xludf.DUMMYFUNCTION((TRANSPOSE(ImportHTML("http://spending.data.al/sq/moneypower/view/id/280/year/2011", "table",2)))),"*Kategoria*")</f>
        <v>*Kategoria*</v>
      </c>
      <c r="E559" t="s">
        <v>719</v>
      </c>
      <c r="F559" t="s">
        <v>720</v>
      </c>
      <c r="G559" t="s">
        <v>721</v>
      </c>
      <c r="H559" t="s">
        <v>722</v>
      </c>
      <c r="I559" t="s">
        <v>723</v>
      </c>
      <c r="J559" t="s">
        <v>724</v>
      </c>
      <c r="K559" t="s">
        <v>685</v>
      </c>
    </row>
    <row r="560" spans="2:11" ht="15">
      <c r="B560" s="7"/>
      <c r="C560" t="s">
        <v>686</v>
      </c>
      <c r="E560" t="s">
        <v>2628</v>
      </c>
      <c r="F560" t="s">
        <v>2629</v>
      </c>
      <c r="G560" t="s">
        <v>688</v>
      </c>
      <c r="H560" t="s">
        <v>688</v>
      </c>
      <c r="I560" t="s">
        <v>688</v>
      </c>
      <c r="J560" t="s">
        <v>688</v>
      </c>
      <c r="K560" t="s">
        <v>688</v>
      </c>
    </row>
    <row r="561" spans="2:11" ht="15">
      <c r="B561" s="1">
        <v>281</v>
      </c>
      <c r="C561" t="str">
        <f ca="1">IFERROR(__xludf.DUMMYFUNCTION((TRANSPOSE(ImportHTML("http://spending.data.al/sq/moneypower/view/id/281/year/2011", "table",2)))),"*Kategoria*")</f>
        <v>*Kategoria*</v>
      </c>
      <c r="D561" t="s">
        <v>2589</v>
      </c>
    </row>
    <row r="562" spans="2:11" ht="15">
      <c r="B562" s="7"/>
      <c r="C562" t="s">
        <v>686</v>
      </c>
    </row>
    <row r="563" spans="2:11" ht="15">
      <c r="B563" s="1">
        <v>282</v>
      </c>
      <c r="C563" t="str">
        <f ca="1">IFERROR(__xludf.DUMMYFUNCTION((TRANSPOSE(ImportHTML("http://spending.data.al/sq/moneypower/view/id/282/year/2011", "table",2)))),"*Kategoria*")</f>
        <v>*Kategoria*</v>
      </c>
      <c r="D563" t="s">
        <v>2589</v>
      </c>
    </row>
    <row r="564" spans="2:11" ht="15">
      <c r="B564" s="7"/>
      <c r="C564" t="s">
        <v>686</v>
      </c>
    </row>
    <row r="565" spans="2:11" ht="15">
      <c r="B565" s="1">
        <v>283</v>
      </c>
      <c r="C565" t="str">
        <f ca="1">IFERROR(__xludf.DUMMYFUNCTION((TRANSPOSE(ImportHTML("http://spending.data.al/sq/moneypower/view/id/283/year/2011", "table",2)))),"*Kategoria*")</f>
        <v>*Kategoria*</v>
      </c>
      <c r="D565" t="s">
        <v>2589</v>
      </c>
    </row>
    <row r="566" spans="2:11" ht="15">
      <c r="B566" s="7"/>
      <c r="C566" t="s">
        <v>686</v>
      </c>
    </row>
    <row r="567" spans="2:11" ht="15">
      <c r="B567" s="1">
        <v>284</v>
      </c>
      <c r="C567" t="str">
        <f ca="1">IFERROR(__xludf.DUMMYFUNCTION((TRANSPOSE(ImportHTML("http://spending.data.al/sq/moneypower/view/id/284/year/2011", "table",2)))),"*Kategoria*")</f>
        <v>*Kategoria*</v>
      </c>
      <c r="D567" t="s">
        <v>2589</v>
      </c>
    </row>
    <row r="568" spans="2:11" ht="15">
      <c r="B568" s="7"/>
      <c r="C568" t="s">
        <v>686</v>
      </c>
    </row>
    <row r="569" spans="2:11" ht="15">
      <c r="B569" s="1">
        <v>285</v>
      </c>
      <c r="C569" t="str">
        <f ca="1">IFERROR(__xludf.DUMMYFUNCTION((TRANSPOSE(ImportHTML("http://spending.data.al/sq/moneypower/view/id/285/year/2011", "table",2)))),"*Kategoria*")</f>
        <v>*Kategoria*</v>
      </c>
      <c r="E569" t="s">
        <v>719</v>
      </c>
      <c r="F569" t="s">
        <v>720</v>
      </c>
      <c r="G569" t="s">
        <v>721</v>
      </c>
      <c r="H569" t="s">
        <v>722</v>
      </c>
      <c r="I569" t="s">
        <v>723</v>
      </c>
      <c r="J569" t="s">
        <v>724</v>
      </c>
      <c r="K569" t="s">
        <v>685</v>
      </c>
    </row>
    <row r="570" spans="2:11" ht="15">
      <c r="B570" s="7"/>
      <c r="C570" t="s">
        <v>686</v>
      </c>
      <c r="E570" t="s">
        <v>2630</v>
      </c>
      <c r="F570" t="s">
        <v>2631</v>
      </c>
      <c r="G570" t="s">
        <v>2632</v>
      </c>
      <c r="H570" t="s">
        <v>2601</v>
      </c>
      <c r="I570" t="s">
        <v>2601</v>
      </c>
      <c r="J570" t="s">
        <v>2601</v>
      </c>
      <c r="K570" t="s">
        <v>2633</v>
      </c>
    </row>
    <row r="571" spans="2:11" ht="15">
      <c r="B571" s="1">
        <v>286</v>
      </c>
      <c r="C571" t="str">
        <f ca="1">IFERROR(__xludf.DUMMYFUNCTION((TRANSPOSE(ImportHTML("http://spending.data.al/sq/moneypower/view/id/286/year/2011", "table",2)))),"*Kategoria*")</f>
        <v>*Kategoria*</v>
      </c>
      <c r="E571" t="s">
        <v>719</v>
      </c>
      <c r="F571" t="s">
        <v>720</v>
      </c>
      <c r="G571" t="s">
        <v>721</v>
      </c>
      <c r="H571" t="s">
        <v>722</v>
      </c>
      <c r="I571" t="s">
        <v>723</v>
      </c>
      <c r="J571" t="s">
        <v>724</v>
      </c>
      <c r="K571" t="s">
        <v>685</v>
      </c>
    </row>
    <row r="572" spans="2:11" ht="15">
      <c r="B572" s="7"/>
      <c r="C572" t="s">
        <v>686</v>
      </c>
      <c r="E572" t="s">
        <v>2634</v>
      </c>
      <c r="F572" t="s">
        <v>2601</v>
      </c>
      <c r="G572" t="s">
        <v>2635</v>
      </c>
      <c r="H572" t="s">
        <v>2601</v>
      </c>
      <c r="I572" t="s">
        <v>2601</v>
      </c>
      <c r="J572" t="s">
        <v>2601</v>
      </c>
      <c r="K572" t="s">
        <v>2636</v>
      </c>
    </row>
    <row r="573" spans="2:11" ht="15">
      <c r="B573" s="1">
        <v>287</v>
      </c>
      <c r="C573" t="str">
        <f ca="1">IFERROR(__xludf.DUMMYFUNCTION((TRANSPOSE(ImportHTML("http://spending.data.al/sq/moneypower/view/id/287/year/2011", "table",2)))),"*Kategoria*")</f>
        <v>*Kategoria*</v>
      </c>
      <c r="D573" t="s">
        <v>2589</v>
      </c>
    </row>
    <row r="574" spans="2:11" ht="15">
      <c r="B574" s="7"/>
      <c r="C574" t="s">
        <v>686</v>
      </c>
    </row>
    <row r="575" spans="2:11" ht="15">
      <c r="B575" s="1">
        <v>288</v>
      </c>
      <c r="C575" t="str">
        <f ca="1">IFERROR(__xludf.DUMMYFUNCTION((TRANSPOSE(ImportHTML("http://spending.data.al/sq/moneypower/view/id/288/year/2011", "table",2)))),"*Kategoria*")</f>
        <v>*Kategoria*</v>
      </c>
      <c r="E575" t="s">
        <v>719</v>
      </c>
      <c r="F575" t="s">
        <v>720</v>
      </c>
      <c r="G575" t="s">
        <v>721</v>
      </c>
      <c r="H575" t="s">
        <v>722</v>
      </c>
      <c r="I575" t="s">
        <v>723</v>
      </c>
      <c r="J575" t="s">
        <v>724</v>
      </c>
      <c r="K575" t="s">
        <v>685</v>
      </c>
    </row>
    <row r="576" spans="2:11" ht="15">
      <c r="B576" s="7"/>
      <c r="C576" t="s">
        <v>686</v>
      </c>
      <c r="E576" t="s">
        <v>2637</v>
      </c>
      <c r="F576" t="s">
        <v>2638</v>
      </c>
      <c r="G576" t="s">
        <v>2639</v>
      </c>
      <c r="H576" t="s">
        <v>2601</v>
      </c>
      <c r="I576" t="s">
        <v>2640</v>
      </c>
      <c r="J576" t="s">
        <v>2601</v>
      </c>
      <c r="K576" t="s">
        <v>2641</v>
      </c>
    </row>
    <row r="577" spans="2:11" ht="15">
      <c r="B577" s="1">
        <v>289</v>
      </c>
      <c r="C577" t="str">
        <f ca="1">IFERROR(__xludf.DUMMYFUNCTION((TRANSPOSE(ImportHTML("http://spending.data.al/sq/moneypower/view/id/289/year/2011", "table",2)))),"*Kategoria*")</f>
        <v>*Kategoria*</v>
      </c>
      <c r="D577" t="s">
        <v>2589</v>
      </c>
    </row>
    <row r="578" spans="2:11" ht="15">
      <c r="B578" s="7"/>
      <c r="C578" t="s">
        <v>686</v>
      </c>
    </row>
    <row r="579" spans="2:11" ht="15">
      <c r="B579" s="1">
        <v>290</v>
      </c>
      <c r="C579" t="str">
        <f ca="1">IFERROR(__xludf.DUMMYFUNCTION((TRANSPOSE(ImportHTML("http://spending.data.al/sq/moneypower/view/id/290/year/2011", "table",2)))),"*Kategoria*")</f>
        <v>*Kategoria*</v>
      </c>
      <c r="E579" t="s">
        <v>719</v>
      </c>
      <c r="F579" t="s">
        <v>720</v>
      </c>
      <c r="G579" t="s">
        <v>721</v>
      </c>
      <c r="H579" t="s">
        <v>722</v>
      </c>
      <c r="I579" t="s">
        <v>723</v>
      </c>
      <c r="J579" t="s">
        <v>724</v>
      </c>
      <c r="K579" t="s">
        <v>685</v>
      </c>
    </row>
    <row r="580" spans="2:11" ht="15">
      <c r="B580" s="7"/>
      <c r="C580" t="s">
        <v>686</v>
      </c>
      <c r="E580" t="s">
        <v>2642</v>
      </c>
      <c r="F580" t="s">
        <v>2643</v>
      </c>
      <c r="G580" t="s">
        <v>2644</v>
      </c>
      <c r="H580" t="s">
        <v>2601</v>
      </c>
      <c r="I580" t="s">
        <v>2601</v>
      </c>
      <c r="J580" t="s">
        <v>2601</v>
      </c>
      <c r="K580" t="s">
        <v>2645</v>
      </c>
    </row>
    <row r="581" spans="2:11" ht="15">
      <c r="B581" s="1">
        <v>291</v>
      </c>
      <c r="C581" t="str">
        <f ca="1">IFERROR(__xludf.DUMMYFUNCTION((TRANSPOSE(ImportHTML("http://spending.data.al/sq/moneypower/view/id/291/year/2011", "table",2)))),"*Kategoria*")</f>
        <v>*Kategoria*</v>
      </c>
      <c r="D581" t="s">
        <v>2589</v>
      </c>
    </row>
    <row r="582" spans="2:11" ht="15">
      <c r="B582" s="7"/>
      <c r="C582" t="s">
        <v>686</v>
      </c>
    </row>
    <row r="583" spans="2:11" ht="15">
      <c r="B583" s="1">
        <v>292</v>
      </c>
      <c r="C583" t="str">
        <f ca="1">IFERROR(__xludf.DUMMYFUNCTION((TRANSPOSE(ImportHTML("http://spending.data.al/sq/moneypower/view/id/292/year/2011", "table",2)))),"*Kategoria*")</f>
        <v>*Kategoria*</v>
      </c>
      <c r="E583" t="s">
        <v>719</v>
      </c>
      <c r="F583" t="s">
        <v>720</v>
      </c>
      <c r="G583" t="s">
        <v>721</v>
      </c>
      <c r="H583" t="s">
        <v>722</v>
      </c>
      <c r="I583" t="s">
        <v>723</v>
      </c>
      <c r="J583" t="s">
        <v>724</v>
      </c>
      <c r="K583" t="s">
        <v>685</v>
      </c>
    </row>
    <row r="584" spans="2:11" ht="15">
      <c r="B584" s="7"/>
      <c r="C584" t="s">
        <v>686</v>
      </c>
      <c r="E584" t="s">
        <v>2646</v>
      </c>
      <c r="F584" t="s">
        <v>2647</v>
      </c>
      <c r="G584" t="s">
        <v>2601</v>
      </c>
      <c r="H584" t="s">
        <v>2601</v>
      </c>
      <c r="I584" t="s">
        <v>2601</v>
      </c>
      <c r="J584" t="s">
        <v>2601</v>
      </c>
      <c r="K584" t="s">
        <v>2648</v>
      </c>
    </row>
    <row r="585" spans="2:11" ht="15">
      <c r="B585" s="1">
        <v>293</v>
      </c>
      <c r="C585" t="str">
        <f ca="1">IFERROR(__xludf.DUMMYFUNCTION((TRANSPOSE(ImportHTML("http://spending.data.al/sq/moneypower/view/id/293/year/2011", "table",2)))),"*Kategoria*")</f>
        <v>*Kategoria*</v>
      </c>
      <c r="E585" t="s">
        <v>719</v>
      </c>
      <c r="F585" t="s">
        <v>720</v>
      </c>
      <c r="G585" t="s">
        <v>721</v>
      </c>
      <c r="H585" t="s">
        <v>722</v>
      </c>
      <c r="I585" t="s">
        <v>723</v>
      </c>
      <c r="J585" t="s">
        <v>724</v>
      </c>
      <c r="K585" t="s">
        <v>685</v>
      </c>
    </row>
    <row r="586" spans="2:11" ht="15">
      <c r="B586" s="7"/>
      <c r="C586" t="s">
        <v>686</v>
      </c>
      <c r="E586" t="s">
        <v>2649</v>
      </c>
      <c r="F586" t="s">
        <v>2650</v>
      </c>
      <c r="G586" t="s">
        <v>2651</v>
      </c>
      <c r="H586" t="s">
        <v>2601</v>
      </c>
      <c r="I586" t="s">
        <v>2601</v>
      </c>
      <c r="J586" t="s">
        <v>2601</v>
      </c>
      <c r="K586" t="s">
        <v>2652</v>
      </c>
    </row>
    <row r="587" spans="2:11" ht="15">
      <c r="B587" s="1">
        <v>294</v>
      </c>
      <c r="C587" t="str">
        <f ca="1">IFERROR(__xludf.DUMMYFUNCTION((TRANSPOSE(ImportHTML("http://spending.data.al/sq/moneypower/view/id/294/year/2011", "table",2)))),"*Kategoria*")</f>
        <v>*Kategoria*</v>
      </c>
      <c r="E587" t="s">
        <v>719</v>
      </c>
      <c r="F587" t="s">
        <v>720</v>
      </c>
      <c r="G587" t="s">
        <v>721</v>
      </c>
      <c r="H587" t="s">
        <v>722</v>
      </c>
      <c r="I587" t="s">
        <v>723</v>
      </c>
      <c r="J587" t="s">
        <v>724</v>
      </c>
      <c r="K587" t="s">
        <v>685</v>
      </c>
    </row>
    <row r="588" spans="2:11" ht="15">
      <c r="B588" s="7"/>
      <c r="C588" t="s">
        <v>686</v>
      </c>
      <c r="E588" t="s">
        <v>2601</v>
      </c>
      <c r="F588" t="s">
        <v>2653</v>
      </c>
      <c r="G588" t="s">
        <v>2654</v>
      </c>
      <c r="H588" t="s">
        <v>2601</v>
      </c>
      <c r="I588" t="s">
        <v>2601</v>
      </c>
      <c r="J588" t="s">
        <v>2601</v>
      </c>
      <c r="K588" t="s">
        <v>2655</v>
      </c>
    </row>
    <row r="589" spans="2:11" ht="15">
      <c r="B589" s="1">
        <v>295</v>
      </c>
      <c r="C589" t="str">
        <f ca="1">IFERROR(__xludf.DUMMYFUNCTION((TRANSPOSE(ImportHTML("http://spending.data.al/sq/moneypower/view/id/295/year/2011", "table",2)))),"*Kategoria*")</f>
        <v>*Kategoria*</v>
      </c>
      <c r="D589" t="s">
        <v>2589</v>
      </c>
    </row>
    <row r="590" spans="2:11" ht="15">
      <c r="B590" s="7"/>
      <c r="C590" t="s">
        <v>686</v>
      </c>
    </row>
    <row r="591" spans="2:11" ht="15">
      <c r="B591" s="1">
        <v>296</v>
      </c>
      <c r="C591" t="str">
        <f ca="1">IFERROR(__xludf.DUMMYFUNCTION((TRANSPOSE(ImportHTML("http://spending.data.al/sq/moneypower/view/id/296/year/2011", "table",2)))),"*Kategoria*")</f>
        <v>*Kategoria*</v>
      </c>
      <c r="D591" t="s">
        <v>2589</v>
      </c>
    </row>
    <row r="592" spans="2:11" ht="15">
      <c r="B592" s="7"/>
      <c r="C592" t="s">
        <v>686</v>
      </c>
    </row>
    <row r="593" spans="2:11" ht="15">
      <c r="B593" s="1">
        <v>297</v>
      </c>
      <c r="C593" t="str">
        <f ca="1">IFERROR(__xludf.DUMMYFUNCTION((TRANSPOSE(ImportHTML("http://spending.data.al/sq/moneypower/view/id/297/year/2011", "table",2)))),"*Kategoria*")</f>
        <v>*Kategoria*</v>
      </c>
      <c r="E593" t="s">
        <v>719</v>
      </c>
      <c r="F593" t="s">
        <v>720</v>
      </c>
      <c r="G593" t="s">
        <v>721</v>
      </c>
      <c r="H593" t="s">
        <v>722</v>
      </c>
      <c r="I593" t="s">
        <v>723</v>
      </c>
      <c r="J593" t="s">
        <v>724</v>
      </c>
      <c r="K593" t="s">
        <v>685</v>
      </c>
    </row>
    <row r="594" spans="2:11" ht="15">
      <c r="B594" s="7"/>
      <c r="C594" t="s">
        <v>686</v>
      </c>
      <c r="E594" t="s">
        <v>2656</v>
      </c>
      <c r="F594" t="s">
        <v>727</v>
      </c>
      <c r="G594" t="s">
        <v>2657</v>
      </c>
      <c r="H594" t="s">
        <v>727</v>
      </c>
      <c r="I594" t="s">
        <v>727</v>
      </c>
      <c r="J594" t="s">
        <v>727</v>
      </c>
      <c r="K594" t="s">
        <v>2658</v>
      </c>
    </row>
    <row r="595" spans="2:11" ht="15">
      <c r="B595" s="1">
        <v>298</v>
      </c>
      <c r="C595" t="str">
        <f ca="1">IFERROR(__xludf.DUMMYFUNCTION((TRANSPOSE(ImportHTML("http://spending.data.al/sq/moneypower/view/id/298/year/2011", "table",2)))),"*Kategoria*")</f>
        <v>*Kategoria*</v>
      </c>
      <c r="D595" t="s">
        <v>2589</v>
      </c>
    </row>
    <row r="596" spans="2:11" ht="15">
      <c r="B596" s="7"/>
      <c r="C596" t="s">
        <v>686</v>
      </c>
    </row>
    <row r="597" spans="2:11" ht="15">
      <c r="B597" s="1">
        <v>299</v>
      </c>
      <c r="C597" t="str">
        <f ca="1">IFERROR(__xludf.DUMMYFUNCTION((TRANSPOSE(ImportHTML("http://spending.data.al/sq/moneypower/view/id/299/year/2011", "table",2)))),"*Kategoria*")</f>
        <v>*Kategoria*</v>
      </c>
      <c r="D597" t="s">
        <v>2589</v>
      </c>
    </row>
    <row r="598" spans="2:11" ht="15">
      <c r="B598" s="7"/>
      <c r="C598" t="s">
        <v>686</v>
      </c>
    </row>
    <row r="599" spans="2:11" ht="15">
      <c r="B599" s="1">
        <v>300</v>
      </c>
      <c r="C599" t="str">
        <f ca="1">IFERROR(__xludf.DUMMYFUNCTION((TRANSPOSE(ImportHTML("http://spending.data.al/sq/moneypower/view/id/300/year/2011", "table",2)))),"*Kategoria*")</f>
        <v>*Kategoria*</v>
      </c>
      <c r="D599" t="s">
        <v>2589</v>
      </c>
    </row>
    <row r="600" spans="2:11" ht="15">
      <c r="B600" s="7"/>
      <c r="C600" t="s">
        <v>686</v>
      </c>
    </row>
    <row r="601" spans="2:11" ht="15">
      <c r="B601" s="1">
        <v>301</v>
      </c>
      <c r="C601" t="str">
        <f ca="1">IFERROR(__xludf.DUMMYFUNCTION((TRANSPOSE(ImportHTML("http://spending.data.al/sq/moneypower/view/id/301/year/2011", "table",2)))),"*Kategoria*")</f>
        <v>*Kategoria*</v>
      </c>
      <c r="D601" t="s">
        <v>2589</v>
      </c>
    </row>
    <row r="602" spans="2:11" ht="15">
      <c r="B602" s="7"/>
      <c r="C602" t="s">
        <v>686</v>
      </c>
    </row>
    <row r="603" spans="2:11" ht="15">
      <c r="B603" s="1">
        <v>302</v>
      </c>
      <c r="C603" t="str">
        <f ca="1">IFERROR(__xludf.DUMMYFUNCTION((TRANSPOSE(ImportHTML("http://spending.data.al/sq/moneypower/view/id/302/year/2011", "table",2)))),"*Kategoria*")</f>
        <v>*Kategoria*</v>
      </c>
      <c r="D603" t="s">
        <v>2589</v>
      </c>
    </row>
    <row r="604" spans="2:11" ht="15">
      <c r="B604" s="7"/>
      <c r="C604" t="s">
        <v>686</v>
      </c>
    </row>
    <row r="605" spans="2:11" ht="15">
      <c r="B605" s="1">
        <v>303</v>
      </c>
      <c r="C605" t="str">
        <f ca="1">IFERROR(__xludf.DUMMYFUNCTION((TRANSPOSE(ImportHTML("http://spending.data.al/sq/moneypower/view/id/303/year/2011", "table",2)))),"*Kategoria*")</f>
        <v>*Kategoria*</v>
      </c>
      <c r="E605" t="s">
        <v>719</v>
      </c>
      <c r="F605" t="s">
        <v>720</v>
      </c>
      <c r="G605" t="s">
        <v>721</v>
      </c>
      <c r="H605" t="s">
        <v>722</v>
      </c>
      <c r="I605" t="s">
        <v>723</v>
      </c>
      <c r="J605" t="s">
        <v>724</v>
      </c>
      <c r="K605" t="s">
        <v>685</v>
      </c>
    </row>
    <row r="606" spans="2:11" ht="15">
      <c r="B606" s="7"/>
      <c r="C606" t="s">
        <v>686</v>
      </c>
      <c r="E606" t="s">
        <v>2659</v>
      </c>
      <c r="F606" t="s">
        <v>727</v>
      </c>
      <c r="G606" t="s">
        <v>2660</v>
      </c>
      <c r="H606" t="s">
        <v>727</v>
      </c>
      <c r="I606" t="s">
        <v>727</v>
      </c>
      <c r="J606" t="s">
        <v>727</v>
      </c>
      <c r="K606" t="s">
        <v>2661</v>
      </c>
    </row>
    <row r="607" spans="2:11" ht="15">
      <c r="B607" s="1">
        <v>304</v>
      </c>
      <c r="C607" t="str">
        <f ca="1">IFERROR(__xludf.DUMMYFUNCTION((TRANSPOSE(ImportHTML("http://spending.data.al/sq/moneypower/view/id/304/year/2011", "table",2)))),"*Kategoria*")</f>
        <v>*Kategoria*</v>
      </c>
      <c r="D607" t="s">
        <v>2589</v>
      </c>
    </row>
    <row r="608" spans="2:11" ht="15">
      <c r="B608" s="7"/>
      <c r="C608" t="s">
        <v>686</v>
      </c>
    </row>
    <row r="609" spans="2:11" ht="15">
      <c r="B609" s="1">
        <v>305</v>
      </c>
      <c r="C609" t="str">
        <f ca="1">IFERROR(__xludf.DUMMYFUNCTION((TRANSPOSE(ImportHTML("http://spending.data.al/sq/moneypower/view/id/305/year/2011", "table",2)))),"*Kategoria*")</f>
        <v>*Kategoria*</v>
      </c>
      <c r="E609" t="s">
        <v>719</v>
      </c>
      <c r="F609" t="s">
        <v>720</v>
      </c>
      <c r="G609" t="s">
        <v>721</v>
      </c>
      <c r="H609" t="s">
        <v>722</v>
      </c>
      <c r="I609" t="s">
        <v>723</v>
      </c>
      <c r="J609" t="s">
        <v>724</v>
      </c>
      <c r="K609" t="s">
        <v>685</v>
      </c>
    </row>
    <row r="610" spans="2:11" ht="15">
      <c r="B610" s="7"/>
      <c r="C610" t="s">
        <v>686</v>
      </c>
      <c r="E610" t="s">
        <v>2662</v>
      </c>
      <c r="F610" t="s">
        <v>2663</v>
      </c>
      <c r="G610" t="s">
        <v>727</v>
      </c>
      <c r="H610" t="s">
        <v>727</v>
      </c>
      <c r="I610" t="s">
        <v>2664</v>
      </c>
      <c r="J610" t="s">
        <v>727</v>
      </c>
      <c r="K610" t="s">
        <v>2665</v>
      </c>
    </row>
    <row r="611" spans="2:11" ht="15">
      <c r="B611" s="1">
        <v>306</v>
      </c>
      <c r="C611" t="str">
        <f ca="1">IFERROR(__xludf.DUMMYFUNCTION((TRANSPOSE(ImportHTML("http://spending.data.al/sq/moneypower/view/id/306/year/2011", "table",2)))),"*Kategoria*")</f>
        <v>*Kategoria*</v>
      </c>
      <c r="D611" t="s">
        <v>2589</v>
      </c>
    </row>
    <row r="612" spans="2:11" ht="15">
      <c r="B612" s="7"/>
      <c r="C612" t="s">
        <v>686</v>
      </c>
    </row>
    <row r="613" spans="2:11" ht="15">
      <c r="B613" s="1">
        <v>307</v>
      </c>
      <c r="C613" t="str">
        <f ca="1">IFERROR(__xludf.DUMMYFUNCTION((TRANSPOSE(ImportHTML("http://spending.data.al/sq/moneypower/view/id/307/year/2011", "table",2)))),"*Kategoria*")</f>
        <v>*Kategoria*</v>
      </c>
      <c r="E613" t="s">
        <v>719</v>
      </c>
      <c r="F613" t="s">
        <v>720</v>
      </c>
      <c r="G613" t="s">
        <v>721</v>
      </c>
      <c r="H613" t="s">
        <v>722</v>
      </c>
      <c r="I613" t="s">
        <v>723</v>
      </c>
      <c r="J613" t="s">
        <v>724</v>
      </c>
      <c r="K613" t="s">
        <v>685</v>
      </c>
    </row>
    <row r="614" spans="2:11" ht="15">
      <c r="B614" s="7"/>
      <c r="C614" t="s">
        <v>686</v>
      </c>
      <c r="E614" t="s">
        <v>2666</v>
      </c>
      <c r="F614" t="s">
        <v>2667</v>
      </c>
      <c r="G614" t="s">
        <v>2668</v>
      </c>
      <c r="H614" t="s">
        <v>2601</v>
      </c>
      <c r="I614" t="s">
        <v>2669</v>
      </c>
      <c r="J614" t="s">
        <v>2601</v>
      </c>
      <c r="K614" t="s">
        <v>2670</v>
      </c>
    </row>
    <row r="615" spans="2:11" ht="15">
      <c r="B615" s="1">
        <v>308</v>
      </c>
      <c r="C615" t="str">
        <f ca="1">IFERROR(__xludf.DUMMYFUNCTION((TRANSPOSE(ImportHTML("http://spending.data.al/sq/moneypower/view/id/308/year/2011", "table",2)))),"*Kategoria*")</f>
        <v>*Kategoria*</v>
      </c>
      <c r="D615" t="s">
        <v>2589</v>
      </c>
    </row>
    <row r="616" spans="2:11" ht="15">
      <c r="B616" s="7"/>
      <c r="C616" t="s">
        <v>686</v>
      </c>
    </row>
    <row r="617" spans="2:11" ht="15">
      <c r="B617" s="1">
        <v>309</v>
      </c>
      <c r="C617" t="str">
        <f ca="1">IFERROR(__xludf.DUMMYFUNCTION((TRANSPOSE(ImportHTML("http://spending.data.al/sq/moneypower/view/id/309/year/2011", "table",2)))),"*Kategoria*")</f>
        <v>*Kategoria*</v>
      </c>
      <c r="E617" t="s">
        <v>719</v>
      </c>
      <c r="F617" t="s">
        <v>720</v>
      </c>
      <c r="G617" t="s">
        <v>721</v>
      </c>
      <c r="H617" t="s">
        <v>722</v>
      </c>
      <c r="I617" t="s">
        <v>723</v>
      </c>
      <c r="J617" t="s">
        <v>724</v>
      </c>
      <c r="K617" t="s">
        <v>685</v>
      </c>
    </row>
    <row r="618" spans="2:11" ht="15">
      <c r="B618" s="7"/>
      <c r="C618" t="s">
        <v>686</v>
      </c>
      <c r="E618" t="s">
        <v>2671</v>
      </c>
      <c r="F618" t="s">
        <v>2672</v>
      </c>
      <c r="G618" t="s">
        <v>2673</v>
      </c>
      <c r="H618" t="s">
        <v>727</v>
      </c>
      <c r="I618" t="s">
        <v>2674</v>
      </c>
      <c r="J618" t="s">
        <v>727</v>
      </c>
      <c r="K618" t="s">
        <v>2675</v>
      </c>
    </row>
    <row r="619" spans="2:11" ht="15">
      <c r="B619" s="1">
        <v>310</v>
      </c>
      <c r="C619" t="str">
        <f ca="1">IFERROR(__xludf.DUMMYFUNCTION((TRANSPOSE(ImportHTML("http://spending.data.al/sq/moneypower/view/id/310/year/2011", "table",2)))),"*Kategoria*")</f>
        <v>*Kategoria*</v>
      </c>
      <c r="D619" t="s">
        <v>2589</v>
      </c>
    </row>
    <row r="620" spans="2:11" ht="15">
      <c r="B620" s="7"/>
      <c r="C620" t="s">
        <v>686</v>
      </c>
    </row>
    <row r="621" spans="2:11" ht="15">
      <c r="B621" s="1">
        <v>311</v>
      </c>
      <c r="C621" t="str">
        <f ca="1">IFERROR(__xludf.DUMMYFUNCTION((TRANSPOSE(ImportHTML("http://spending.data.al/sq/moneypower/view/id/311/year/2011", "table",2)))),"*Kategoria*")</f>
        <v>*Kategoria*</v>
      </c>
      <c r="E621" t="s">
        <v>719</v>
      </c>
      <c r="F621" t="s">
        <v>720</v>
      </c>
      <c r="G621" t="s">
        <v>721</v>
      </c>
      <c r="H621" t="s">
        <v>722</v>
      </c>
      <c r="I621" t="s">
        <v>723</v>
      </c>
      <c r="J621" t="s">
        <v>724</v>
      </c>
      <c r="K621" t="s">
        <v>685</v>
      </c>
    </row>
    <row r="622" spans="2:11" ht="15">
      <c r="B622" s="7"/>
      <c r="C622" t="s">
        <v>686</v>
      </c>
      <c r="E622" t="s">
        <v>2676</v>
      </c>
      <c r="F622" t="s">
        <v>2677</v>
      </c>
      <c r="G622" t="s">
        <v>727</v>
      </c>
      <c r="H622" t="s">
        <v>727</v>
      </c>
      <c r="I622" t="s">
        <v>727</v>
      </c>
      <c r="J622" t="s">
        <v>727</v>
      </c>
      <c r="K622" t="s">
        <v>2678</v>
      </c>
    </row>
    <row r="623" spans="2:11" ht="15">
      <c r="B623" s="1">
        <v>312</v>
      </c>
      <c r="C623" t="str">
        <f ca="1">IFERROR(__xludf.DUMMYFUNCTION((TRANSPOSE(ImportHTML("http://spending.data.al/sq/moneypower/view/id/312/year/2011", "table",2)))),"*Kategoria*")</f>
        <v>*Kategoria*</v>
      </c>
      <c r="E623" t="s">
        <v>719</v>
      </c>
      <c r="F623" t="s">
        <v>720</v>
      </c>
      <c r="G623" t="s">
        <v>721</v>
      </c>
      <c r="H623" t="s">
        <v>722</v>
      </c>
      <c r="I623" t="s">
        <v>723</v>
      </c>
      <c r="J623" t="s">
        <v>724</v>
      </c>
      <c r="K623" t="s">
        <v>685</v>
      </c>
    </row>
    <row r="624" spans="2:11" ht="15">
      <c r="B624" s="7"/>
      <c r="C624" t="s">
        <v>686</v>
      </c>
      <c r="E624" t="s">
        <v>2679</v>
      </c>
      <c r="F624" t="s">
        <v>2680</v>
      </c>
      <c r="G624" t="s">
        <v>2681</v>
      </c>
      <c r="H624" t="s">
        <v>2601</v>
      </c>
      <c r="I624" t="s">
        <v>2601</v>
      </c>
      <c r="J624" t="s">
        <v>2601</v>
      </c>
      <c r="K624" t="s">
        <v>2682</v>
      </c>
    </row>
    <row r="625" spans="2:11" ht="15">
      <c r="B625" s="1">
        <v>313</v>
      </c>
      <c r="C625" t="str">
        <f ca="1">IFERROR(__xludf.DUMMYFUNCTION((TRANSPOSE(ImportHTML("http://spending.data.al/sq/moneypower/view/id/313/year/2011", "table",2)))),"*Kategoria*")</f>
        <v>*Kategoria*</v>
      </c>
      <c r="E625" t="s">
        <v>719</v>
      </c>
      <c r="F625" t="s">
        <v>720</v>
      </c>
      <c r="G625" t="s">
        <v>721</v>
      </c>
      <c r="H625" t="s">
        <v>722</v>
      </c>
      <c r="I625" t="s">
        <v>723</v>
      </c>
      <c r="J625" t="s">
        <v>724</v>
      </c>
      <c r="K625" t="s">
        <v>685</v>
      </c>
    </row>
    <row r="626" spans="2:11" ht="15">
      <c r="B626" s="7"/>
      <c r="C626" t="s">
        <v>686</v>
      </c>
      <c r="E626" t="s">
        <v>2683</v>
      </c>
      <c r="F626" t="s">
        <v>2684</v>
      </c>
      <c r="G626" t="s">
        <v>2685</v>
      </c>
      <c r="H626" t="s">
        <v>727</v>
      </c>
      <c r="I626" t="s">
        <v>727</v>
      </c>
      <c r="J626" t="s">
        <v>727</v>
      </c>
      <c r="K626" t="s">
        <v>2686</v>
      </c>
    </row>
    <row r="627" spans="2:11" ht="15">
      <c r="B627" s="1">
        <v>314</v>
      </c>
      <c r="C627" t="str">
        <f ca="1">IFERROR(__xludf.DUMMYFUNCTION((TRANSPOSE(ImportHTML("http://spending.data.al/sq/moneypower/view/id/314/year/2011", "table",2)))),"*Kategoria*")</f>
        <v>*Kategoria*</v>
      </c>
      <c r="D627" t="s">
        <v>2589</v>
      </c>
    </row>
    <row r="628" spans="2:11" ht="15">
      <c r="B628" s="7"/>
      <c r="C628" t="s">
        <v>686</v>
      </c>
    </row>
    <row r="629" spans="2:11" ht="15">
      <c r="B629" s="1">
        <v>315</v>
      </c>
      <c r="C629" t="str">
        <f ca="1">IFERROR(__xludf.DUMMYFUNCTION((TRANSPOSE(ImportHTML("http://spending.data.al/sq/moneypower/view/id/315/year/2011", "table",2)))),"*Kategoria*")</f>
        <v>*Kategoria*</v>
      </c>
      <c r="D629" t="s">
        <v>2589</v>
      </c>
    </row>
    <row r="630" spans="2:11" ht="15">
      <c r="B630" s="7"/>
      <c r="C630" t="s">
        <v>686</v>
      </c>
    </row>
    <row r="631" spans="2:11" ht="15">
      <c r="B631" s="1">
        <v>316</v>
      </c>
      <c r="C631" t="str">
        <f ca="1">IFERROR(__xludf.DUMMYFUNCTION((TRANSPOSE(ImportHTML("http://spending.data.al/sq/moneypower/view/id/316/year/2011", "table",2)))),"*Kategoria*")</f>
        <v>*Kategoria*</v>
      </c>
      <c r="D631" t="s">
        <v>2589</v>
      </c>
    </row>
    <row r="632" spans="2:11" ht="15">
      <c r="B632" s="7"/>
      <c r="C632" t="s">
        <v>686</v>
      </c>
    </row>
    <row r="633" spans="2:11" ht="15">
      <c r="B633" s="1">
        <v>317</v>
      </c>
      <c r="C633" t="str">
        <f ca="1">IFERROR(__xludf.DUMMYFUNCTION((TRANSPOSE(ImportHTML("http://spending.data.al/sq/moneypower/view/id/317/year/2011", "table",2)))),"*Kategoria*")</f>
        <v>*Kategoria*</v>
      </c>
      <c r="E633" t="s">
        <v>719</v>
      </c>
      <c r="F633" t="s">
        <v>720</v>
      </c>
      <c r="G633" t="s">
        <v>721</v>
      </c>
      <c r="H633" t="s">
        <v>722</v>
      </c>
      <c r="I633" t="s">
        <v>723</v>
      </c>
      <c r="J633" t="s">
        <v>724</v>
      </c>
      <c r="K633" t="s">
        <v>685</v>
      </c>
    </row>
    <row r="634" spans="2:11" ht="15">
      <c r="B634" s="7"/>
      <c r="C634" t="s">
        <v>686</v>
      </c>
      <c r="E634" t="s">
        <v>727</v>
      </c>
      <c r="F634" t="s">
        <v>2687</v>
      </c>
      <c r="G634" t="s">
        <v>2688</v>
      </c>
      <c r="H634" t="s">
        <v>727</v>
      </c>
      <c r="I634" t="s">
        <v>727</v>
      </c>
      <c r="J634" t="s">
        <v>727</v>
      </c>
      <c r="K634" t="s">
        <v>2689</v>
      </c>
    </row>
    <row r="635" spans="2:11" ht="15">
      <c r="B635" s="1">
        <v>318</v>
      </c>
      <c r="C635" t="str">
        <f ca="1">IFERROR(__xludf.DUMMYFUNCTION((TRANSPOSE(ImportHTML("http://spending.data.al/sq/moneypower/view/id/318/year/2011", "table",2)))),"*Kategoria*")</f>
        <v>*Kategoria*</v>
      </c>
      <c r="E635" t="s">
        <v>719</v>
      </c>
      <c r="F635" t="s">
        <v>720</v>
      </c>
      <c r="G635" t="s">
        <v>721</v>
      </c>
      <c r="H635" t="s">
        <v>722</v>
      </c>
      <c r="I635" t="s">
        <v>723</v>
      </c>
      <c r="J635" t="s">
        <v>724</v>
      </c>
      <c r="K635" t="s">
        <v>685</v>
      </c>
    </row>
    <row r="636" spans="2:11" ht="15">
      <c r="B636" s="7"/>
      <c r="C636" t="s">
        <v>686</v>
      </c>
      <c r="E636" t="s">
        <v>2690</v>
      </c>
      <c r="F636" t="s">
        <v>2691</v>
      </c>
      <c r="G636" t="s">
        <v>2692</v>
      </c>
      <c r="H636" t="s">
        <v>2693</v>
      </c>
      <c r="I636" t="s">
        <v>2601</v>
      </c>
      <c r="J636" t="s">
        <v>2601</v>
      </c>
      <c r="K636" t="s">
        <v>2694</v>
      </c>
    </row>
    <row r="637" spans="2:11" ht="15">
      <c r="B637" s="1">
        <v>319</v>
      </c>
      <c r="C637" t="str">
        <f ca="1">IFERROR(__xludf.DUMMYFUNCTION((TRANSPOSE(ImportHTML("http://spending.data.al/sq/moneypower/view/id/319/year/2011", "table",2)))),"*Kategoria*")</f>
        <v>*Kategoria*</v>
      </c>
      <c r="D637" t="s">
        <v>2589</v>
      </c>
    </row>
    <row r="638" spans="2:11" ht="15">
      <c r="B638" s="7"/>
      <c r="C638" t="s">
        <v>686</v>
      </c>
    </row>
    <row r="639" spans="2:11" ht="15">
      <c r="B639" s="1">
        <v>320</v>
      </c>
      <c r="C639" t="str">
        <f ca="1">IFERROR(__xludf.DUMMYFUNCTION((TRANSPOSE(ImportHTML("http://spending.data.al/sq/moneypower/view/id/320/year/2011", "table",2)))),"*Kategoria*")</f>
        <v>*Kategoria*</v>
      </c>
      <c r="D639" t="s">
        <v>2589</v>
      </c>
    </row>
    <row r="640" spans="2:11" ht="15">
      <c r="B640" s="7"/>
      <c r="C640" t="s">
        <v>686</v>
      </c>
    </row>
    <row r="641" spans="2:4" ht="15">
      <c r="B641" s="1">
        <v>321</v>
      </c>
      <c r="C641" t="str">
        <f ca="1">IFERROR(__xludf.DUMMYFUNCTION((TRANSPOSE(ImportHTML("http://spending.data.al/sq/moneypower/view/id/321/year/2011", "table",2)))),"*Kategoria*")</f>
        <v>*Kategoria*</v>
      </c>
      <c r="D641" t="s">
        <v>2589</v>
      </c>
    </row>
    <row r="642" spans="2:4" ht="15">
      <c r="B642" s="7"/>
      <c r="C642" t="s">
        <v>686</v>
      </c>
    </row>
    <row r="643" spans="2:4" ht="15">
      <c r="B643" s="1">
        <v>322</v>
      </c>
      <c r="C643" t="str">
        <f ca="1">IFERROR(__xludf.DUMMYFUNCTION((TRANSPOSE(ImportHTML("http://spending.data.al/sq/moneypower/view/id/322/year/2011", "table",2)))),"*Kategoria*")</f>
        <v>*Kategoria*</v>
      </c>
      <c r="D643" t="s">
        <v>2589</v>
      </c>
    </row>
    <row r="644" spans="2:4" ht="15">
      <c r="B644" s="7"/>
      <c r="C644" t="s">
        <v>686</v>
      </c>
    </row>
    <row r="645" spans="2:4" ht="15">
      <c r="B645" s="1">
        <v>323</v>
      </c>
      <c r="C645" t="str">
        <f ca="1">IFERROR(__xludf.DUMMYFUNCTION((TRANSPOSE(ImportHTML("http://spending.data.al/sq/moneypower/view/id/323/year/2011", "table",2)))),"*Kategoria*")</f>
        <v>*Kategoria*</v>
      </c>
      <c r="D645" t="s">
        <v>2589</v>
      </c>
    </row>
    <row r="646" spans="2:4" ht="15">
      <c r="B646" s="7"/>
      <c r="C646" t="s">
        <v>686</v>
      </c>
    </row>
    <row r="647" spans="2:4" ht="15">
      <c r="B647" s="1">
        <v>324</v>
      </c>
      <c r="C647" t="str">
        <f ca="1">IFERROR(__xludf.DUMMYFUNCTION((TRANSPOSE(ImportHTML("http://spending.data.al/sq/moneypower/view/id/324/year/2011", "table",2)))),"*Kategoria*")</f>
        <v>*Kategoria*</v>
      </c>
      <c r="D647" t="s">
        <v>2589</v>
      </c>
    </row>
    <row r="648" spans="2:4" ht="15">
      <c r="B648" s="7"/>
      <c r="C648" t="s">
        <v>686</v>
      </c>
    </row>
    <row r="649" spans="2:4" ht="15">
      <c r="B649" s="1">
        <v>325</v>
      </c>
      <c r="C649" t="str">
        <f ca="1">IFERROR(__xludf.DUMMYFUNCTION((TRANSPOSE(ImportHTML("http://spending.data.al/sq/moneypower/view/id/325/year/2011", "table",2)))),"*Kategoria*")</f>
        <v>*Kategoria*</v>
      </c>
      <c r="D649" t="s">
        <v>2589</v>
      </c>
    </row>
    <row r="650" spans="2:4" ht="15">
      <c r="B650" s="7"/>
      <c r="C650" t="s">
        <v>686</v>
      </c>
    </row>
    <row r="651" spans="2:4" ht="15">
      <c r="B651" s="1">
        <v>326</v>
      </c>
      <c r="C651" t="str">
        <f ca="1">IFERROR(__xludf.DUMMYFUNCTION((TRANSPOSE(ImportHTML("http://spending.data.al/sq/moneypower/view/id/326/year/2011", "table",2)))),"*Kategoria*")</f>
        <v>*Kategoria*</v>
      </c>
      <c r="D651" t="s">
        <v>2589</v>
      </c>
    </row>
    <row r="652" spans="2:4" ht="15">
      <c r="B652" s="7"/>
      <c r="C652" t="s">
        <v>686</v>
      </c>
    </row>
    <row r="653" spans="2:4" ht="15">
      <c r="B653" s="1">
        <v>327</v>
      </c>
      <c r="C653" t="str">
        <f ca="1">IFERROR(__xludf.DUMMYFUNCTION((TRANSPOSE(ImportHTML("http://spending.data.al/sq/moneypower/view/id/327/year/2011", "table",2)))),"*Kategoria*")</f>
        <v>*Kategoria*</v>
      </c>
      <c r="D653" t="s">
        <v>2589</v>
      </c>
    </row>
    <row r="654" spans="2:4" ht="15.75" customHeight="1">
      <c r="C654" t="s">
        <v>686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4"/>
  <sheetViews>
    <sheetView workbookViewId="0">
      <selection activeCell="C1" sqref="C1:C1048576"/>
    </sheetView>
  </sheetViews>
  <sheetFormatPr defaultColWidth="14.42578125" defaultRowHeight="15.75" customHeight="1"/>
  <sheetData>
    <row r="1" spans="1:16" ht="15">
      <c r="A1" s="11"/>
      <c r="B1" s="9">
        <v>1</v>
      </c>
      <c r="C1" t="str">
        <f ca="1">IFERROR(__xludf.DUMMYFUNCTION((TRANSPOSE(ImportHTML("http://spending.data.al/sq/moneypower/view/id/1/year/2012",  "table", 0)))),"*Emër Subjekti*")</f>
        <v>*Emër Subjekti*</v>
      </c>
      <c r="D1" t="s">
        <v>698</v>
      </c>
      <c r="E1" t="s">
        <v>699</v>
      </c>
      <c r="F1" t="s">
        <v>698</v>
      </c>
      <c r="G1" t="s">
        <v>699</v>
      </c>
      <c r="H1" t="s">
        <v>700</v>
      </c>
      <c r="I1" t="s">
        <v>701</v>
      </c>
      <c r="J1" t="s">
        <v>702</v>
      </c>
    </row>
    <row r="2" spans="1:16" ht="15">
      <c r="B2" s="11"/>
    </row>
    <row r="3" spans="1:16" ht="15">
      <c r="B3" s="11"/>
      <c r="C3" t="s">
        <v>709</v>
      </c>
      <c r="D3" t="s">
        <v>710</v>
      </c>
      <c r="E3" s="12">
        <v>41527</v>
      </c>
      <c r="F3" t="s">
        <v>711</v>
      </c>
      <c r="H3" t="s">
        <v>712</v>
      </c>
      <c r="I3" t="s">
        <v>713</v>
      </c>
      <c r="J3" t="s">
        <v>714</v>
      </c>
    </row>
    <row r="4" spans="1:16" ht="15">
      <c r="B4" s="9">
        <v>2</v>
      </c>
      <c r="C4" t="str">
        <f ca="1">IFERROR(__xludf.DUMMYFUNCTION((TRANSPOSE(ImportHTML("http://spending.data.al/sq/moneypower/view/id/2/year/2012",  "table", 0)))),"*Kategoria*")</f>
        <v>*Kategoria*</v>
      </c>
      <c r="D4" t="s">
        <v>673</v>
      </c>
      <c r="E4" t="s">
        <v>674</v>
      </c>
      <c r="F4" t="s">
        <v>675</v>
      </c>
      <c r="G4" t="s">
        <v>676</v>
      </c>
      <c r="H4" t="s">
        <v>677</v>
      </c>
      <c r="I4" t="s">
        <v>678</v>
      </c>
      <c r="J4" t="s">
        <v>679</v>
      </c>
      <c r="K4" t="s">
        <v>680</v>
      </c>
      <c r="L4" t="s">
        <v>681</v>
      </c>
      <c r="M4" t="s">
        <v>682</v>
      </c>
      <c r="N4" t="s">
        <v>683</v>
      </c>
      <c r="O4" t="s">
        <v>684</v>
      </c>
      <c r="P4" t="s">
        <v>685</v>
      </c>
    </row>
    <row r="5" spans="1:16" ht="15">
      <c r="B5" s="11"/>
      <c r="C5" t="s">
        <v>686</v>
      </c>
      <c r="D5" t="s">
        <v>2959</v>
      </c>
      <c r="E5" t="s">
        <v>2960</v>
      </c>
      <c r="F5" t="s">
        <v>688</v>
      </c>
      <c r="G5" t="s">
        <v>688</v>
      </c>
      <c r="H5" t="s">
        <v>688</v>
      </c>
      <c r="I5" t="s">
        <v>688</v>
      </c>
      <c r="J5" t="s">
        <v>688</v>
      </c>
      <c r="K5" t="s">
        <v>688</v>
      </c>
      <c r="L5" t="s">
        <v>688</v>
      </c>
      <c r="M5" t="s">
        <v>2961</v>
      </c>
      <c r="N5" t="s">
        <v>688</v>
      </c>
      <c r="O5" s="13">
        <v>1.69</v>
      </c>
      <c r="P5" t="s">
        <v>2962</v>
      </c>
    </row>
    <row r="6" spans="1:16" ht="15">
      <c r="B6" s="9">
        <v>3</v>
      </c>
      <c r="C6" t="str">
        <f ca="1">IFERROR(__xludf.DUMMYFUNCTION((TRANSPOSE(ImportHTML("http://spending.data.al/sq/moneypower/view/id/3/year/2012",  "table", 0)))),"*Emër Subjekti*")</f>
        <v>*Emër Subjekti*</v>
      </c>
      <c r="D6" t="s">
        <v>698</v>
      </c>
      <c r="E6" t="s">
        <v>699</v>
      </c>
      <c r="F6" t="s">
        <v>700</v>
      </c>
      <c r="G6" t="s">
        <v>701</v>
      </c>
      <c r="H6" t="s">
        <v>702</v>
      </c>
    </row>
    <row r="7" spans="1:16" ht="15">
      <c r="B7" s="11"/>
    </row>
    <row r="8" spans="1:16" ht="15">
      <c r="B8" s="11"/>
      <c r="C8" t="s">
        <v>1835</v>
      </c>
      <c r="D8" t="s">
        <v>710</v>
      </c>
      <c r="E8" s="12">
        <v>41532</v>
      </c>
      <c r="F8" t="s">
        <v>712</v>
      </c>
      <c r="G8" t="s">
        <v>1836</v>
      </c>
      <c r="H8" t="s">
        <v>1837</v>
      </c>
    </row>
    <row r="9" spans="1:16" ht="15">
      <c r="B9" s="9">
        <v>4</v>
      </c>
      <c r="C9" t="str">
        <f ca="1">IFERROR(__xludf.DUMMYFUNCTION((TRANSPOSE(ImportHTML("http://spending.data.al/sq/moneypower/view/id/4/year/2012",  "table", 0)))),"*Kategoria*")</f>
        <v>*Kategoria*</v>
      </c>
      <c r="D9" t="s">
        <v>673</v>
      </c>
      <c r="E9" t="s">
        <v>674</v>
      </c>
      <c r="F9" t="s">
        <v>675</v>
      </c>
      <c r="G9" t="s">
        <v>676</v>
      </c>
      <c r="H9" t="s">
        <v>677</v>
      </c>
      <c r="I9" t="s">
        <v>678</v>
      </c>
      <c r="J9" t="s">
        <v>679</v>
      </c>
      <c r="K9" t="s">
        <v>680</v>
      </c>
      <c r="L9" t="s">
        <v>681</v>
      </c>
      <c r="M9" t="s">
        <v>682</v>
      </c>
      <c r="N9" t="s">
        <v>683</v>
      </c>
      <c r="O9" t="s">
        <v>684</v>
      </c>
      <c r="P9" t="s">
        <v>685</v>
      </c>
    </row>
    <row r="10" spans="1:16" ht="15">
      <c r="B10" s="11"/>
      <c r="C10" t="s">
        <v>686</v>
      </c>
      <c r="D10" t="s">
        <v>2963</v>
      </c>
      <c r="E10" t="s">
        <v>688</v>
      </c>
      <c r="F10" t="s">
        <v>688</v>
      </c>
      <c r="G10" t="s">
        <v>688</v>
      </c>
      <c r="H10" t="s">
        <v>688</v>
      </c>
      <c r="I10" t="s">
        <v>688</v>
      </c>
      <c r="J10" t="s">
        <v>688</v>
      </c>
      <c r="K10" t="s">
        <v>688</v>
      </c>
      <c r="L10" t="s">
        <v>688</v>
      </c>
      <c r="M10" t="s">
        <v>2964</v>
      </c>
      <c r="N10" t="s">
        <v>2965</v>
      </c>
      <c r="O10" s="13">
        <v>1.68</v>
      </c>
      <c r="P10" t="s">
        <v>2966</v>
      </c>
    </row>
    <row r="11" spans="1:16" ht="15">
      <c r="B11" s="9">
        <v>5</v>
      </c>
      <c r="C11" t="str">
        <f ca="1">IFERROR(__xludf.DUMMYFUNCTION((TRANSPOSE(ImportHTML("http://spending.data.al/sq/moneypower/view/id/5/year/2012",  "table", 0)))),"*Kategoria*")</f>
        <v>*Kategoria*</v>
      </c>
      <c r="D11" t="s">
        <v>673</v>
      </c>
      <c r="E11" t="s">
        <v>674</v>
      </c>
      <c r="F11" t="s">
        <v>675</v>
      </c>
      <c r="G11" t="s">
        <v>676</v>
      </c>
      <c r="H11" t="s">
        <v>677</v>
      </c>
      <c r="I11" t="s">
        <v>678</v>
      </c>
      <c r="J11" t="s">
        <v>679</v>
      </c>
      <c r="K11" t="s">
        <v>680</v>
      </c>
      <c r="L11" t="s">
        <v>681</v>
      </c>
      <c r="M11" t="s">
        <v>682</v>
      </c>
      <c r="N11" t="s">
        <v>683</v>
      </c>
      <c r="O11" t="s">
        <v>684</v>
      </c>
      <c r="P11" t="s">
        <v>685</v>
      </c>
    </row>
    <row r="12" spans="1:16" ht="15">
      <c r="B12" s="11"/>
      <c r="C12" t="s">
        <v>686</v>
      </c>
      <c r="D12" t="s">
        <v>2967</v>
      </c>
      <c r="E12" t="s">
        <v>688</v>
      </c>
      <c r="F12" t="s">
        <v>688</v>
      </c>
      <c r="G12" t="s">
        <v>2968</v>
      </c>
      <c r="H12" t="s">
        <v>688</v>
      </c>
      <c r="I12" t="s">
        <v>688</v>
      </c>
      <c r="J12" t="s">
        <v>688</v>
      </c>
      <c r="K12" t="s">
        <v>688</v>
      </c>
      <c r="L12" t="s">
        <v>688</v>
      </c>
      <c r="M12" t="s">
        <v>2969</v>
      </c>
      <c r="N12" t="s">
        <v>688</v>
      </c>
      <c r="O12" s="13">
        <v>1.03</v>
      </c>
      <c r="P12" t="s">
        <v>2970</v>
      </c>
    </row>
    <row r="13" spans="1:16" ht="15">
      <c r="B13" s="9">
        <v>6</v>
      </c>
      <c r="C13" t="str">
        <f ca="1">IFERROR(__xludf.DUMMYFUNCTION((TRANSPOSE(ImportHTML("http://spending.data.al/sq/moneypower/view/id/6/year/2012",  "table", 0)))),"*Kategoria*")</f>
        <v>*Kategoria*</v>
      </c>
      <c r="D13" t="s">
        <v>673</v>
      </c>
      <c r="E13" t="s">
        <v>674</v>
      </c>
      <c r="F13" t="s">
        <v>675</v>
      </c>
      <c r="G13" t="s">
        <v>676</v>
      </c>
      <c r="H13" t="s">
        <v>677</v>
      </c>
      <c r="I13" t="s">
        <v>678</v>
      </c>
      <c r="J13" t="s">
        <v>679</v>
      </c>
      <c r="K13" t="s">
        <v>680</v>
      </c>
      <c r="L13" t="s">
        <v>681</v>
      </c>
      <c r="M13" t="s">
        <v>682</v>
      </c>
      <c r="N13" t="s">
        <v>683</v>
      </c>
      <c r="O13" t="s">
        <v>684</v>
      </c>
      <c r="P13" t="s">
        <v>685</v>
      </c>
    </row>
    <row r="14" spans="1:16" ht="15">
      <c r="B14" s="11"/>
      <c r="C14" t="s">
        <v>686</v>
      </c>
      <c r="D14" t="s">
        <v>2971</v>
      </c>
      <c r="E14" t="s">
        <v>688</v>
      </c>
      <c r="F14" t="s">
        <v>688</v>
      </c>
      <c r="G14" t="s">
        <v>688</v>
      </c>
      <c r="H14" t="s">
        <v>688</v>
      </c>
      <c r="I14" t="s">
        <v>688</v>
      </c>
      <c r="J14" t="s">
        <v>688</v>
      </c>
      <c r="K14" t="s">
        <v>688</v>
      </c>
      <c r="L14" t="s">
        <v>688</v>
      </c>
      <c r="M14" t="s">
        <v>2972</v>
      </c>
      <c r="N14" t="s">
        <v>688</v>
      </c>
      <c r="O14" s="13">
        <v>1</v>
      </c>
      <c r="P14" t="s">
        <v>688</v>
      </c>
    </row>
    <row r="15" spans="1:16" ht="15">
      <c r="B15" s="9">
        <v>7</v>
      </c>
      <c r="C15" t="str">
        <f ca="1">IFERROR(__xludf.DUMMYFUNCTION((TRANSPOSE(ImportHTML("http://spending.data.al/sq/moneypower/view/id/7/year/2012",  "table", 0)))),"*Emër Subjekti*")</f>
        <v>*Emër Subjekti*</v>
      </c>
      <c r="D15" t="s">
        <v>698</v>
      </c>
      <c r="E15" t="s">
        <v>699</v>
      </c>
      <c r="F15" t="s">
        <v>700</v>
      </c>
      <c r="G15" t="s">
        <v>701</v>
      </c>
      <c r="H15" t="s">
        <v>702</v>
      </c>
    </row>
    <row r="16" spans="1:16" ht="15">
      <c r="B16" s="11"/>
    </row>
    <row r="17" spans="2:16" ht="15">
      <c r="B17" s="11"/>
      <c r="C17" t="s">
        <v>1848</v>
      </c>
      <c r="D17" t="s">
        <v>710</v>
      </c>
      <c r="E17" s="12">
        <v>41532</v>
      </c>
      <c r="F17" t="s">
        <v>1845</v>
      </c>
      <c r="G17" t="s">
        <v>1849</v>
      </c>
      <c r="H17" t="s">
        <v>1850</v>
      </c>
    </row>
    <row r="18" spans="2:16" ht="15">
      <c r="B18" s="9">
        <v>8</v>
      </c>
      <c r="C18" t="str">
        <f ca="1">IFERROR(__xludf.DUMMYFUNCTION((TRANSPOSE(ImportHTML("http://spending.data.al/sq/moneypower/view/id/8/year/2012",  "table", 0)))),"*Kategoria*")</f>
        <v>*Kategoria*</v>
      </c>
      <c r="D18" t="s">
        <v>673</v>
      </c>
      <c r="E18" t="s">
        <v>674</v>
      </c>
      <c r="F18" t="s">
        <v>675</v>
      </c>
      <c r="G18" t="s">
        <v>676</v>
      </c>
      <c r="H18" t="s">
        <v>677</v>
      </c>
      <c r="I18" t="s">
        <v>678</v>
      </c>
      <c r="J18" t="s">
        <v>679</v>
      </c>
      <c r="K18" t="s">
        <v>680</v>
      </c>
      <c r="L18" t="s">
        <v>681</v>
      </c>
      <c r="M18" t="s">
        <v>682</v>
      </c>
      <c r="N18" t="s">
        <v>683</v>
      </c>
      <c r="O18" t="s">
        <v>684</v>
      </c>
      <c r="P18" t="s">
        <v>685</v>
      </c>
    </row>
    <row r="19" spans="2:16" ht="15">
      <c r="B19" s="11"/>
      <c r="C19" t="s">
        <v>686</v>
      </c>
      <c r="D19" t="s">
        <v>2973</v>
      </c>
      <c r="E19" t="s">
        <v>688</v>
      </c>
      <c r="F19" t="s">
        <v>688</v>
      </c>
      <c r="G19" t="s">
        <v>688</v>
      </c>
      <c r="H19" t="s">
        <v>688</v>
      </c>
      <c r="I19" t="s">
        <v>688</v>
      </c>
      <c r="J19" t="s">
        <v>688</v>
      </c>
      <c r="K19" t="s">
        <v>688</v>
      </c>
      <c r="L19" t="s">
        <v>688</v>
      </c>
      <c r="M19" t="s">
        <v>2974</v>
      </c>
      <c r="N19" t="s">
        <v>688</v>
      </c>
      <c r="O19" s="13">
        <v>1.26</v>
      </c>
      <c r="P19" t="s">
        <v>2975</v>
      </c>
    </row>
    <row r="20" spans="2:16" ht="15">
      <c r="B20" s="9">
        <v>9</v>
      </c>
      <c r="C20" t="str">
        <f ca="1">IFERROR(__xludf.DUMMYFUNCTION((TRANSPOSE(ImportHTML("http://spending.data.al/sq/moneypower/view/id/9/year/2012",  "table", 0)))),"*Emër Subjekti*")</f>
        <v>*Emër Subjekti*</v>
      </c>
      <c r="D20" t="s">
        <v>698</v>
      </c>
      <c r="E20" t="s">
        <v>699</v>
      </c>
      <c r="F20" t="s">
        <v>700</v>
      </c>
      <c r="G20" t="s">
        <v>701</v>
      </c>
      <c r="H20" t="s">
        <v>702</v>
      </c>
    </row>
    <row r="21" spans="2:16" ht="15">
      <c r="B21" s="9"/>
    </row>
    <row r="22" spans="2:16" ht="15">
      <c r="B22" s="11"/>
      <c r="C22" t="s">
        <v>1854</v>
      </c>
      <c r="D22" t="s">
        <v>710</v>
      </c>
      <c r="E22" s="12">
        <v>41533</v>
      </c>
      <c r="F22" t="s">
        <v>712</v>
      </c>
      <c r="G22" t="s">
        <v>1855</v>
      </c>
      <c r="H22" t="s">
        <v>1856</v>
      </c>
    </row>
    <row r="23" spans="2:16" ht="15">
      <c r="B23" s="9">
        <v>10</v>
      </c>
      <c r="C23" t="str">
        <f ca="1">IFERROR(__xludf.DUMMYFUNCTION((TRANSPOSE(ImportHTML("http://spending.data.al/sq/moneypower/view/id/10/year/2012",  "table", 0)))),"*Kategoria*")</f>
        <v>*Kategoria*</v>
      </c>
      <c r="D23" t="s">
        <v>673</v>
      </c>
      <c r="E23" t="s">
        <v>674</v>
      </c>
      <c r="F23" t="s">
        <v>675</v>
      </c>
      <c r="G23" t="s">
        <v>676</v>
      </c>
      <c r="H23" t="s">
        <v>677</v>
      </c>
      <c r="I23" t="s">
        <v>678</v>
      </c>
      <c r="J23" t="s">
        <v>679</v>
      </c>
      <c r="K23" t="s">
        <v>680</v>
      </c>
      <c r="L23" t="s">
        <v>681</v>
      </c>
      <c r="M23" t="s">
        <v>682</v>
      </c>
      <c r="N23" t="s">
        <v>683</v>
      </c>
      <c r="O23" t="s">
        <v>684</v>
      </c>
      <c r="P23" t="s">
        <v>685</v>
      </c>
    </row>
    <row r="24" spans="2:16" ht="15">
      <c r="B24" s="11"/>
      <c r="C24" t="s">
        <v>686</v>
      </c>
      <c r="D24" t="s">
        <v>2976</v>
      </c>
      <c r="E24" t="s">
        <v>707</v>
      </c>
      <c r="F24" t="s">
        <v>707</v>
      </c>
      <c r="G24" t="s">
        <v>707</v>
      </c>
      <c r="H24" t="s">
        <v>2977</v>
      </c>
      <c r="I24" t="s">
        <v>2978</v>
      </c>
      <c r="J24" t="s">
        <v>707</v>
      </c>
      <c r="K24" t="s">
        <v>707</v>
      </c>
      <c r="L24" t="s">
        <v>707</v>
      </c>
      <c r="M24" t="s">
        <v>2979</v>
      </c>
      <c r="N24" t="s">
        <v>2980</v>
      </c>
      <c r="O24" t="s">
        <v>2981</v>
      </c>
      <c r="P24" t="s">
        <v>707</v>
      </c>
    </row>
    <row r="25" spans="2:16" ht="15">
      <c r="B25" s="9">
        <v>11</v>
      </c>
      <c r="C25" t="str">
        <f ca="1">IFERROR(__xludf.DUMMYFUNCTION((TRANSPOSE(ImportHTML("http://spending.data.al/sq/moneypower/view/id/11/year/2012",  "table", 0)))),"*Emër Subjekti*")</f>
        <v>*Emër Subjekti*</v>
      </c>
      <c r="D25" t="s">
        <v>698</v>
      </c>
      <c r="E25" t="s">
        <v>699</v>
      </c>
      <c r="F25" t="s">
        <v>700</v>
      </c>
      <c r="G25" t="s">
        <v>701</v>
      </c>
      <c r="H25" t="s">
        <v>702</v>
      </c>
    </row>
    <row r="26" spans="2:16" ht="15">
      <c r="B26" s="9"/>
    </row>
    <row r="27" spans="2:16" ht="15">
      <c r="B27" s="11"/>
      <c r="C27" t="s">
        <v>1860</v>
      </c>
      <c r="D27" t="s">
        <v>710</v>
      </c>
      <c r="E27" s="12">
        <v>41532</v>
      </c>
      <c r="F27" t="s">
        <v>1845</v>
      </c>
      <c r="G27" t="s">
        <v>1861</v>
      </c>
      <c r="H27" t="s">
        <v>1862</v>
      </c>
    </row>
    <row r="28" spans="2:16" ht="15">
      <c r="B28" s="9">
        <v>12</v>
      </c>
      <c r="C28" t="str">
        <f ca="1">IFERROR(__xludf.DUMMYFUNCTION((TRANSPOSE(ImportHTML("http://spending.data.al/sq/moneypower/view/id/12/year/2012",  "table", 0)))),"*Kategoria*")</f>
        <v>*Kategoria*</v>
      </c>
      <c r="D28" t="s">
        <v>673</v>
      </c>
      <c r="E28" t="s">
        <v>674</v>
      </c>
      <c r="F28" t="s">
        <v>675</v>
      </c>
      <c r="G28" t="s">
        <v>676</v>
      </c>
      <c r="H28" t="s">
        <v>677</v>
      </c>
      <c r="I28" t="s">
        <v>678</v>
      </c>
      <c r="J28" t="s">
        <v>679</v>
      </c>
      <c r="K28" t="s">
        <v>680</v>
      </c>
      <c r="L28" t="s">
        <v>681</v>
      </c>
      <c r="M28" t="s">
        <v>682</v>
      </c>
      <c r="N28" t="s">
        <v>683</v>
      </c>
      <c r="O28" t="s">
        <v>684</v>
      </c>
      <c r="P28" t="s">
        <v>685</v>
      </c>
    </row>
    <row r="29" spans="2:16" ht="15">
      <c r="B29" s="11"/>
      <c r="C29" t="s">
        <v>686</v>
      </c>
      <c r="D29" t="s">
        <v>2982</v>
      </c>
      <c r="E29" t="s">
        <v>688</v>
      </c>
      <c r="F29" t="s">
        <v>688</v>
      </c>
      <c r="G29" t="s">
        <v>688</v>
      </c>
      <c r="H29" t="s">
        <v>688</v>
      </c>
      <c r="I29" t="s">
        <v>688</v>
      </c>
      <c r="J29" t="s">
        <v>688</v>
      </c>
      <c r="K29" t="s">
        <v>688</v>
      </c>
      <c r="L29" t="s">
        <v>688</v>
      </c>
      <c r="M29" t="s">
        <v>2983</v>
      </c>
      <c r="N29" t="s">
        <v>2984</v>
      </c>
      <c r="P29" t="s">
        <v>2985</v>
      </c>
    </row>
    <row r="30" spans="2:16" ht="15">
      <c r="B30" s="9">
        <v>13</v>
      </c>
      <c r="C30" t="str">
        <f ca="1">IFERROR(__xludf.DUMMYFUNCTION((TRANSPOSE(ImportHTML("http://spending.data.al/sq/moneypower/view/id/13/year/2012",  "table", 0)))),"*Kategoria*")</f>
        <v>*Kategoria*</v>
      </c>
      <c r="D30" t="s">
        <v>673</v>
      </c>
      <c r="E30" t="s">
        <v>674</v>
      </c>
      <c r="F30" t="s">
        <v>675</v>
      </c>
      <c r="G30" t="s">
        <v>676</v>
      </c>
      <c r="H30" t="s">
        <v>677</v>
      </c>
      <c r="I30" t="s">
        <v>678</v>
      </c>
      <c r="J30" t="s">
        <v>679</v>
      </c>
      <c r="K30" t="s">
        <v>680</v>
      </c>
      <c r="L30" t="s">
        <v>681</v>
      </c>
      <c r="M30" t="s">
        <v>682</v>
      </c>
      <c r="N30" t="s">
        <v>683</v>
      </c>
      <c r="O30" t="s">
        <v>684</v>
      </c>
      <c r="P30" t="s">
        <v>685</v>
      </c>
    </row>
    <row r="31" spans="2:16" ht="15">
      <c r="B31" s="11"/>
      <c r="C31" t="s">
        <v>686</v>
      </c>
      <c r="D31" t="s">
        <v>2986</v>
      </c>
      <c r="E31" t="s">
        <v>688</v>
      </c>
      <c r="F31" t="s">
        <v>688</v>
      </c>
      <c r="G31" t="s">
        <v>688</v>
      </c>
      <c r="H31" t="s">
        <v>688</v>
      </c>
      <c r="I31" t="s">
        <v>688</v>
      </c>
      <c r="J31" t="s">
        <v>688</v>
      </c>
      <c r="K31" t="s">
        <v>2987</v>
      </c>
      <c r="L31" t="s">
        <v>688</v>
      </c>
      <c r="M31" t="s">
        <v>2988</v>
      </c>
      <c r="N31" t="s">
        <v>707</v>
      </c>
      <c r="O31" s="13">
        <v>1.18</v>
      </c>
      <c r="P31" t="s">
        <v>2989</v>
      </c>
    </row>
    <row r="32" spans="2:16" ht="15">
      <c r="B32" s="9">
        <v>14</v>
      </c>
      <c r="C32" t="str">
        <f ca="1">IFERROR(__xludf.DUMMYFUNCTION((TRANSPOSE(ImportHTML("http://spending.data.al/sq/moneypower/view/id/14/year/2012",  "table", 0)))),"*Emër Subjekti*")</f>
        <v>*Emër Subjekti*</v>
      </c>
      <c r="D32" t="s">
        <v>698</v>
      </c>
      <c r="E32" t="s">
        <v>699</v>
      </c>
      <c r="F32" t="s">
        <v>700</v>
      </c>
      <c r="G32" t="s">
        <v>701</v>
      </c>
      <c r="H32" t="s">
        <v>702</v>
      </c>
    </row>
    <row r="33" spans="2:16" ht="15">
      <c r="B33" s="9"/>
    </row>
    <row r="34" spans="2:16" ht="15">
      <c r="B34" s="11"/>
      <c r="C34" t="s">
        <v>1869</v>
      </c>
      <c r="D34" t="s">
        <v>710</v>
      </c>
      <c r="E34" s="12">
        <v>41532</v>
      </c>
      <c r="F34" t="s">
        <v>712</v>
      </c>
      <c r="G34" t="s">
        <v>1870</v>
      </c>
      <c r="H34" t="s">
        <v>708</v>
      </c>
    </row>
    <row r="35" spans="2:16" ht="15">
      <c r="B35" s="9">
        <v>15</v>
      </c>
      <c r="C35" t="str">
        <f ca="1">IFERROR(__xludf.DUMMYFUNCTION((TRANSPOSE(ImportHTML("http://spending.data.al/sq/moneypower/view/id/15/year/2012",  "table", 0)))),"*Kategoria*")</f>
        <v>*Kategoria*</v>
      </c>
      <c r="D35" t="s">
        <v>673</v>
      </c>
      <c r="E35" t="s">
        <v>674</v>
      </c>
      <c r="F35" t="s">
        <v>675</v>
      </c>
      <c r="G35" t="s">
        <v>676</v>
      </c>
      <c r="H35" t="s">
        <v>677</v>
      </c>
      <c r="I35" t="s">
        <v>678</v>
      </c>
      <c r="J35" t="s">
        <v>679</v>
      </c>
      <c r="K35" t="s">
        <v>680</v>
      </c>
      <c r="L35" t="s">
        <v>681</v>
      </c>
      <c r="M35" t="s">
        <v>682</v>
      </c>
      <c r="N35" t="s">
        <v>683</v>
      </c>
      <c r="O35" t="s">
        <v>684</v>
      </c>
      <c r="P35" t="s">
        <v>685</v>
      </c>
    </row>
    <row r="36" spans="2:16" ht="15">
      <c r="B36" s="11"/>
      <c r="C36" t="s">
        <v>686</v>
      </c>
      <c r="D36" t="s">
        <v>2990</v>
      </c>
      <c r="E36" t="s">
        <v>688</v>
      </c>
      <c r="F36" t="s">
        <v>688</v>
      </c>
      <c r="G36" t="s">
        <v>688</v>
      </c>
      <c r="H36" t="s">
        <v>688</v>
      </c>
      <c r="I36" t="s">
        <v>688</v>
      </c>
      <c r="J36" t="s">
        <v>688</v>
      </c>
      <c r="K36" t="s">
        <v>688</v>
      </c>
      <c r="L36" t="s">
        <v>688</v>
      </c>
      <c r="M36" t="s">
        <v>688</v>
      </c>
      <c r="N36" t="s">
        <v>688</v>
      </c>
      <c r="O36" s="13">
        <v>1.1100000000000001</v>
      </c>
      <c r="P36" t="s">
        <v>2991</v>
      </c>
    </row>
    <row r="37" spans="2:16" ht="15">
      <c r="B37" s="9">
        <v>16</v>
      </c>
      <c r="C37" t="str">
        <f ca="1">IFERROR(__xludf.DUMMYFUNCTION((TRANSPOSE(ImportHTML("http://spending.data.al/sq/moneypower/view/id/16/year/2012",  "table", 0)))),"*Emër Subjekti*")</f>
        <v>*Emër Subjekti*</v>
      </c>
      <c r="D37" t="s">
        <v>698</v>
      </c>
      <c r="E37" t="s">
        <v>699</v>
      </c>
      <c r="F37" t="s">
        <v>700</v>
      </c>
      <c r="G37" t="s">
        <v>701</v>
      </c>
      <c r="H37" t="s">
        <v>702</v>
      </c>
    </row>
    <row r="38" spans="2:16" ht="15">
      <c r="B38" s="11"/>
    </row>
    <row r="39" spans="2:16" ht="15">
      <c r="B39" s="11"/>
      <c r="C39" t="s">
        <v>1874</v>
      </c>
      <c r="D39" t="s">
        <v>710</v>
      </c>
      <c r="E39" s="12">
        <v>41528</v>
      </c>
      <c r="F39" t="s">
        <v>1875</v>
      </c>
      <c r="G39" t="s">
        <v>1876</v>
      </c>
      <c r="H39" t="s">
        <v>1877</v>
      </c>
    </row>
    <row r="40" spans="2:16" ht="15">
      <c r="B40" s="9">
        <v>17</v>
      </c>
      <c r="C40" t="str">
        <f ca="1">IFERROR(__xludf.DUMMYFUNCTION((TRANSPOSE(ImportHTML("http://spending.data.al/sq/moneypower/view/id/17/year/2012",  "table", 0)))),"*Kategoria*")</f>
        <v>*Kategoria*</v>
      </c>
      <c r="D40" t="s">
        <v>673</v>
      </c>
      <c r="E40" t="s">
        <v>674</v>
      </c>
      <c r="F40" t="s">
        <v>675</v>
      </c>
      <c r="G40" t="s">
        <v>676</v>
      </c>
      <c r="H40" t="s">
        <v>677</v>
      </c>
      <c r="I40" t="s">
        <v>678</v>
      </c>
      <c r="J40" t="s">
        <v>679</v>
      </c>
      <c r="K40" t="s">
        <v>680</v>
      </c>
      <c r="L40" t="s">
        <v>681</v>
      </c>
      <c r="M40" t="s">
        <v>682</v>
      </c>
      <c r="N40" t="s">
        <v>683</v>
      </c>
      <c r="O40" t="s">
        <v>684</v>
      </c>
      <c r="P40" t="s">
        <v>685</v>
      </c>
    </row>
    <row r="41" spans="2:16" ht="15">
      <c r="B41" s="11"/>
      <c r="C41" t="s">
        <v>686</v>
      </c>
      <c r="D41" t="s">
        <v>2992</v>
      </c>
      <c r="E41" t="s">
        <v>688</v>
      </c>
      <c r="F41" t="s">
        <v>688</v>
      </c>
      <c r="G41" t="s">
        <v>688</v>
      </c>
      <c r="H41" t="s">
        <v>688</v>
      </c>
      <c r="I41" t="s">
        <v>688</v>
      </c>
      <c r="J41" t="s">
        <v>688</v>
      </c>
      <c r="K41" t="s">
        <v>688</v>
      </c>
      <c r="L41" t="s">
        <v>688</v>
      </c>
      <c r="M41" t="s">
        <v>2993</v>
      </c>
      <c r="N41" t="s">
        <v>2994</v>
      </c>
      <c r="O41" t="s">
        <v>707</v>
      </c>
      <c r="P41" t="s">
        <v>2995</v>
      </c>
    </row>
    <row r="42" spans="2:16" ht="15">
      <c r="B42" s="9">
        <v>18</v>
      </c>
      <c r="C42" t="str">
        <f ca="1">IFERROR(__xludf.DUMMYFUNCTION((TRANSPOSE(ImportHTML("http://spending.data.al/sq/moneypower/view/id/18/year/2012",  "table", 0)))),"*Kategoria*")</f>
        <v>*Kategoria*</v>
      </c>
      <c r="D42" t="s">
        <v>673</v>
      </c>
      <c r="E42" t="s">
        <v>674</v>
      </c>
      <c r="F42" t="s">
        <v>675</v>
      </c>
      <c r="G42" t="s">
        <v>676</v>
      </c>
      <c r="H42" t="s">
        <v>677</v>
      </c>
      <c r="I42" t="s">
        <v>678</v>
      </c>
      <c r="J42" t="s">
        <v>679</v>
      </c>
      <c r="K42" t="s">
        <v>680</v>
      </c>
      <c r="L42" t="s">
        <v>681</v>
      </c>
      <c r="M42" t="s">
        <v>682</v>
      </c>
      <c r="N42" t="s">
        <v>683</v>
      </c>
      <c r="O42" t="s">
        <v>684</v>
      </c>
      <c r="P42" t="s">
        <v>685</v>
      </c>
    </row>
    <row r="43" spans="2:16" ht="15">
      <c r="B43" s="11"/>
      <c r="C43" t="s">
        <v>686</v>
      </c>
      <c r="D43" t="s">
        <v>2996</v>
      </c>
      <c r="E43" t="s">
        <v>2997</v>
      </c>
      <c r="F43" t="s">
        <v>2998</v>
      </c>
      <c r="G43" t="s">
        <v>688</v>
      </c>
      <c r="H43" t="s">
        <v>688</v>
      </c>
      <c r="I43" t="s">
        <v>688</v>
      </c>
      <c r="J43" t="s">
        <v>688</v>
      </c>
      <c r="K43" t="s">
        <v>688</v>
      </c>
      <c r="L43" t="s">
        <v>688</v>
      </c>
      <c r="M43" t="s">
        <v>2999</v>
      </c>
      <c r="N43" t="s">
        <v>3000</v>
      </c>
      <c r="O43" s="13">
        <v>1.65</v>
      </c>
      <c r="P43" t="s">
        <v>688</v>
      </c>
    </row>
    <row r="44" spans="2:16" ht="15">
      <c r="B44" s="9">
        <v>19</v>
      </c>
      <c r="C44" t="str">
        <f ca="1">IFERROR(__xludf.DUMMYFUNCTION((TRANSPOSE(ImportHTML("http://spending.data.al/sq/moneypower/view/id/19/year/2012",  "table", 0)))),"*Kategoria*")</f>
        <v>*Kategoria*</v>
      </c>
      <c r="D44" t="s">
        <v>673</v>
      </c>
      <c r="E44" t="s">
        <v>674</v>
      </c>
      <c r="F44" t="s">
        <v>675</v>
      </c>
      <c r="G44" t="s">
        <v>676</v>
      </c>
      <c r="H44" t="s">
        <v>677</v>
      </c>
      <c r="I44" t="s">
        <v>678</v>
      </c>
      <c r="J44" t="s">
        <v>679</v>
      </c>
      <c r="K44" t="s">
        <v>680</v>
      </c>
      <c r="L44" t="s">
        <v>681</v>
      </c>
      <c r="M44" t="s">
        <v>682</v>
      </c>
      <c r="N44" t="s">
        <v>683</v>
      </c>
      <c r="O44" t="s">
        <v>684</v>
      </c>
      <c r="P44" t="s">
        <v>685</v>
      </c>
    </row>
    <row r="45" spans="2:16" ht="15">
      <c r="B45" s="11"/>
      <c r="C45" t="s">
        <v>686</v>
      </c>
      <c r="D45" t="s">
        <v>3001</v>
      </c>
      <c r="E45" t="s">
        <v>688</v>
      </c>
      <c r="F45" t="s">
        <v>688</v>
      </c>
      <c r="G45" t="s">
        <v>688</v>
      </c>
      <c r="H45" t="s">
        <v>688</v>
      </c>
      <c r="I45" t="s">
        <v>688</v>
      </c>
      <c r="J45" t="s">
        <v>688</v>
      </c>
      <c r="K45" t="s">
        <v>688</v>
      </c>
      <c r="L45" t="s">
        <v>688</v>
      </c>
      <c r="M45" t="s">
        <v>3002</v>
      </c>
      <c r="N45" t="s">
        <v>3003</v>
      </c>
      <c r="O45" s="13">
        <v>1</v>
      </c>
      <c r="P45" t="s">
        <v>707</v>
      </c>
    </row>
    <row r="46" spans="2:16" ht="15">
      <c r="B46" s="9">
        <v>20</v>
      </c>
      <c r="C46" t="str">
        <f ca="1">IFERROR(__xludf.DUMMYFUNCTION((TRANSPOSE(ImportHTML("http://spending.data.al/sq/moneypower/view/id/20/year/2012",  "table", 0)))),"*Kategoria*")</f>
        <v>*Kategoria*</v>
      </c>
      <c r="D46" t="s">
        <v>673</v>
      </c>
      <c r="E46" t="s">
        <v>674</v>
      </c>
      <c r="F46" t="s">
        <v>675</v>
      </c>
      <c r="G46" t="s">
        <v>676</v>
      </c>
      <c r="H46" t="s">
        <v>677</v>
      </c>
      <c r="I46" t="s">
        <v>678</v>
      </c>
      <c r="J46" t="s">
        <v>679</v>
      </c>
      <c r="K46" t="s">
        <v>680</v>
      </c>
      <c r="L46" t="s">
        <v>681</v>
      </c>
      <c r="M46" t="s">
        <v>682</v>
      </c>
      <c r="N46" t="s">
        <v>683</v>
      </c>
      <c r="O46" t="s">
        <v>684</v>
      </c>
      <c r="P46" t="s">
        <v>685</v>
      </c>
    </row>
    <row r="47" spans="2:16" ht="15">
      <c r="B47" s="11"/>
      <c r="C47" t="s">
        <v>686</v>
      </c>
      <c r="D47" t="s">
        <v>3004</v>
      </c>
      <c r="E47" t="s">
        <v>688</v>
      </c>
      <c r="F47" t="s">
        <v>688</v>
      </c>
      <c r="G47" t="s">
        <v>688</v>
      </c>
      <c r="H47" t="s">
        <v>688</v>
      </c>
      <c r="I47" t="s">
        <v>688</v>
      </c>
      <c r="J47" t="s">
        <v>688</v>
      </c>
      <c r="K47" t="s">
        <v>688</v>
      </c>
      <c r="L47" t="s">
        <v>688</v>
      </c>
      <c r="M47" t="s">
        <v>3005</v>
      </c>
      <c r="N47" t="s">
        <v>688</v>
      </c>
      <c r="O47" s="13">
        <v>1.1100000000000001</v>
      </c>
      <c r="P47" t="s">
        <v>3006</v>
      </c>
    </row>
    <row r="48" spans="2:16" ht="15">
      <c r="B48" s="9">
        <v>21</v>
      </c>
      <c r="C48" t="str">
        <f ca="1">IFERROR(__xludf.DUMMYFUNCTION((TRANSPOSE(ImportHTML("http://spending.data.al/sq/moneypower/view/id/21/year/2012",  "table", 0)))),"*Kategoria*")</f>
        <v>*Kategoria*</v>
      </c>
      <c r="D48" t="s">
        <v>673</v>
      </c>
      <c r="E48" t="s">
        <v>674</v>
      </c>
      <c r="F48" t="s">
        <v>675</v>
      </c>
      <c r="G48" t="s">
        <v>676</v>
      </c>
      <c r="H48" t="s">
        <v>677</v>
      </c>
      <c r="I48" t="s">
        <v>678</v>
      </c>
      <c r="J48" t="s">
        <v>679</v>
      </c>
      <c r="K48" t="s">
        <v>680</v>
      </c>
      <c r="L48" t="s">
        <v>681</v>
      </c>
      <c r="M48" t="s">
        <v>682</v>
      </c>
      <c r="N48" t="s">
        <v>683</v>
      </c>
      <c r="O48" t="s">
        <v>684</v>
      </c>
      <c r="P48" t="s">
        <v>685</v>
      </c>
    </row>
    <row r="49" spans="2:16" ht="15">
      <c r="B49" s="11"/>
      <c r="C49" t="s">
        <v>686</v>
      </c>
      <c r="D49" t="s">
        <v>3007</v>
      </c>
      <c r="E49" t="s">
        <v>816</v>
      </c>
      <c r="F49" t="s">
        <v>688</v>
      </c>
      <c r="G49" t="s">
        <v>688</v>
      </c>
      <c r="H49" t="s">
        <v>688</v>
      </c>
      <c r="I49" t="s">
        <v>688</v>
      </c>
      <c r="J49" t="s">
        <v>688</v>
      </c>
      <c r="K49" t="s">
        <v>688</v>
      </c>
      <c r="L49" t="s">
        <v>688</v>
      </c>
      <c r="M49" t="s">
        <v>3008</v>
      </c>
      <c r="N49" t="s">
        <v>688</v>
      </c>
      <c r="O49" s="13">
        <v>1.25</v>
      </c>
      <c r="P49" t="s">
        <v>3009</v>
      </c>
    </row>
    <row r="50" spans="2:16" ht="15">
      <c r="B50" s="9">
        <v>22</v>
      </c>
      <c r="C50" t="str">
        <f ca="1">IFERROR(__xludf.DUMMYFUNCTION((TRANSPOSE(ImportHTML("http://spending.data.al/sq/moneypower/view/id/22/year/2012",  "table", 0)))),"*Kategoria*")</f>
        <v>*Kategoria*</v>
      </c>
      <c r="D50" t="s">
        <v>673</v>
      </c>
      <c r="E50" t="s">
        <v>674</v>
      </c>
      <c r="F50" t="s">
        <v>675</v>
      </c>
      <c r="G50" t="s">
        <v>676</v>
      </c>
      <c r="H50" t="s">
        <v>677</v>
      </c>
      <c r="I50" t="s">
        <v>678</v>
      </c>
      <c r="J50" t="s">
        <v>679</v>
      </c>
      <c r="K50" t="s">
        <v>680</v>
      </c>
      <c r="L50" t="s">
        <v>681</v>
      </c>
      <c r="M50" t="s">
        <v>682</v>
      </c>
      <c r="N50" t="s">
        <v>683</v>
      </c>
      <c r="O50" t="s">
        <v>684</v>
      </c>
      <c r="P50" t="s">
        <v>685</v>
      </c>
    </row>
    <row r="51" spans="2:16" ht="15">
      <c r="B51" s="11"/>
      <c r="C51" t="s">
        <v>686</v>
      </c>
      <c r="D51" t="s">
        <v>3010</v>
      </c>
      <c r="E51" t="s">
        <v>3011</v>
      </c>
      <c r="F51" t="s">
        <v>688</v>
      </c>
      <c r="G51" t="s">
        <v>688</v>
      </c>
      <c r="H51" t="s">
        <v>688</v>
      </c>
      <c r="I51" t="s">
        <v>688</v>
      </c>
      <c r="J51" t="s">
        <v>688</v>
      </c>
      <c r="K51" t="s">
        <v>688</v>
      </c>
      <c r="L51" t="s">
        <v>688</v>
      </c>
      <c r="M51" t="s">
        <v>3012</v>
      </c>
      <c r="N51" t="s">
        <v>688</v>
      </c>
      <c r="O51" s="13">
        <v>1.25</v>
      </c>
      <c r="P51" t="s">
        <v>3013</v>
      </c>
    </row>
    <row r="52" spans="2:16" ht="15">
      <c r="B52" s="9">
        <v>23</v>
      </c>
      <c r="C52" t="str">
        <f ca="1">IFERROR(__xludf.DUMMYFUNCTION((TRANSPOSE(ImportHTML("http://spending.data.al/sq/moneypower/view/id/23/year/2012",  "table", 0)))),"*Kategoria*")</f>
        <v>*Kategoria*</v>
      </c>
      <c r="D52" t="s">
        <v>673</v>
      </c>
      <c r="E52" t="s">
        <v>674</v>
      </c>
      <c r="F52" t="s">
        <v>675</v>
      </c>
      <c r="G52" t="s">
        <v>676</v>
      </c>
      <c r="H52" t="s">
        <v>677</v>
      </c>
      <c r="I52" t="s">
        <v>678</v>
      </c>
      <c r="J52" t="s">
        <v>679</v>
      </c>
      <c r="K52" t="s">
        <v>680</v>
      </c>
      <c r="L52" t="s">
        <v>681</v>
      </c>
      <c r="M52" t="s">
        <v>682</v>
      </c>
      <c r="N52" t="s">
        <v>683</v>
      </c>
      <c r="O52" t="s">
        <v>684</v>
      </c>
      <c r="P52" t="s">
        <v>685</v>
      </c>
    </row>
    <row r="53" spans="2:16" ht="15">
      <c r="B53" s="11"/>
      <c r="C53" t="s">
        <v>686</v>
      </c>
      <c r="D53" t="s">
        <v>3014</v>
      </c>
      <c r="E53" t="s">
        <v>3015</v>
      </c>
      <c r="F53" t="s">
        <v>826</v>
      </c>
      <c r="G53" t="s">
        <v>688</v>
      </c>
      <c r="H53" t="s">
        <v>688</v>
      </c>
      <c r="I53" t="s">
        <v>688</v>
      </c>
      <c r="J53" t="s">
        <v>688</v>
      </c>
      <c r="K53" t="s">
        <v>688</v>
      </c>
      <c r="L53" t="s">
        <v>688</v>
      </c>
      <c r="M53" t="s">
        <v>688</v>
      </c>
      <c r="N53" t="s">
        <v>688</v>
      </c>
      <c r="O53" s="13">
        <v>3.98</v>
      </c>
      <c r="P53" t="s">
        <v>707</v>
      </c>
    </row>
    <row r="54" spans="2:16" ht="15">
      <c r="B54" s="9">
        <v>24</v>
      </c>
      <c r="C54" t="str">
        <f ca="1">IFERROR(__xludf.DUMMYFUNCTION((TRANSPOSE(ImportHTML("http://spending.data.al/sq/moneypower/view/id/24/year/2012",  "table", 0)))),"*Kategoria*")</f>
        <v>*Kategoria*</v>
      </c>
      <c r="D54" t="s">
        <v>673</v>
      </c>
      <c r="E54" t="s">
        <v>674</v>
      </c>
      <c r="F54" t="s">
        <v>675</v>
      </c>
      <c r="G54" t="s">
        <v>676</v>
      </c>
      <c r="H54" t="s">
        <v>677</v>
      </c>
      <c r="I54" t="s">
        <v>678</v>
      </c>
      <c r="J54" t="s">
        <v>679</v>
      </c>
      <c r="K54" t="s">
        <v>680</v>
      </c>
      <c r="L54" t="s">
        <v>681</v>
      </c>
      <c r="M54" t="s">
        <v>682</v>
      </c>
      <c r="N54" t="s">
        <v>683</v>
      </c>
      <c r="O54" t="s">
        <v>684</v>
      </c>
      <c r="P54" t="s">
        <v>685</v>
      </c>
    </row>
    <row r="55" spans="2:16" ht="15">
      <c r="B55" s="11"/>
      <c r="C55" t="s">
        <v>686</v>
      </c>
      <c r="D55" t="s">
        <v>3016</v>
      </c>
      <c r="E55" t="s">
        <v>3017</v>
      </c>
      <c r="F55" t="s">
        <v>688</v>
      </c>
      <c r="G55" t="s">
        <v>3018</v>
      </c>
      <c r="H55" t="s">
        <v>688</v>
      </c>
      <c r="I55" t="s">
        <v>688</v>
      </c>
      <c r="J55" t="s">
        <v>688</v>
      </c>
      <c r="K55" t="s">
        <v>688</v>
      </c>
      <c r="L55" t="s">
        <v>688</v>
      </c>
      <c r="M55" t="s">
        <v>688</v>
      </c>
      <c r="N55" t="s">
        <v>688</v>
      </c>
      <c r="O55" s="13">
        <v>1.71</v>
      </c>
      <c r="P55" t="s">
        <v>707</v>
      </c>
    </row>
    <row r="56" spans="2:16" ht="15">
      <c r="B56" s="9">
        <v>25</v>
      </c>
      <c r="C56" t="str">
        <f ca="1">IFERROR(__xludf.DUMMYFUNCTION((TRANSPOSE(ImportHTML("http://spending.data.al/sq/moneypower/view/id/25/year/2012",  "table", 0)))),"*Kategoria*")</f>
        <v>*Kategoria*</v>
      </c>
      <c r="D56" t="s">
        <v>673</v>
      </c>
      <c r="E56" t="s">
        <v>674</v>
      </c>
      <c r="F56" t="s">
        <v>675</v>
      </c>
      <c r="G56" t="s">
        <v>676</v>
      </c>
      <c r="H56" t="s">
        <v>677</v>
      </c>
      <c r="I56" t="s">
        <v>678</v>
      </c>
      <c r="J56" t="s">
        <v>679</v>
      </c>
      <c r="K56" t="s">
        <v>680</v>
      </c>
      <c r="L56" t="s">
        <v>681</v>
      </c>
      <c r="M56" t="s">
        <v>682</v>
      </c>
      <c r="N56" t="s">
        <v>683</v>
      </c>
      <c r="O56" t="s">
        <v>684</v>
      </c>
      <c r="P56" t="s">
        <v>685</v>
      </c>
    </row>
    <row r="57" spans="2:16" ht="15">
      <c r="B57" s="11"/>
      <c r="C57" t="s">
        <v>686</v>
      </c>
      <c r="D57" t="s">
        <v>691</v>
      </c>
      <c r="E57" t="s">
        <v>692</v>
      </c>
      <c r="F57" t="s">
        <v>693</v>
      </c>
      <c r="G57" t="s">
        <v>688</v>
      </c>
      <c r="H57" t="s">
        <v>688</v>
      </c>
      <c r="I57" t="s">
        <v>688</v>
      </c>
      <c r="J57" t="s">
        <v>688</v>
      </c>
      <c r="K57" t="s">
        <v>688</v>
      </c>
      <c r="L57" t="s">
        <v>688</v>
      </c>
      <c r="M57" t="s">
        <v>694</v>
      </c>
      <c r="N57" t="s">
        <v>688</v>
      </c>
      <c r="O57" s="13">
        <v>1.63</v>
      </c>
      <c r="P57" t="s">
        <v>688</v>
      </c>
    </row>
    <row r="58" spans="2:16" ht="15">
      <c r="B58" s="9">
        <v>26</v>
      </c>
      <c r="C58" t="str">
        <f ca="1">IFERROR(__xludf.DUMMYFUNCTION((TRANSPOSE(ImportHTML("http://spending.data.al/sq/moneypower/view/id/26/year/2012",  "table", 0)))),"*Kategoria*")</f>
        <v>*Kategoria*</v>
      </c>
      <c r="D58" t="s">
        <v>673</v>
      </c>
      <c r="E58" t="s">
        <v>674</v>
      </c>
      <c r="F58" t="s">
        <v>675</v>
      </c>
      <c r="G58" t="s">
        <v>676</v>
      </c>
      <c r="H58" t="s">
        <v>677</v>
      </c>
      <c r="I58" t="s">
        <v>678</v>
      </c>
      <c r="J58" t="s">
        <v>679</v>
      </c>
      <c r="K58" t="s">
        <v>680</v>
      </c>
      <c r="L58" t="s">
        <v>681</v>
      </c>
      <c r="M58" t="s">
        <v>682</v>
      </c>
      <c r="N58" t="s">
        <v>683</v>
      </c>
      <c r="O58" t="s">
        <v>684</v>
      </c>
      <c r="P58" t="s">
        <v>685</v>
      </c>
    </row>
    <row r="59" spans="2:16" ht="15">
      <c r="B59" s="11"/>
      <c r="C59" t="s">
        <v>686</v>
      </c>
      <c r="D59" t="s">
        <v>3019</v>
      </c>
      <c r="E59" t="s">
        <v>688</v>
      </c>
      <c r="F59" t="s">
        <v>696</v>
      </c>
      <c r="G59" t="s">
        <v>688</v>
      </c>
      <c r="H59" t="s">
        <v>688</v>
      </c>
      <c r="I59" t="s">
        <v>688</v>
      </c>
      <c r="J59" t="s">
        <v>688</v>
      </c>
      <c r="K59" t="s">
        <v>688</v>
      </c>
      <c r="L59" t="s">
        <v>688</v>
      </c>
      <c r="M59" t="s">
        <v>3020</v>
      </c>
      <c r="N59" t="s">
        <v>688</v>
      </c>
      <c r="O59" s="13">
        <v>1.2</v>
      </c>
      <c r="P59" t="s">
        <v>688</v>
      </c>
    </row>
    <row r="60" spans="2:16" ht="15">
      <c r="B60" s="9">
        <v>27</v>
      </c>
      <c r="C60" t="str">
        <f ca="1">IFERROR(__xludf.DUMMYFUNCTION((TRANSPOSE(ImportHTML("http://spending.data.al/sq/moneypower/view/id/27/year/2012",  "table", 0)))),"*Kategoria*")</f>
        <v>*Kategoria*</v>
      </c>
      <c r="D60" t="s">
        <v>673</v>
      </c>
      <c r="E60" t="s">
        <v>674</v>
      </c>
      <c r="F60" t="s">
        <v>675</v>
      </c>
      <c r="G60" t="s">
        <v>676</v>
      </c>
      <c r="H60" t="s">
        <v>677</v>
      </c>
      <c r="I60" t="s">
        <v>678</v>
      </c>
      <c r="J60" t="s">
        <v>679</v>
      </c>
      <c r="K60" t="s">
        <v>680</v>
      </c>
      <c r="L60" t="s">
        <v>681</v>
      </c>
      <c r="M60" t="s">
        <v>682</v>
      </c>
      <c r="N60" t="s">
        <v>683</v>
      </c>
      <c r="O60" t="s">
        <v>684</v>
      </c>
      <c r="P60" t="s">
        <v>685</v>
      </c>
    </row>
    <row r="61" spans="2:16" ht="15">
      <c r="B61" s="11"/>
      <c r="C61" t="s">
        <v>686</v>
      </c>
      <c r="D61" t="s">
        <v>3021</v>
      </c>
      <c r="E61" t="s">
        <v>688</v>
      </c>
      <c r="F61" t="s">
        <v>3022</v>
      </c>
      <c r="G61" t="s">
        <v>688</v>
      </c>
      <c r="H61" t="s">
        <v>688</v>
      </c>
      <c r="I61" t="s">
        <v>688</v>
      </c>
      <c r="J61" t="s">
        <v>688</v>
      </c>
      <c r="K61" t="s">
        <v>688</v>
      </c>
      <c r="L61" t="s">
        <v>688</v>
      </c>
      <c r="M61" t="s">
        <v>3023</v>
      </c>
      <c r="N61" t="s">
        <v>688</v>
      </c>
      <c r="O61" s="13">
        <v>1.19</v>
      </c>
      <c r="P61" t="s">
        <v>688</v>
      </c>
    </row>
    <row r="62" spans="2:16" ht="15">
      <c r="B62" s="9">
        <v>28</v>
      </c>
      <c r="C62" t="str">
        <f ca="1">IFERROR(__xludf.DUMMYFUNCTION((TRANSPOSE(ImportHTML("http://spending.data.al/sq/moneypower/view/id/28/year/2012",  "table", 0)))),"*Emër Subjekti*")</f>
        <v>*Emër Subjekti*</v>
      </c>
      <c r="D62" t="s">
        <v>698</v>
      </c>
      <c r="E62" t="s">
        <v>699</v>
      </c>
      <c r="F62" t="s">
        <v>700</v>
      </c>
      <c r="G62" t="s">
        <v>701</v>
      </c>
      <c r="H62" t="s">
        <v>702</v>
      </c>
    </row>
    <row r="63" spans="2:16" ht="15">
      <c r="B63" s="11"/>
    </row>
    <row r="64" spans="2:16" ht="15">
      <c r="B64" s="11"/>
      <c r="C64" t="s">
        <v>1912</v>
      </c>
      <c r="D64" t="s">
        <v>1913</v>
      </c>
      <c r="E64" t="s">
        <v>705</v>
      </c>
      <c r="F64" t="s">
        <v>1914</v>
      </c>
      <c r="G64" t="s">
        <v>707</v>
      </c>
      <c r="H64" t="s">
        <v>707</v>
      </c>
    </row>
    <row r="65" spans="2:16" ht="15">
      <c r="B65" s="9">
        <v>29</v>
      </c>
      <c r="C65" t="str">
        <f ca="1">IFERROR(__xludf.DUMMYFUNCTION((TRANSPOSE(ImportHTML("http://spending.data.al/sq/moneypower/view/id/29/year/2012",  "table", 0)))),"*Kategoria*")</f>
        <v>*Kategoria*</v>
      </c>
      <c r="D65" t="s">
        <v>673</v>
      </c>
      <c r="E65" t="s">
        <v>674</v>
      </c>
      <c r="F65" t="s">
        <v>675</v>
      </c>
      <c r="G65" t="s">
        <v>676</v>
      </c>
      <c r="H65" t="s">
        <v>677</v>
      </c>
      <c r="I65" t="s">
        <v>678</v>
      </c>
      <c r="J65" t="s">
        <v>679</v>
      </c>
      <c r="K65" t="s">
        <v>680</v>
      </c>
      <c r="L65" t="s">
        <v>681</v>
      </c>
      <c r="M65" t="s">
        <v>682</v>
      </c>
      <c r="N65" t="s">
        <v>683</v>
      </c>
      <c r="O65" t="s">
        <v>684</v>
      </c>
      <c r="P65" t="s">
        <v>685</v>
      </c>
    </row>
    <row r="66" spans="2:16" ht="15">
      <c r="B66" s="11"/>
      <c r="C66" t="s">
        <v>686</v>
      </c>
      <c r="D66" t="s">
        <v>3024</v>
      </c>
      <c r="E66" t="s">
        <v>688</v>
      </c>
      <c r="F66" t="s">
        <v>688</v>
      </c>
      <c r="G66" t="s">
        <v>688</v>
      </c>
      <c r="H66" t="s">
        <v>3025</v>
      </c>
      <c r="I66" t="s">
        <v>688</v>
      </c>
      <c r="J66" t="s">
        <v>688</v>
      </c>
      <c r="K66" t="s">
        <v>688</v>
      </c>
      <c r="L66" t="s">
        <v>688</v>
      </c>
      <c r="M66" t="s">
        <v>839</v>
      </c>
      <c r="N66" t="s">
        <v>688</v>
      </c>
      <c r="O66" s="13">
        <v>7.71</v>
      </c>
      <c r="P66" t="s">
        <v>688</v>
      </c>
    </row>
    <row r="67" spans="2:16" ht="15">
      <c r="B67" s="9">
        <v>30</v>
      </c>
      <c r="C67" t="str">
        <f ca="1">IFERROR(__xludf.DUMMYFUNCTION((TRANSPOSE(ImportHTML("http://spending.data.al/sq/moneypower/view/id/30/year/2012",  "table", 0)))),"*Kategoria*")</f>
        <v>*Kategoria*</v>
      </c>
      <c r="D67" t="s">
        <v>673</v>
      </c>
      <c r="E67" t="s">
        <v>674</v>
      </c>
      <c r="F67" t="s">
        <v>675</v>
      </c>
      <c r="G67" t="s">
        <v>676</v>
      </c>
      <c r="H67" t="s">
        <v>677</v>
      </c>
      <c r="I67" t="s">
        <v>678</v>
      </c>
      <c r="J67" t="s">
        <v>679</v>
      </c>
      <c r="K67" t="s">
        <v>680</v>
      </c>
      <c r="L67" t="s">
        <v>681</v>
      </c>
      <c r="M67" t="s">
        <v>682</v>
      </c>
      <c r="N67" t="s">
        <v>683</v>
      </c>
      <c r="O67" t="s">
        <v>684</v>
      </c>
      <c r="P67" t="s">
        <v>685</v>
      </c>
    </row>
    <row r="68" spans="2:16" ht="15">
      <c r="B68" s="11"/>
      <c r="C68" t="s">
        <v>686</v>
      </c>
      <c r="D68" t="s">
        <v>3026</v>
      </c>
      <c r="E68" t="s">
        <v>688</v>
      </c>
      <c r="F68" t="s">
        <v>696</v>
      </c>
      <c r="G68" t="s">
        <v>688</v>
      </c>
      <c r="H68" t="s">
        <v>688</v>
      </c>
      <c r="I68" t="s">
        <v>688</v>
      </c>
      <c r="J68" t="s">
        <v>688</v>
      </c>
      <c r="K68" t="s">
        <v>688</v>
      </c>
      <c r="L68" t="s">
        <v>688</v>
      </c>
      <c r="M68" t="s">
        <v>688</v>
      </c>
      <c r="N68" t="s">
        <v>688</v>
      </c>
      <c r="O68" s="13">
        <v>1.1100000000000001</v>
      </c>
      <c r="P68" t="s">
        <v>688</v>
      </c>
    </row>
    <row r="69" spans="2:16" ht="15">
      <c r="B69" s="9">
        <v>31</v>
      </c>
      <c r="C69" t="str">
        <f ca="1">IFERROR(__xludf.DUMMYFUNCTION((TRANSPOSE(ImportHTML("http://spending.data.al/sq/moneypower/view/id/31/year/2012",  "table", 0)))),"*Kategoria*")</f>
        <v>*Kategoria*</v>
      </c>
      <c r="D69" t="s">
        <v>673</v>
      </c>
      <c r="E69" t="s">
        <v>674</v>
      </c>
      <c r="F69" t="s">
        <v>675</v>
      </c>
      <c r="G69" t="s">
        <v>676</v>
      </c>
      <c r="H69" t="s">
        <v>677</v>
      </c>
      <c r="I69" t="s">
        <v>678</v>
      </c>
      <c r="J69" t="s">
        <v>679</v>
      </c>
      <c r="K69" t="s">
        <v>680</v>
      </c>
      <c r="L69" t="s">
        <v>681</v>
      </c>
      <c r="M69" t="s">
        <v>682</v>
      </c>
      <c r="N69" t="s">
        <v>683</v>
      </c>
      <c r="O69" t="s">
        <v>684</v>
      </c>
      <c r="P69" t="s">
        <v>685</v>
      </c>
    </row>
    <row r="70" spans="2:16" ht="15">
      <c r="B70" s="11"/>
      <c r="C70" t="s">
        <v>686</v>
      </c>
      <c r="D70" t="s">
        <v>3027</v>
      </c>
      <c r="E70" t="s">
        <v>688</v>
      </c>
      <c r="F70" t="s">
        <v>688</v>
      </c>
      <c r="G70" t="s">
        <v>688</v>
      </c>
      <c r="H70" t="s">
        <v>688</v>
      </c>
      <c r="I70" t="s">
        <v>688</v>
      </c>
      <c r="J70" t="s">
        <v>688</v>
      </c>
      <c r="K70" t="s">
        <v>688</v>
      </c>
      <c r="L70" t="s">
        <v>688</v>
      </c>
      <c r="M70" t="s">
        <v>3028</v>
      </c>
      <c r="N70" t="s">
        <v>688</v>
      </c>
      <c r="O70" s="13">
        <v>1</v>
      </c>
      <c r="P70" t="s">
        <v>688</v>
      </c>
    </row>
    <row r="71" spans="2:16" ht="15">
      <c r="B71" s="9">
        <v>32</v>
      </c>
      <c r="C71" t="str">
        <f ca="1">IFERROR(__xludf.DUMMYFUNCTION((TRANSPOSE(ImportHTML("http://spending.data.al/sq/moneypower/view/id/32/year/2012",  "table", 0)))),"*Kategoria*")</f>
        <v>*Kategoria*</v>
      </c>
      <c r="D71" t="s">
        <v>673</v>
      </c>
      <c r="E71" t="s">
        <v>674</v>
      </c>
      <c r="F71" t="s">
        <v>675</v>
      </c>
      <c r="G71" t="s">
        <v>676</v>
      </c>
      <c r="H71" t="s">
        <v>677</v>
      </c>
      <c r="I71" t="s">
        <v>678</v>
      </c>
      <c r="J71" t="s">
        <v>679</v>
      </c>
      <c r="K71" t="s">
        <v>680</v>
      </c>
      <c r="L71" t="s">
        <v>681</v>
      </c>
      <c r="M71" t="s">
        <v>682</v>
      </c>
      <c r="N71" t="s">
        <v>683</v>
      </c>
      <c r="O71" t="s">
        <v>684</v>
      </c>
      <c r="P71" t="s">
        <v>685</v>
      </c>
    </row>
    <row r="72" spans="2:16" ht="15">
      <c r="B72" s="11"/>
      <c r="C72" t="s">
        <v>686</v>
      </c>
      <c r="D72" t="s">
        <v>3029</v>
      </c>
      <c r="E72" t="s">
        <v>688</v>
      </c>
      <c r="F72" t="s">
        <v>696</v>
      </c>
      <c r="G72" t="s">
        <v>688</v>
      </c>
      <c r="H72" t="s">
        <v>688</v>
      </c>
      <c r="I72" t="s">
        <v>688</v>
      </c>
      <c r="J72" t="s">
        <v>688</v>
      </c>
      <c r="K72" t="s">
        <v>688</v>
      </c>
      <c r="L72" t="s">
        <v>688</v>
      </c>
      <c r="M72" t="s">
        <v>688</v>
      </c>
      <c r="N72" t="s">
        <v>688</v>
      </c>
      <c r="O72" s="13">
        <v>1.1200000000000001</v>
      </c>
      <c r="P72" t="s">
        <v>688</v>
      </c>
    </row>
    <row r="73" spans="2:16" ht="15">
      <c r="B73" s="9">
        <v>33</v>
      </c>
      <c r="C73" t="str">
        <f ca="1">IFERROR(__xludf.DUMMYFUNCTION((TRANSPOSE(ImportHTML("http://spending.data.al/sq/moneypower/view/id/33/year/2012",  "table", 0)))),"*Emër Subjekti*")</f>
        <v>*Emër Subjekti*</v>
      </c>
      <c r="D73" t="s">
        <v>700</v>
      </c>
      <c r="E73" t="s">
        <v>701</v>
      </c>
      <c r="F73" t="s">
        <v>702</v>
      </c>
    </row>
    <row r="74" spans="2:16" ht="15">
      <c r="B74" s="9"/>
    </row>
    <row r="75" spans="2:16" ht="15">
      <c r="B75" s="11"/>
      <c r="D75" t="s">
        <v>707</v>
      </c>
      <c r="E75" t="s">
        <v>707</v>
      </c>
      <c r="F75" t="s">
        <v>707</v>
      </c>
    </row>
    <row r="76" spans="2:16" ht="15">
      <c r="B76" s="9">
        <v>34</v>
      </c>
      <c r="C76" t="str">
        <f ca="1">IFERROR(__xludf.DUMMYFUNCTION((TRANSPOSE(ImportHTML("http://spending.data.al/sq/moneypower/view/id/34/year/2012",  "table", 0)))),"*Kategoria*")</f>
        <v>*Kategoria*</v>
      </c>
      <c r="D76" t="s">
        <v>673</v>
      </c>
      <c r="E76" t="s">
        <v>674</v>
      </c>
      <c r="F76" t="s">
        <v>675</v>
      </c>
      <c r="G76" t="s">
        <v>676</v>
      </c>
      <c r="H76" t="s">
        <v>677</v>
      </c>
      <c r="I76" t="s">
        <v>678</v>
      </c>
      <c r="J76" t="s">
        <v>679</v>
      </c>
      <c r="K76" t="s">
        <v>680</v>
      </c>
      <c r="L76" t="s">
        <v>681</v>
      </c>
      <c r="M76" t="s">
        <v>682</v>
      </c>
      <c r="N76" t="s">
        <v>683</v>
      </c>
      <c r="O76" t="s">
        <v>684</v>
      </c>
      <c r="P76" t="s">
        <v>685</v>
      </c>
    </row>
    <row r="77" spans="2:16" ht="15">
      <c r="B77" s="11"/>
      <c r="C77" t="s">
        <v>686</v>
      </c>
      <c r="D77" t="s">
        <v>3030</v>
      </c>
      <c r="E77" t="s">
        <v>688</v>
      </c>
      <c r="F77" t="s">
        <v>688</v>
      </c>
      <c r="G77" t="s">
        <v>688</v>
      </c>
      <c r="H77" t="s">
        <v>688</v>
      </c>
      <c r="I77" t="s">
        <v>688</v>
      </c>
      <c r="J77" t="s">
        <v>688</v>
      </c>
      <c r="K77" t="s">
        <v>688</v>
      </c>
      <c r="L77" t="s">
        <v>688</v>
      </c>
      <c r="M77" t="s">
        <v>3031</v>
      </c>
      <c r="N77" t="s">
        <v>688</v>
      </c>
      <c r="O77" s="13">
        <v>1</v>
      </c>
      <c r="P77" t="s">
        <v>3032</v>
      </c>
    </row>
    <row r="78" spans="2:16" ht="15">
      <c r="B78" s="9">
        <v>35</v>
      </c>
      <c r="C78" t="str">
        <f ca="1">IFERROR(__xludf.DUMMYFUNCTION((TRANSPOSE(ImportHTML("http://spending.data.al/sq/moneypower/view/id/35/year/2012",  "table", 0)))),"*Kategoria*")</f>
        <v>*Kategoria*</v>
      </c>
      <c r="D78" t="s">
        <v>673</v>
      </c>
      <c r="E78" t="s">
        <v>674</v>
      </c>
      <c r="F78" t="s">
        <v>675</v>
      </c>
      <c r="G78" t="s">
        <v>676</v>
      </c>
      <c r="H78" t="s">
        <v>677</v>
      </c>
      <c r="I78" t="s">
        <v>678</v>
      </c>
      <c r="J78" t="s">
        <v>679</v>
      </c>
      <c r="K78" t="s">
        <v>680</v>
      </c>
      <c r="L78" t="s">
        <v>681</v>
      </c>
      <c r="M78" t="s">
        <v>682</v>
      </c>
      <c r="N78" t="s">
        <v>683</v>
      </c>
      <c r="O78" t="s">
        <v>684</v>
      </c>
      <c r="P78" t="s">
        <v>685</v>
      </c>
    </row>
    <row r="79" spans="2:16" ht="15">
      <c r="B79" s="11"/>
      <c r="C79" t="s">
        <v>686</v>
      </c>
      <c r="D79" t="s">
        <v>3033</v>
      </c>
      <c r="E79" t="s">
        <v>688</v>
      </c>
      <c r="F79" t="s">
        <v>696</v>
      </c>
      <c r="G79" t="s">
        <v>688</v>
      </c>
      <c r="H79" t="s">
        <v>688</v>
      </c>
      <c r="I79" t="s">
        <v>688</v>
      </c>
      <c r="J79" t="s">
        <v>688</v>
      </c>
      <c r="K79" t="s">
        <v>688</v>
      </c>
      <c r="L79" t="s">
        <v>688</v>
      </c>
      <c r="M79" t="s">
        <v>688</v>
      </c>
      <c r="N79" t="s">
        <v>688</v>
      </c>
      <c r="O79" s="13">
        <v>1.1599999999999999</v>
      </c>
      <c r="P79" t="s">
        <v>688</v>
      </c>
    </row>
    <row r="80" spans="2:16" ht="15">
      <c r="B80" s="9">
        <v>36</v>
      </c>
      <c r="C80" t="str">
        <f ca="1">IFERROR(__xludf.DUMMYFUNCTION((TRANSPOSE(ImportHTML("http://spending.data.al/sq/moneypower/view/id/36/year/2012",  "table", 0)))),"*Kategoria*")</f>
        <v>*Kategoria*</v>
      </c>
      <c r="D80" t="s">
        <v>673</v>
      </c>
      <c r="E80" t="s">
        <v>674</v>
      </c>
      <c r="F80" t="s">
        <v>675</v>
      </c>
      <c r="G80" t="s">
        <v>676</v>
      </c>
      <c r="H80" t="s">
        <v>677</v>
      </c>
      <c r="I80" t="s">
        <v>678</v>
      </c>
      <c r="J80" t="s">
        <v>679</v>
      </c>
      <c r="K80" t="s">
        <v>680</v>
      </c>
      <c r="L80" t="s">
        <v>681</v>
      </c>
      <c r="M80" t="s">
        <v>682</v>
      </c>
      <c r="N80" t="s">
        <v>683</v>
      </c>
      <c r="O80" t="s">
        <v>684</v>
      </c>
      <c r="P80" t="s">
        <v>685</v>
      </c>
    </row>
    <row r="81" spans="2:16" ht="15">
      <c r="B81" s="11"/>
      <c r="C81" t="s">
        <v>686</v>
      </c>
      <c r="D81" t="s">
        <v>3034</v>
      </c>
      <c r="E81" t="s">
        <v>688</v>
      </c>
      <c r="F81" t="s">
        <v>3035</v>
      </c>
      <c r="G81" t="s">
        <v>688</v>
      </c>
      <c r="H81" t="s">
        <v>3036</v>
      </c>
      <c r="I81" t="s">
        <v>3037</v>
      </c>
      <c r="J81" t="s">
        <v>688</v>
      </c>
      <c r="K81" t="s">
        <v>688</v>
      </c>
      <c r="L81" t="s">
        <v>688</v>
      </c>
      <c r="M81" t="s">
        <v>688</v>
      </c>
      <c r="N81" t="s">
        <v>688</v>
      </c>
      <c r="O81" s="13">
        <v>8.7100000000000009</v>
      </c>
      <c r="P81" t="s">
        <v>3038</v>
      </c>
    </row>
    <row r="82" spans="2:16" ht="15">
      <c r="B82" s="9">
        <v>37</v>
      </c>
      <c r="C82" t="str">
        <f ca="1">IFERROR(__xludf.DUMMYFUNCTION((TRANSPOSE(ImportHTML("http://spending.data.al/sq/moneypower/view/id/37/year/2012",  "table", 0)))),"*Kategoria*")</f>
        <v>*Kategoria*</v>
      </c>
      <c r="D82" t="s">
        <v>673</v>
      </c>
      <c r="E82" t="s">
        <v>674</v>
      </c>
      <c r="F82" t="s">
        <v>675</v>
      </c>
      <c r="G82" t="s">
        <v>676</v>
      </c>
      <c r="H82" t="s">
        <v>677</v>
      </c>
      <c r="I82" t="s">
        <v>678</v>
      </c>
      <c r="J82" t="s">
        <v>679</v>
      </c>
      <c r="K82" t="s">
        <v>680</v>
      </c>
      <c r="L82" t="s">
        <v>681</v>
      </c>
      <c r="M82" t="s">
        <v>682</v>
      </c>
      <c r="N82" t="s">
        <v>683</v>
      </c>
      <c r="O82" t="s">
        <v>684</v>
      </c>
      <c r="P82" t="s">
        <v>685</v>
      </c>
    </row>
    <row r="83" spans="2:16" ht="15">
      <c r="B83" s="11"/>
      <c r="C83" t="s">
        <v>686</v>
      </c>
      <c r="D83" t="s">
        <v>3039</v>
      </c>
      <c r="E83" t="s">
        <v>688</v>
      </c>
      <c r="F83" t="s">
        <v>3040</v>
      </c>
      <c r="G83" t="s">
        <v>688</v>
      </c>
      <c r="H83" t="s">
        <v>688</v>
      </c>
      <c r="I83" t="s">
        <v>688</v>
      </c>
      <c r="J83" t="s">
        <v>688</v>
      </c>
      <c r="K83" t="s">
        <v>688</v>
      </c>
      <c r="L83" t="s">
        <v>688</v>
      </c>
      <c r="M83" t="s">
        <v>3041</v>
      </c>
      <c r="N83" t="s">
        <v>688</v>
      </c>
      <c r="O83" s="13">
        <v>1.2</v>
      </c>
      <c r="P83" t="s">
        <v>688</v>
      </c>
    </row>
    <row r="84" spans="2:16" ht="15">
      <c r="B84" s="9">
        <v>38</v>
      </c>
      <c r="C84" t="str">
        <f ca="1">IFERROR(__xludf.DUMMYFUNCTION((TRANSPOSE(ImportHTML("http://spending.data.al/sq/moneypower/view/id/38/year/2012",  "table", 0)))),"*Kategoria*")</f>
        <v>*Kategoria*</v>
      </c>
      <c r="D84" t="s">
        <v>673</v>
      </c>
      <c r="E84" t="s">
        <v>674</v>
      </c>
      <c r="F84" t="s">
        <v>675</v>
      </c>
      <c r="G84" t="s">
        <v>676</v>
      </c>
      <c r="H84" t="s">
        <v>677</v>
      </c>
      <c r="I84" t="s">
        <v>678</v>
      </c>
      <c r="J84" t="s">
        <v>679</v>
      </c>
      <c r="K84" t="s">
        <v>680</v>
      </c>
      <c r="L84" t="s">
        <v>681</v>
      </c>
      <c r="M84" t="s">
        <v>682</v>
      </c>
      <c r="N84" t="s">
        <v>683</v>
      </c>
      <c r="O84" t="s">
        <v>684</v>
      </c>
      <c r="P84" t="s">
        <v>685</v>
      </c>
    </row>
    <row r="85" spans="2:16" ht="15">
      <c r="B85" s="11"/>
      <c r="C85" t="s">
        <v>686</v>
      </c>
      <c r="D85" t="s">
        <v>3042</v>
      </c>
      <c r="E85" t="s">
        <v>688</v>
      </c>
      <c r="F85" t="s">
        <v>3043</v>
      </c>
      <c r="G85" t="s">
        <v>688</v>
      </c>
      <c r="H85" t="s">
        <v>688</v>
      </c>
      <c r="I85" t="s">
        <v>688</v>
      </c>
      <c r="J85" t="s">
        <v>688</v>
      </c>
      <c r="K85" t="s">
        <v>688</v>
      </c>
      <c r="L85" t="s">
        <v>688</v>
      </c>
      <c r="M85" t="s">
        <v>688</v>
      </c>
      <c r="N85" t="s">
        <v>688</v>
      </c>
      <c r="O85" s="13">
        <v>1.1499999999999999</v>
      </c>
      <c r="P85" t="s">
        <v>688</v>
      </c>
    </row>
    <row r="86" spans="2:16" ht="15">
      <c r="B86" s="9">
        <v>39</v>
      </c>
      <c r="C86" t="str">
        <f ca="1">IFERROR(__xludf.DUMMYFUNCTION((TRANSPOSE(ImportHTML("http://spending.data.al/sq/moneypower/view/id/39/year/2012",  "table", 0)))),"*Kategoria*")</f>
        <v>*Kategoria*</v>
      </c>
      <c r="D86" t="s">
        <v>673</v>
      </c>
      <c r="E86" t="s">
        <v>674</v>
      </c>
      <c r="F86" t="s">
        <v>675</v>
      </c>
      <c r="G86" t="s">
        <v>676</v>
      </c>
      <c r="H86" t="s">
        <v>677</v>
      </c>
      <c r="I86" t="s">
        <v>678</v>
      </c>
      <c r="J86" t="s">
        <v>679</v>
      </c>
      <c r="K86" t="s">
        <v>680</v>
      </c>
      <c r="L86" t="s">
        <v>681</v>
      </c>
      <c r="M86" t="s">
        <v>682</v>
      </c>
      <c r="N86" t="s">
        <v>683</v>
      </c>
      <c r="O86" t="s">
        <v>684</v>
      </c>
      <c r="P86" t="s">
        <v>685</v>
      </c>
    </row>
    <row r="87" spans="2:16" ht="15">
      <c r="B87" s="11"/>
      <c r="C87" t="s">
        <v>686</v>
      </c>
      <c r="D87" t="s">
        <v>3044</v>
      </c>
      <c r="E87" t="s">
        <v>688</v>
      </c>
      <c r="F87" t="s">
        <v>688</v>
      </c>
      <c r="G87" t="s">
        <v>688</v>
      </c>
      <c r="H87" t="s">
        <v>688</v>
      </c>
      <c r="I87" t="s">
        <v>688</v>
      </c>
      <c r="J87" t="s">
        <v>688</v>
      </c>
      <c r="K87" t="s">
        <v>688</v>
      </c>
      <c r="L87" t="s">
        <v>688</v>
      </c>
      <c r="M87" t="s">
        <v>3045</v>
      </c>
      <c r="N87" t="s">
        <v>688</v>
      </c>
      <c r="O87" s="13">
        <v>1</v>
      </c>
      <c r="P87" t="s">
        <v>688</v>
      </c>
    </row>
    <row r="88" spans="2:16" ht="15">
      <c r="B88" s="9">
        <v>40</v>
      </c>
      <c r="C88" t="str">
        <f ca="1">IFERROR(__xludf.DUMMYFUNCTION((TRANSPOSE(ImportHTML("http://spending.data.al/sq/moneypower/view/id/40/year/2012",  "table", 0)))),"*Kategoria*")</f>
        <v>*Kategoria*</v>
      </c>
      <c r="D88" t="s">
        <v>673</v>
      </c>
      <c r="E88" t="s">
        <v>674</v>
      </c>
      <c r="F88" t="s">
        <v>675</v>
      </c>
      <c r="G88" t="s">
        <v>676</v>
      </c>
      <c r="H88" t="s">
        <v>677</v>
      </c>
      <c r="I88" t="s">
        <v>678</v>
      </c>
      <c r="J88" t="s">
        <v>679</v>
      </c>
      <c r="K88" t="s">
        <v>680</v>
      </c>
      <c r="L88" t="s">
        <v>681</v>
      </c>
      <c r="M88" t="s">
        <v>682</v>
      </c>
      <c r="N88" t="s">
        <v>683</v>
      </c>
      <c r="O88" t="s">
        <v>684</v>
      </c>
      <c r="P88" t="s">
        <v>685</v>
      </c>
    </row>
    <row r="89" spans="2:16" ht="15">
      <c r="B89" s="11"/>
      <c r="C89" t="s">
        <v>686</v>
      </c>
      <c r="D89" t="s">
        <v>3046</v>
      </c>
      <c r="E89" t="s">
        <v>915</v>
      </c>
      <c r="F89" t="s">
        <v>696</v>
      </c>
      <c r="G89" t="s">
        <v>688</v>
      </c>
      <c r="H89" t="s">
        <v>688</v>
      </c>
      <c r="I89" t="s">
        <v>688</v>
      </c>
      <c r="J89" t="s">
        <v>688</v>
      </c>
      <c r="K89" t="s">
        <v>688</v>
      </c>
      <c r="L89" t="s">
        <v>688</v>
      </c>
      <c r="M89" t="s">
        <v>3047</v>
      </c>
      <c r="N89" t="s">
        <v>688</v>
      </c>
      <c r="O89" s="13">
        <v>1.81</v>
      </c>
      <c r="P89" t="s">
        <v>688</v>
      </c>
    </row>
    <row r="90" spans="2:16" ht="15">
      <c r="B90" s="9">
        <v>41</v>
      </c>
      <c r="C90" t="str">
        <f ca="1">IFERROR(__xludf.DUMMYFUNCTION((TRANSPOSE(ImportHTML("http://spending.data.al/sq/moneypower/view/id/41/year/2012",  "table", 0)))),"*Kategoria*")</f>
        <v>*Kategoria*</v>
      </c>
      <c r="D90" t="s">
        <v>673</v>
      </c>
      <c r="E90" t="s">
        <v>674</v>
      </c>
      <c r="F90" t="s">
        <v>675</v>
      </c>
      <c r="G90" t="s">
        <v>676</v>
      </c>
      <c r="H90" t="s">
        <v>677</v>
      </c>
      <c r="I90" t="s">
        <v>678</v>
      </c>
      <c r="J90" t="s">
        <v>679</v>
      </c>
      <c r="K90" t="s">
        <v>680</v>
      </c>
      <c r="L90" t="s">
        <v>681</v>
      </c>
      <c r="M90" t="s">
        <v>682</v>
      </c>
      <c r="N90" t="s">
        <v>683</v>
      </c>
      <c r="O90" t="s">
        <v>684</v>
      </c>
      <c r="P90" t="s">
        <v>685</v>
      </c>
    </row>
    <row r="91" spans="2:16" ht="15">
      <c r="B91" s="11"/>
      <c r="C91" t="s">
        <v>686</v>
      </c>
      <c r="D91" t="s">
        <v>3048</v>
      </c>
      <c r="E91" t="s">
        <v>688</v>
      </c>
      <c r="F91" t="s">
        <v>3049</v>
      </c>
      <c r="G91" t="s">
        <v>688</v>
      </c>
      <c r="H91" t="s">
        <v>3050</v>
      </c>
      <c r="I91" t="s">
        <v>873</v>
      </c>
      <c r="J91" t="s">
        <v>688</v>
      </c>
      <c r="K91" t="s">
        <v>688</v>
      </c>
      <c r="L91" t="s">
        <v>688</v>
      </c>
      <c r="M91" t="s">
        <v>688</v>
      </c>
      <c r="N91" t="s">
        <v>3051</v>
      </c>
      <c r="O91" s="13">
        <v>1.88</v>
      </c>
      <c r="P91" t="s">
        <v>688</v>
      </c>
    </row>
    <row r="92" spans="2:16" ht="15">
      <c r="B92" s="9">
        <v>42</v>
      </c>
      <c r="C92" t="str">
        <f ca="1">IFERROR(__xludf.DUMMYFUNCTION((TRANSPOSE(ImportHTML("http://spending.data.al/sq/moneypower/view/id/42/year/2012",  "table", 0)))),"*Kategoria*")</f>
        <v>*Kategoria*</v>
      </c>
      <c r="D92" t="s">
        <v>673</v>
      </c>
      <c r="E92" t="s">
        <v>674</v>
      </c>
      <c r="F92" t="s">
        <v>675</v>
      </c>
      <c r="G92" t="s">
        <v>676</v>
      </c>
      <c r="H92" t="s">
        <v>677</v>
      </c>
      <c r="I92" t="s">
        <v>678</v>
      </c>
      <c r="J92" t="s">
        <v>679</v>
      </c>
      <c r="K92" t="s">
        <v>680</v>
      </c>
      <c r="L92" t="s">
        <v>681</v>
      </c>
      <c r="M92" t="s">
        <v>682</v>
      </c>
      <c r="N92" t="s">
        <v>683</v>
      </c>
      <c r="O92" t="s">
        <v>684</v>
      </c>
      <c r="P92" t="s">
        <v>685</v>
      </c>
    </row>
    <row r="93" spans="2:16" ht="15">
      <c r="B93" s="11"/>
      <c r="C93" t="s">
        <v>686</v>
      </c>
      <c r="D93" t="s">
        <v>3052</v>
      </c>
      <c r="E93" t="s">
        <v>3053</v>
      </c>
      <c r="F93" t="s">
        <v>688</v>
      </c>
      <c r="G93" t="s">
        <v>3054</v>
      </c>
      <c r="H93" t="s">
        <v>688</v>
      </c>
      <c r="I93" t="s">
        <v>688</v>
      </c>
      <c r="J93" t="s">
        <v>688</v>
      </c>
      <c r="K93" t="s">
        <v>688</v>
      </c>
      <c r="L93" t="s">
        <v>688</v>
      </c>
      <c r="M93" t="s">
        <v>3055</v>
      </c>
      <c r="N93" t="s">
        <v>688</v>
      </c>
      <c r="O93" s="13">
        <v>1.93</v>
      </c>
      <c r="P93" t="s">
        <v>688</v>
      </c>
    </row>
    <row r="94" spans="2:16" ht="15">
      <c r="B94" s="9">
        <v>43</v>
      </c>
      <c r="C94" t="str">
        <f ca="1">IFERROR(__xludf.DUMMYFUNCTION((TRANSPOSE(ImportHTML("http://spending.data.al/sq/moneypower/view/id/43/year/2012",  "table", 0)))),"*Kategoria*")</f>
        <v>*Kategoria*</v>
      </c>
      <c r="D94" t="s">
        <v>673</v>
      </c>
      <c r="E94" t="s">
        <v>674</v>
      </c>
      <c r="F94" t="s">
        <v>675</v>
      </c>
      <c r="G94" t="s">
        <v>676</v>
      </c>
      <c r="H94" t="s">
        <v>677</v>
      </c>
      <c r="I94" t="s">
        <v>678</v>
      </c>
      <c r="J94" t="s">
        <v>679</v>
      </c>
      <c r="K94" t="s">
        <v>680</v>
      </c>
      <c r="L94" t="s">
        <v>681</v>
      </c>
      <c r="M94" t="s">
        <v>682</v>
      </c>
      <c r="N94" t="s">
        <v>683</v>
      </c>
      <c r="O94" t="s">
        <v>684</v>
      </c>
      <c r="P94" t="s">
        <v>685</v>
      </c>
    </row>
    <row r="95" spans="2:16" ht="15">
      <c r="B95" s="11"/>
      <c r="C95" t="s">
        <v>686</v>
      </c>
      <c r="D95" t="s">
        <v>3056</v>
      </c>
      <c r="E95" t="s">
        <v>3057</v>
      </c>
      <c r="F95" t="s">
        <v>688</v>
      </c>
      <c r="G95" t="s">
        <v>688</v>
      </c>
      <c r="H95" t="s">
        <v>3058</v>
      </c>
      <c r="I95" t="s">
        <v>688</v>
      </c>
      <c r="J95" t="s">
        <v>688</v>
      </c>
      <c r="K95" t="s">
        <v>688</v>
      </c>
      <c r="L95" t="s">
        <v>688</v>
      </c>
      <c r="M95" t="s">
        <v>3059</v>
      </c>
      <c r="N95" t="s">
        <v>688</v>
      </c>
      <c r="O95" s="13">
        <v>2.09</v>
      </c>
      <c r="P95" t="s">
        <v>3060</v>
      </c>
    </row>
    <row r="96" spans="2:16" ht="15">
      <c r="B96" s="9">
        <v>44</v>
      </c>
      <c r="C96" t="str">
        <f ca="1">IFERROR(__xludf.DUMMYFUNCTION((TRANSPOSE(ImportHTML("http://spending.data.al/sq/moneypower/view/id/44/year/2012",  "table", 0)))),"*Kategoria*")</f>
        <v>*Kategoria*</v>
      </c>
      <c r="D96" t="s">
        <v>673</v>
      </c>
      <c r="E96" t="s">
        <v>674</v>
      </c>
      <c r="F96" t="s">
        <v>675</v>
      </c>
      <c r="G96" t="s">
        <v>676</v>
      </c>
      <c r="H96" t="s">
        <v>677</v>
      </c>
      <c r="I96" t="s">
        <v>678</v>
      </c>
      <c r="J96" t="s">
        <v>679</v>
      </c>
      <c r="K96" t="s">
        <v>680</v>
      </c>
      <c r="L96" t="s">
        <v>681</v>
      </c>
      <c r="M96" t="s">
        <v>682</v>
      </c>
      <c r="N96" t="s">
        <v>683</v>
      </c>
      <c r="O96" t="s">
        <v>684</v>
      </c>
      <c r="P96" t="s">
        <v>685</v>
      </c>
    </row>
    <row r="97" spans="2:16" ht="15">
      <c r="B97" s="11"/>
      <c r="C97" t="s">
        <v>686</v>
      </c>
      <c r="D97" t="s">
        <v>3061</v>
      </c>
      <c r="E97" t="s">
        <v>884</v>
      </c>
      <c r="F97" t="s">
        <v>688</v>
      </c>
      <c r="G97" t="s">
        <v>3062</v>
      </c>
      <c r="H97" t="s">
        <v>688</v>
      </c>
      <c r="I97" t="s">
        <v>688</v>
      </c>
      <c r="J97" t="s">
        <v>688</v>
      </c>
      <c r="K97" t="s">
        <v>688</v>
      </c>
      <c r="L97" t="s">
        <v>688</v>
      </c>
      <c r="M97" t="s">
        <v>3063</v>
      </c>
      <c r="N97" t="s">
        <v>688</v>
      </c>
      <c r="O97" s="13">
        <v>6.06</v>
      </c>
      <c r="P97" t="s">
        <v>688</v>
      </c>
    </row>
    <row r="98" spans="2:16" ht="15">
      <c r="B98" s="9">
        <v>45</v>
      </c>
      <c r="C98" t="str">
        <f ca="1">IFERROR(__xludf.DUMMYFUNCTION((TRANSPOSE(ImportHTML("http://spending.data.al/sq/moneypower/view/id/45/year/2012",  "table", 0)))),"*Kategoria*")</f>
        <v>*Kategoria*</v>
      </c>
      <c r="D98" t="s">
        <v>673</v>
      </c>
      <c r="E98" t="s">
        <v>674</v>
      </c>
      <c r="F98" t="s">
        <v>675</v>
      </c>
      <c r="G98" t="s">
        <v>676</v>
      </c>
      <c r="H98" t="s">
        <v>677</v>
      </c>
      <c r="I98" t="s">
        <v>678</v>
      </c>
      <c r="J98" t="s">
        <v>679</v>
      </c>
      <c r="K98" t="s">
        <v>680</v>
      </c>
      <c r="L98" t="s">
        <v>681</v>
      </c>
      <c r="M98" t="s">
        <v>682</v>
      </c>
      <c r="N98" t="s">
        <v>683</v>
      </c>
      <c r="O98" t="s">
        <v>684</v>
      </c>
      <c r="P98" t="s">
        <v>685</v>
      </c>
    </row>
    <row r="99" spans="2:16" ht="15">
      <c r="B99" s="11"/>
      <c r="C99" t="s">
        <v>686</v>
      </c>
      <c r="D99" t="s">
        <v>3064</v>
      </c>
      <c r="E99" t="s">
        <v>688</v>
      </c>
      <c r="F99" t="s">
        <v>688</v>
      </c>
      <c r="G99" t="s">
        <v>688</v>
      </c>
      <c r="H99" t="s">
        <v>688</v>
      </c>
      <c r="I99" t="s">
        <v>3065</v>
      </c>
      <c r="J99" t="s">
        <v>688</v>
      </c>
      <c r="K99" t="s">
        <v>688</v>
      </c>
      <c r="L99" t="s">
        <v>688</v>
      </c>
      <c r="M99" t="s">
        <v>3066</v>
      </c>
      <c r="N99" t="s">
        <v>688</v>
      </c>
      <c r="O99" s="13">
        <v>1.59</v>
      </c>
      <c r="P99" t="s">
        <v>688</v>
      </c>
    </row>
    <row r="100" spans="2:16" ht="15">
      <c r="B100" s="9">
        <v>46</v>
      </c>
      <c r="C100" t="str">
        <f ca="1">IFERROR(__xludf.DUMMYFUNCTION((TRANSPOSE(ImportHTML("http://spending.data.al/sq/moneypower/view/id/46/year/2012",  "table", 0)))),"*Kategoria*")</f>
        <v>*Kategoria*</v>
      </c>
      <c r="D100" t="s">
        <v>673</v>
      </c>
      <c r="E100" t="s">
        <v>674</v>
      </c>
      <c r="F100" t="s">
        <v>675</v>
      </c>
      <c r="G100" t="s">
        <v>676</v>
      </c>
      <c r="H100" t="s">
        <v>677</v>
      </c>
      <c r="I100" t="s">
        <v>678</v>
      </c>
      <c r="J100" t="s">
        <v>679</v>
      </c>
      <c r="K100" t="s">
        <v>680</v>
      </c>
      <c r="L100" t="s">
        <v>681</v>
      </c>
      <c r="M100" t="s">
        <v>682</v>
      </c>
      <c r="N100" t="s">
        <v>683</v>
      </c>
      <c r="O100" t="s">
        <v>684</v>
      </c>
      <c r="P100" t="s">
        <v>685</v>
      </c>
    </row>
    <row r="101" spans="2:16" ht="15">
      <c r="B101" s="11"/>
      <c r="C101" t="s">
        <v>686</v>
      </c>
      <c r="D101" t="s">
        <v>3067</v>
      </c>
      <c r="E101" t="s">
        <v>688</v>
      </c>
      <c r="F101" t="s">
        <v>688</v>
      </c>
      <c r="G101" t="s">
        <v>3068</v>
      </c>
      <c r="H101" t="s">
        <v>688</v>
      </c>
      <c r="I101" t="s">
        <v>688</v>
      </c>
      <c r="J101" t="s">
        <v>688</v>
      </c>
      <c r="K101" t="s">
        <v>688</v>
      </c>
      <c r="L101" t="s">
        <v>688</v>
      </c>
      <c r="M101" t="s">
        <v>3069</v>
      </c>
      <c r="N101" t="s">
        <v>688</v>
      </c>
      <c r="O101" t="s">
        <v>707</v>
      </c>
      <c r="P101" t="s">
        <v>3070</v>
      </c>
    </row>
    <row r="102" spans="2:16" ht="15">
      <c r="B102" s="9">
        <v>47</v>
      </c>
      <c r="C102" t="str">
        <f ca="1">IFERROR(__xludf.DUMMYFUNCTION((TRANSPOSE(ImportHTML("http://spending.data.al/sq/moneypower/view/id/47/year/2012",  "table", 0)))),"*Kategoria*")</f>
        <v>*Kategoria*</v>
      </c>
      <c r="D102" t="s">
        <v>673</v>
      </c>
      <c r="E102" t="s">
        <v>674</v>
      </c>
      <c r="F102" t="s">
        <v>675</v>
      </c>
      <c r="G102" t="s">
        <v>676</v>
      </c>
      <c r="H102" t="s">
        <v>677</v>
      </c>
      <c r="I102" t="s">
        <v>678</v>
      </c>
      <c r="J102" t="s">
        <v>679</v>
      </c>
      <c r="K102" t="s">
        <v>680</v>
      </c>
      <c r="L102" t="s">
        <v>681</v>
      </c>
      <c r="M102" t="s">
        <v>682</v>
      </c>
      <c r="N102" t="s">
        <v>683</v>
      </c>
      <c r="O102" t="s">
        <v>684</v>
      </c>
      <c r="P102" t="s">
        <v>685</v>
      </c>
    </row>
    <row r="103" spans="2:16" ht="15">
      <c r="B103" s="11"/>
      <c r="C103" t="s">
        <v>686</v>
      </c>
      <c r="D103" t="s">
        <v>3071</v>
      </c>
      <c r="E103" t="s">
        <v>688</v>
      </c>
      <c r="F103" t="s">
        <v>688</v>
      </c>
      <c r="G103" t="s">
        <v>688</v>
      </c>
      <c r="H103" t="s">
        <v>688</v>
      </c>
      <c r="I103" t="s">
        <v>688</v>
      </c>
      <c r="J103" t="s">
        <v>688</v>
      </c>
      <c r="K103" t="s">
        <v>688</v>
      </c>
      <c r="L103" t="s">
        <v>688</v>
      </c>
      <c r="M103" t="s">
        <v>3072</v>
      </c>
      <c r="N103" t="s">
        <v>688</v>
      </c>
      <c r="O103" s="13">
        <v>1</v>
      </c>
      <c r="P103" t="s">
        <v>688</v>
      </c>
    </row>
    <row r="104" spans="2:16" ht="15">
      <c r="B104" s="9">
        <v>48</v>
      </c>
      <c r="C104" t="str">
        <f ca="1">IFERROR(__xludf.DUMMYFUNCTION((TRANSPOSE(ImportHTML("http://spending.data.al/sq/moneypower/view/id/48/year/2012",  "table", 0)))),"*Kategoria*")</f>
        <v>*Kategoria*</v>
      </c>
      <c r="D104" t="s">
        <v>673</v>
      </c>
      <c r="E104" t="s">
        <v>674</v>
      </c>
      <c r="F104" t="s">
        <v>675</v>
      </c>
      <c r="G104" t="s">
        <v>676</v>
      </c>
      <c r="H104" t="s">
        <v>677</v>
      </c>
      <c r="I104" t="s">
        <v>678</v>
      </c>
      <c r="J104" t="s">
        <v>679</v>
      </c>
      <c r="K104" t="s">
        <v>680</v>
      </c>
      <c r="L104" t="s">
        <v>681</v>
      </c>
      <c r="M104" t="s">
        <v>682</v>
      </c>
      <c r="N104" t="s">
        <v>683</v>
      </c>
      <c r="O104" t="s">
        <v>684</v>
      </c>
      <c r="P104" t="s">
        <v>685</v>
      </c>
    </row>
    <row r="105" spans="2:16" ht="15">
      <c r="B105" s="11"/>
      <c r="C105" t="s">
        <v>686</v>
      </c>
      <c r="D105" t="s">
        <v>3073</v>
      </c>
      <c r="E105" t="s">
        <v>3074</v>
      </c>
      <c r="F105" t="s">
        <v>3040</v>
      </c>
      <c r="G105" t="s">
        <v>3075</v>
      </c>
      <c r="H105" t="s">
        <v>3076</v>
      </c>
      <c r="I105" t="s">
        <v>688</v>
      </c>
      <c r="J105" t="s">
        <v>688</v>
      </c>
      <c r="K105" t="s">
        <v>688</v>
      </c>
      <c r="L105" t="s">
        <v>688</v>
      </c>
      <c r="M105" t="s">
        <v>3077</v>
      </c>
      <c r="N105" t="s">
        <v>688</v>
      </c>
      <c r="O105" s="13">
        <v>3.44</v>
      </c>
      <c r="P105" t="s">
        <v>688</v>
      </c>
    </row>
    <row r="106" spans="2:16" ht="15">
      <c r="B106" s="9">
        <v>49</v>
      </c>
      <c r="C106" t="str">
        <f ca="1">IFERROR(__xludf.DUMMYFUNCTION((TRANSPOSE(ImportHTML("http://spending.data.al/sq/moneypower/view/id/49/year/2012",  "table", 0)))),"*Kategoria*")</f>
        <v>*Kategoria*</v>
      </c>
      <c r="D106" t="s">
        <v>673</v>
      </c>
      <c r="E106" t="s">
        <v>674</v>
      </c>
      <c r="F106" t="s">
        <v>675</v>
      </c>
      <c r="G106" t="s">
        <v>676</v>
      </c>
      <c r="H106" t="s">
        <v>677</v>
      </c>
      <c r="I106" t="s">
        <v>678</v>
      </c>
      <c r="J106" t="s">
        <v>679</v>
      </c>
      <c r="K106" t="s">
        <v>680</v>
      </c>
      <c r="L106" t="s">
        <v>681</v>
      </c>
      <c r="M106" t="s">
        <v>682</v>
      </c>
      <c r="N106" t="s">
        <v>683</v>
      </c>
      <c r="O106" t="s">
        <v>684</v>
      </c>
      <c r="P106" t="s">
        <v>685</v>
      </c>
    </row>
    <row r="107" spans="2:16" ht="15">
      <c r="B107" s="11"/>
      <c r="C107" t="s">
        <v>686</v>
      </c>
      <c r="D107" t="s">
        <v>3078</v>
      </c>
      <c r="E107" t="s">
        <v>688</v>
      </c>
      <c r="F107" t="s">
        <v>902</v>
      </c>
      <c r="G107" t="s">
        <v>688</v>
      </c>
      <c r="H107" t="s">
        <v>688</v>
      </c>
      <c r="I107" t="s">
        <v>688</v>
      </c>
      <c r="J107" t="s">
        <v>688</v>
      </c>
      <c r="K107" t="s">
        <v>688</v>
      </c>
      <c r="L107" t="s">
        <v>688</v>
      </c>
      <c r="M107" t="s">
        <v>3079</v>
      </c>
      <c r="N107" t="s">
        <v>688</v>
      </c>
      <c r="O107" s="13">
        <v>1.08</v>
      </c>
      <c r="P107" t="s">
        <v>3080</v>
      </c>
    </row>
    <row r="108" spans="2:16" ht="15">
      <c r="B108" s="9">
        <v>50</v>
      </c>
      <c r="C108" t="str">
        <f ca="1">IFERROR(__xludf.DUMMYFUNCTION((TRANSPOSE(ImportHTML("http://spending.data.al/sq/moneypower/view/id/50/year/2012",  "table", 0)))),"*Kategoria*")</f>
        <v>*Kategoria*</v>
      </c>
      <c r="D108" t="s">
        <v>673</v>
      </c>
      <c r="E108" t="s">
        <v>674</v>
      </c>
      <c r="F108" t="s">
        <v>675</v>
      </c>
      <c r="G108" t="s">
        <v>676</v>
      </c>
      <c r="H108" t="s">
        <v>677</v>
      </c>
      <c r="I108" t="s">
        <v>678</v>
      </c>
      <c r="J108" t="s">
        <v>679</v>
      </c>
      <c r="K108" t="s">
        <v>680</v>
      </c>
      <c r="L108" t="s">
        <v>681</v>
      </c>
      <c r="M108" t="s">
        <v>682</v>
      </c>
      <c r="N108" t="s">
        <v>683</v>
      </c>
      <c r="O108" t="s">
        <v>684</v>
      </c>
      <c r="P108" t="s">
        <v>685</v>
      </c>
    </row>
    <row r="109" spans="2:16" ht="15">
      <c r="B109" s="11"/>
      <c r="C109" t="s">
        <v>686</v>
      </c>
      <c r="D109" t="s">
        <v>3081</v>
      </c>
      <c r="E109" t="s">
        <v>3082</v>
      </c>
      <c r="F109" t="s">
        <v>3083</v>
      </c>
      <c r="G109" t="s">
        <v>688</v>
      </c>
      <c r="H109" t="s">
        <v>688</v>
      </c>
      <c r="I109" t="s">
        <v>688</v>
      </c>
      <c r="J109" t="s">
        <v>688</v>
      </c>
      <c r="K109" t="s">
        <v>688</v>
      </c>
      <c r="L109" t="s">
        <v>688</v>
      </c>
      <c r="M109" t="s">
        <v>3084</v>
      </c>
      <c r="N109" t="s">
        <v>688</v>
      </c>
      <c r="O109" s="13">
        <v>1.06</v>
      </c>
      <c r="P109" t="s">
        <v>688</v>
      </c>
    </row>
    <row r="110" spans="2:16" ht="15">
      <c r="B110" s="9">
        <v>51</v>
      </c>
      <c r="C110" t="str">
        <f ca="1">IFERROR(__xludf.DUMMYFUNCTION((TRANSPOSE(ImportHTML("http://spending.data.al/sq/moneypower/view/id/51/year/2012",  "table", 0)))),"*Kategoria*")</f>
        <v>*Kategoria*</v>
      </c>
      <c r="D110" t="s">
        <v>673</v>
      </c>
      <c r="E110" t="s">
        <v>674</v>
      </c>
      <c r="F110" t="s">
        <v>675</v>
      </c>
      <c r="G110" t="s">
        <v>676</v>
      </c>
      <c r="H110" t="s">
        <v>677</v>
      </c>
      <c r="I110" t="s">
        <v>678</v>
      </c>
      <c r="J110" t="s">
        <v>679</v>
      </c>
      <c r="K110" t="s">
        <v>680</v>
      </c>
      <c r="L110" t="s">
        <v>681</v>
      </c>
      <c r="M110" t="s">
        <v>682</v>
      </c>
      <c r="N110" t="s">
        <v>683</v>
      </c>
      <c r="O110" t="s">
        <v>684</v>
      </c>
      <c r="P110" t="s">
        <v>685</v>
      </c>
    </row>
    <row r="111" spans="2:16" ht="15">
      <c r="B111" s="11"/>
      <c r="C111" t="s">
        <v>686</v>
      </c>
      <c r="D111" t="s">
        <v>3085</v>
      </c>
      <c r="E111" t="s">
        <v>3086</v>
      </c>
      <c r="F111" t="s">
        <v>696</v>
      </c>
      <c r="G111" t="s">
        <v>688</v>
      </c>
      <c r="H111" t="s">
        <v>688</v>
      </c>
      <c r="I111" t="s">
        <v>688</v>
      </c>
      <c r="J111" t="s">
        <v>688</v>
      </c>
      <c r="K111" t="s">
        <v>688</v>
      </c>
      <c r="L111" t="s">
        <v>688</v>
      </c>
      <c r="M111" t="s">
        <v>3087</v>
      </c>
      <c r="N111" t="s">
        <v>688</v>
      </c>
      <c r="O111" s="13">
        <v>1.84</v>
      </c>
      <c r="P111" t="s">
        <v>688</v>
      </c>
    </row>
    <row r="112" spans="2:16" ht="15">
      <c r="B112" s="9">
        <v>52</v>
      </c>
      <c r="C112" t="str">
        <f ca="1">IFERROR(__xludf.DUMMYFUNCTION((TRANSPOSE(ImportHTML("http://spending.data.al/sq/moneypower/view/id/52/year/2012",  "table", 0)))),"*Kategoria*")</f>
        <v>*Kategoria*</v>
      </c>
      <c r="D112" t="s">
        <v>673</v>
      </c>
      <c r="E112" t="s">
        <v>674</v>
      </c>
      <c r="F112" t="s">
        <v>675</v>
      </c>
      <c r="G112" t="s">
        <v>676</v>
      </c>
      <c r="H112" t="s">
        <v>677</v>
      </c>
      <c r="I112" t="s">
        <v>678</v>
      </c>
      <c r="J112" t="s">
        <v>679</v>
      </c>
      <c r="K112" t="s">
        <v>680</v>
      </c>
      <c r="L112" t="s">
        <v>681</v>
      </c>
      <c r="M112" t="s">
        <v>682</v>
      </c>
      <c r="N112" t="s">
        <v>683</v>
      </c>
      <c r="O112" t="s">
        <v>684</v>
      </c>
      <c r="P112" t="s">
        <v>685</v>
      </c>
    </row>
    <row r="113" spans="2:16" ht="15">
      <c r="B113" s="11"/>
      <c r="C113" t="s">
        <v>686</v>
      </c>
      <c r="D113" t="s">
        <v>3088</v>
      </c>
      <c r="E113" t="s">
        <v>688</v>
      </c>
      <c r="F113" t="s">
        <v>3089</v>
      </c>
      <c r="G113" t="s">
        <v>688</v>
      </c>
      <c r="H113" t="s">
        <v>688</v>
      </c>
      <c r="I113" t="s">
        <v>688</v>
      </c>
      <c r="J113" t="s">
        <v>688</v>
      </c>
      <c r="K113" t="s">
        <v>688</v>
      </c>
      <c r="L113" t="s">
        <v>688</v>
      </c>
      <c r="M113" t="s">
        <v>3090</v>
      </c>
      <c r="N113" t="s">
        <v>688</v>
      </c>
      <c r="O113" s="13">
        <v>1.36</v>
      </c>
      <c r="P113" t="s">
        <v>688</v>
      </c>
    </row>
    <row r="114" spans="2:16" ht="15">
      <c r="B114" s="9">
        <v>53</v>
      </c>
      <c r="C114" t="str">
        <f ca="1">IFERROR(__xludf.DUMMYFUNCTION((TRANSPOSE(ImportHTML("http://spending.data.al/sq/moneypower/view/id/53/year/2012",  "table", 0)))),"*Kategoria*")</f>
        <v>*Kategoria*</v>
      </c>
      <c r="D114" t="s">
        <v>673</v>
      </c>
      <c r="E114" t="s">
        <v>674</v>
      </c>
      <c r="F114" t="s">
        <v>675</v>
      </c>
      <c r="G114" t="s">
        <v>676</v>
      </c>
      <c r="H114" t="s">
        <v>677</v>
      </c>
      <c r="I114" t="s">
        <v>678</v>
      </c>
      <c r="J114" t="s">
        <v>679</v>
      </c>
      <c r="K114" t="s">
        <v>680</v>
      </c>
      <c r="L114" t="s">
        <v>681</v>
      </c>
      <c r="M114" t="s">
        <v>682</v>
      </c>
      <c r="N114" t="s">
        <v>683</v>
      </c>
      <c r="O114" t="s">
        <v>684</v>
      </c>
      <c r="P114" t="s">
        <v>685</v>
      </c>
    </row>
    <row r="115" spans="2:16" ht="15">
      <c r="B115" s="11"/>
      <c r="C115" t="s">
        <v>686</v>
      </c>
      <c r="D115" t="s">
        <v>3091</v>
      </c>
      <c r="E115" t="s">
        <v>688</v>
      </c>
      <c r="F115" t="s">
        <v>696</v>
      </c>
      <c r="G115" t="s">
        <v>3092</v>
      </c>
      <c r="H115" t="s">
        <v>688</v>
      </c>
      <c r="I115" t="s">
        <v>688</v>
      </c>
      <c r="J115" t="s">
        <v>688</v>
      </c>
      <c r="K115" t="s">
        <v>688</v>
      </c>
      <c r="L115" t="s">
        <v>688</v>
      </c>
      <c r="M115" t="s">
        <v>3093</v>
      </c>
      <c r="N115" t="s">
        <v>688</v>
      </c>
      <c r="O115" s="13">
        <v>1.22</v>
      </c>
      <c r="P115" t="s">
        <v>688</v>
      </c>
    </row>
    <row r="116" spans="2:16" ht="15">
      <c r="B116" s="9">
        <v>54</v>
      </c>
      <c r="C116" t="str">
        <f ca="1">IFERROR(__xludf.DUMMYFUNCTION((TRANSPOSE(ImportHTML("http://spending.data.al/sq/moneypower/view/id/54/year/2012",  "table", 0)))),"*Kategoria*")</f>
        <v>*Kategoria*</v>
      </c>
      <c r="D116" t="s">
        <v>673</v>
      </c>
      <c r="E116" t="s">
        <v>674</v>
      </c>
      <c r="F116" t="s">
        <v>675</v>
      </c>
      <c r="G116" t="s">
        <v>676</v>
      </c>
      <c r="H116" t="s">
        <v>677</v>
      </c>
      <c r="I116" t="s">
        <v>678</v>
      </c>
      <c r="J116" t="s">
        <v>679</v>
      </c>
      <c r="K116" t="s">
        <v>680</v>
      </c>
      <c r="L116" t="s">
        <v>681</v>
      </c>
      <c r="M116" t="s">
        <v>682</v>
      </c>
      <c r="N116" t="s">
        <v>683</v>
      </c>
      <c r="O116" t="s">
        <v>684</v>
      </c>
      <c r="P116" t="s">
        <v>685</v>
      </c>
    </row>
    <row r="117" spans="2:16" ht="15">
      <c r="B117" s="11"/>
      <c r="C117" t="s">
        <v>686</v>
      </c>
      <c r="D117" t="s">
        <v>924</v>
      </c>
      <c r="E117" t="s">
        <v>688</v>
      </c>
      <c r="F117" t="s">
        <v>3094</v>
      </c>
      <c r="G117" t="s">
        <v>688</v>
      </c>
      <c r="H117" t="s">
        <v>3095</v>
      </c>
      <c r="I117" t="s">
        <v>688</v>
      </c>
      <c r="J117" t="s">
        <v>688</v>
      </c>
      <c r="K117" t="s">
        <v>688</v>
      </c>
      <c r="L117" t="s">
        <v>688</v>
      </c>
      <c r="M117" t="s">
        <v>3096</v>
      </c>
      <c r="N117" t="s">
        <v>688</v>
      </c>
      <c r="O117" s="13">
        <v>4.49</v>
      </c>
      <c r="P117" t="s">
        <v>688</v>
      </c>
    </row>
    <row r="118" spans="2:16" ht="15">
      <c r="B118" s="9">
        <v>55</v>
      </c>
      <c r="C118" t="str">
        <f ca="1">IFERROR(__xludf.DUMMYFUNCTION((TRANSPOSE(ImportHTML("http://spending.data.al/sq/moneypower/view/id/55/year/2012",  "table", 0)))),"*Kategoria*")</f>
        <v>*Kategoria*</v>
      </c>
      <c r="D118" t="s">
        <v>673</v>
      </c>
      <c r="E118" t="s">
        <v>674</v>
      </c>
      <c r="F118" t="s">
        <v>675</v>
      </c>
      <c r="G118" t="s">
        <v>676</v>
      </c>
      <c r="H118" t="s">
        <v>677</v>
      </c>
      <c r="I118" t="s">
        <v>678</v>
      </c>
      <c r="J118" t="s">
        <v>679</v>
      </c>
      <c r="K118" t="s">
        <v>680</v>
      </c>
      <c r="L118" t="s">
        <v>681</v>
      </c>
      <c r="M118" t="s">
        <v>682</v>
      </c>
      <c r="N118" t="s">
        <v>683</v>
      </c>
      <c r="O118" t="s">
        <v>684</v>
      </c>
      <c r="P118" t="s">
        <v>685</v>
      </c>
    </row>
    <row r="119" spans="2:16" ht="15">
      <c r="B119" s="11"/>
      <c r="C119" t="s">
        <v>686</v>
      </c>
      <c r="D119" t="s">
        <v>3097</v>
      </c>
      <c r="E119" t="s">
        <v>929</v>
      </c>
      <c r="F119" t="s">
        <v>3083</v>
      </c>
      <c r="G119" t="s">
        <v>688</v>
      </c>
      <c r="H119" t="s">
        <v>688</v>
      </c>
      <c r="I119" t="s">
        <v>688</v>
      </c>
      <c r="J119" t="s">
        <v>688</v>
      </c>
      <c r="K119" t="s">
        <v>688</v>
      </c>
      <c r="L119" t="s">
        <v>688</v>
      </c>
      <c r="M119" t="s">
        <v>688</v>
      </c>
      <c r="N119" t="s">
        <v>688</v>
      </c>
      <c r="O119" s="13">
        <v>1.04</v>
      </c>
      <c r="P119" t="s">
        <v>688</v>
      </c>
    </row>
    <row r="120" spans="2:16" ht="15">
      <c r="B120" s="9">
        <v>56</v>
      </c>
      <c r="C120" t="str">
        <f ca="1">IFERROR(__xludf.DUMMYFUNCTION((TRANSPOSE(ImportHTML("http://spending.data.al/sq/moneypower/view/id/56/year/2012",  "table", 0)))),"*Kategoria*")</f>
        <v>*Kategoria*</v>
      </c>
      <c r="D120" t="s">
        <v>673</v>
      </c>
      <c r="E120" t="s">
        <v>674</v>
      </c>
      <c r="F120" t="s">
        <v>675</v>
      </c>
      <c r="G120" t="s">
        <v>676</v>
      </c>
      <c r="H120" t="s">
        <v>677</v>
      </c>
      <c r="I120" t="s">
        <v>678</v>
      </c>
      <c r="J120" t="s">
        <v>679</v>
      </c>
      <c r="K120" t="s">
        <v>680</v>
      </c>
      <c r="L120" t="s">
        <v>681</v>
      </c>
      <c r="M120" t="s">
        <v>682</v>
      </c>
      <c r="N120" t="s">
        <v>683</v>
      </c>
      <c r="O120" t="s">
        <v>684</v>
      </c>
      <c r="P120" t="s">
        <v>685</v>
      </c>
    </row>
    <row r="121" spans="2:16" ht="15">
      <c r="B121" s="11"/>
      <c r="C121" t="s">
        <v>686</v>
      </c>
      <c r="D121" t="s">
        <v>3098</v>
      </c>
      <c r="E121" t="s">
        <v>932</v>
      </c>
      <c r="F121" t="s">
        <v>3099</v>
      </c>
      <c r="G121" t="s">
        <v>3100</v>
      </c>
      <c r="H121" t="s">
        <v>688</v>
      </c>
      <c r="I121" t="s">
        <v>688</v>
      </c>
      <c r="J121" t="s">
        <v>688</v>
      </c>
      <c r="K121" t="s">
        <v>688</v>
      </c>
      <c r="L121" t="s">
        <v>688</v>
      </c>
      <c r="M121" t="s">
        <v>3101</v>
      </c>
      <c r="N121" t="s">
        <v>3102</v>
      </c>
      <c r="O121" s="13">
        <v>1.61</v>
      </c>
      <c r="P121" t="s">
        <v>688</v>
      </c>
    </row>
    <row r="122" spans="2:16" ht="15">
      <c r="B122" s="9">
        <v>57</v>
      </c>
      <c r="C122" t="str">
        <f ca="1">IFERROR(__xludf.DUMMYFUNCTION((TRANSPOSE(ImportHTML("http://spending.data.al/sq/moneypower/view/id/57/year/2012",  "table", 0)))),"*Kategoria*")</f>
        <v>*Kategoria*</v>
      </c>
      <c r="D122" t="s">
        <v>673</v>
      </c>
      <c r="E122" t="s">
        <v>674</v>
      </c>
      <c r="F122" t="s">
        <v>675</v>
      </c>
      <c r="G122" t="s">
        <v>676</v>
      </c>
      <c r="H122" t="s">
        <v>677</v>
      </c>
      <c r="I122" t="s">
        <v>678</v>
      </c>
      <c r="J122" t="s">
        <v>679</v>
      </c>
      <c r="K122" t="s">
        <v>680</v>
      </c>
      <c r="L122" t="s">
        <v>681</v>
      </c>
      <c r="M122" t="s">
        <v>682</v>
      </c>
      <c r="N122" t="s">
        <v>683</v>
      </c>
      <c r="O122" t="s">
        <v>684</v>
      </c>
      <c r="P122" t="s">
        <v>685</v>
      </c>
    </row>
    <row r="123" spans="2:16" ht="15">
      <c r="B123" s="11"/>
      <c r="C123" t="s">
        <v>686</v>
      </c>
      <c r="D123" t="s">
        <v>3103</v>
      </c>
      <c r="E123" t="s">
        <v>688</v>
      </c>
      <c r="F123" t="s">
        <v>688</v>
      </c>
      <c r="G123" t="s">
        <v>688</v>
      </c>
      <c r="H123" t="s">
        <v>688</v>
      </c>
      <c r="I123" t="s">
        <v>688</v>
      </c>
      <c r="J123" t="s">
        <v>688</v>
      </c>
      <c r="K123" t="s">
        <v>688</v>
      </c>
      <c r="L123" t="s">
        <v>688</v>
      </c>
      <c r="M123" t="s">
        <v>3104</v>
      </c>
      <c r="N123" t="s">
        <v>688</v>
      </c>
      <c r="O123" s="13">
        <v>1</v>
      </c>
      <c r="P123" t="s">
        <v>688</v>
      </c>
    </row>
    <row r="124" spans="2:16" ht="15">
      <c r="B124" s="9">
        <v>58</v>
      </c>
      <c r="C124" t="str">
        <f ca="1">IFERROR(__xludf.DUMMYFUNCTION((TRANSPOSE(ImportHTML("http://spending.data.al/sq/moneypower/view/id/58/year/2012",  "table", 0)))),"*Kategoria*")</f>
        <v>*Kategoria*</v>
      </c>
      <c r="D124" t="s">
        <v>673</v>
      </c>
      <c r="E124" t="s">
        <v>674</v>
      </c>
      <c r="F124" t="s">
        <v>675</v>
      </c>
      <c r="G124" t="s">
        <v>676</v>
      </c>
      <c r="H124" t="s">
        <v>677</v>
      </c>
      <c r="I124" t="s">
        <v>678</v>
      </c>
      <c r="J124" t="s">
        <v>679</v>
      </c>
      <c r="K124" t="s">
        <v>680</v>
      </c>
      <c r="L124" t="s">
        <v>681</v>
      </c>
      <c r="M124" t="s">
        <v>682</v>
      </c>
      <c r="N124" t="s">
        <v>683</v>
      </c>
      <c r="O124" t="s">
        <v>684</v>
      </c>
      <c r="P124" t="s">
        <v>685</v>
      </c>
    </row>
    <row r="125" spans="2:16" ht="15">
      <c r="B125" s="11"/>
      <c r="C125" t="s">
        <v>686</v>
      </c>
      <c r="D125" t="s">
        <v>3105</v>
      </c>
      <c r="E125" t="s">
        <v>688</v>
      </c>
      <c r="F125" t="s">
        <v>688</v>
      </c>
      <c r="G125" t="s">
        <v>688</v>
      </c>
      <c r="H125" t="s">
        <v>688</v>
      </c>
      <c r="I125" t="s">
        <v>688</v>
      </c>
      <c r="J125" t="s">
        <v>688</v>
      </c>
      <c r="K125" t="s">
        <v>688</v>
      </c>
      <c r="L125" t="s">
        <v>688</v>
      </c>
      <c r="M125" t="s">
        <v>3106</v>
      </c>
      <c r="N125" t="s">
        <v>688</v>
      </c>
      <c r="O125" s="13">
        <v>1</v>
      </c>
      <c r="P125" t="s">
        <v>688</v>
      </c>
    </row>
    <row r="126" spans="2:16" ht="15">
      <c r="B126" s="9">
        <v>59</v>
      </c>
      <c r="C126" t="str">
        <f ca="1">IFERROR(__xludf.DUMMYFUNCTION((TRANSPOSE(ImportHTML("http://spending.data.al/sq/moneypower/view/id/59/year/2012",  "table", 0)))),"*Kategoria*")</f>
        <v>*Kategoria*</v>
      </c>
      <c r="D126" t="s">
        <v>673</v>
      </c>
      <c r="E126" t="s">
        <v>674</v>
      </c>
      <c r="F126" t="s">
        <v>675</v>
      </c>
      <c r="G126" t="s">
        <v>676</v>
      </c>
      <c r="H126" t="s">
        <v>677</v>
      </c>
      <c r="I126" t="s">
        <v>678</v>
      </c>
      <c r="J126" t="s">
        <v>679</v>
      </c>
      <c r="K126" t="s">
        <v>680</v>
      </c>
      <c r="L126" t="s">
        <v>681</v>
      </c>
      <c r="M126" t="s">
        <v>682</v>
      </c>
      <c r="N126" t="s">
        <v>683</v>
      </c>
      <c r="O126" t="s">
        <v>684</v>
      </c>
      <c r="P126" t="s">
        <v>685</v>
      </c>
    </row>
    <row r="127" spans="2:16" ht="15">
      <c r="B127" s="11"/>
      <c r="C127" t="s">
        <v>686</v>
      </c>
      <c r="D127" t="s">
        <v>3097</v>
      </c>
      <c r="E127" t="s">
        <v>837</v>
      </c>
      <c r="F127" t="s">
        <v>3107</v>
      </c>
      <c r="G127" t="s">
        <v>688</v>
      </c>
      <c r="H127" t="s">
        <v>688</v>
      </c>
      <c r="I127" t="s">
        <v>688</v>
      </c>
      <c r="J127" t="s">
        <v>688</v>
      </c>
      <c r="K127" t="s">
        <v>688</v>
      </c>
      <c r="L127" t="s">
        <v>688</v>
      </c>
      <c r="M127" t="s">
        <v>3108</v>
      </c>
      <c r="N127" t="s">
        <v>688</v>
      </c>
      <c r="O127" s="13">
        <v>1.54</v>
      </c>
      <c r="P127" t="s">
        <v>688</v>
      </c>
    </row>
    <row r="128" spans="2:16" ht="15">
      <c r="B128" s="9">
        <v>60</v>
      </c>
      <c r="C128" t="str">
        <f ca="1">IFERROR(__xludf.DUMMYFUNCTION((TRANSPOSE(ImportHTML("http://spending.data.al/sq/moneypower/view/id/60/year/2012",  "table", 0)))),"*Kategoria*")</f>
        <v>*Kategoria*</v>
      </c>
      <c r="D128" t="s">
        <v>673</v>
      </c>
      <c r="E128" t="s">
        <v>674</v>
      </c>
      <c r="F128" t="s">
        <v>675</v>
      </c>
      <c r="G128" t="s">
        <v>676</v>
      </c>
      <c r="H128" t="s">
        <v>677</v>
      </c>
      <c r="I128" t="s">
        <v>678</v>
      </c>
      <c r="J128" t="s">
        <v>679</v>
      </c>
      <c r="K128" t="s">
        <v>680</v>
      </c>
      <c r="L128" t="s">
        <v>681</v>
      </c>
      <c r="M128" t="s">
        <v>682</v>
      </c>
      <c r="N128" t="s">
        <v>683</v>
      </c>
      <c r="O128" t="s">
        <v>684</v>
      </c>
      <c r="P128" t="s">
        <v>685</v>
      </c>
    </row>
    <row r="129" spans="2:16" ht="15">
      <c r="B129" s="11"/>
      <c r="C129" t="s">
        <v>686</v>
      </c>
      <c r="D129" t="s">
        <v>3109</v>
      </c>
      <c r="E129" t="s">
        <v>688</v>
      </c>
      <c r="F129" t="s">
        <v>919</v>
      </c>
      <c r="G129" t="s">
        <v>3110</v>
      </c>
      <c r="H129" t="s">
        <v>688</v>
      </c>
      <c r="I129" t="s">
        <v>688</v>
      </c>
      <c r="J129" t="s">
        <v>688</v>
      </c>
      <c r="K129" t="s">
        <v>688</v>
      </c>
      <c r="L129" t="s">
        <v>688</v>
      </c>
      <c r="M129" t="s">
        <v>3111</v>
      </c>
      <c r="N129" t="s">
        <v>688</v>
      </c>
      <c r="O129" s="13">
        <v>1.1399999999999999</v>
      </c>
      <c r="P129" t="s">
        <v>688</v>
      </c>
    </row>
    <row r="130" spans="2:16" ht="15">
      <c r="B130" s="9">
        <v>61</v>
      </c>
      <c r="C130" t="str">
        <f ca="1">IFERROR(__xludf.DUMMYFUNCTION((TRANSPOSE(ImportHTML("http://spending.data.al/sq/moneypower/view/id/61/year/2012",  "table", 0)))),"*Kategoria*")</f>
        <v>*Kategoria*</v>
      </c>
      <c r="D130" t="s">
        <v>673</v>
      </c>
      <c r="E130" t="s">
        <v>674</v>
      </c>
      <c r="F130" t="s">
        <v>675</v>
      </c>
      <c r="G130" t="s">
        <v>676</v>
      </c>
      <c r="H130" t="s">
        <v>677</v>
      </c>
      <c r="I130" t="s">
        <v>678</v>
      </c>
      <c r="J130" t="s">
        <v>679</v>
      </c>
      <c r="K130" t="s">
        <v>680</v>
      </c>
      <c r="L130" t="s">
        <v>681</v>
      </c>
      <c r="M130" t="s">
        <v>682</v>
      </c>
      <c r="N130" t="s">
        <v>683</v>
      </c>
      <c r="O130" t="s">
        <v>684</v>
      </c>
      <c r="P130" t="s">
        <v>685</v>
      </c>
    </row>
    <row r="131" spans="2:16" ht="15">
      <c r="B131" s="11"/>
      <c r="C131" t="s">
        <v>686</v>
      </c>
      <c r="D131" t="s">
        <v>3112</v>
      </c>
      <c r="E131" t="s">
        <v>688</v>
      </c>
      <c r="F131" t="s">
        <v>688</v>
      </c>
      <c r="G131" t="s">
        <v>688</v>
      </c>
      <c r="H131" t="s">
        <v>688</v>
      </c>
      <c r="I131" t="s">
        <v>949</v>
      </c>
      <c r="J131" t="s">
        <v>688</v>
      </c>
      <c r="K131" t="s">
        <v>688</v>
      </c>
      <c r="L131" t="s">
        <v>688</v>
      </c>
      <c r="M131" t="s">
        <v>950</v>
      </c>
      <c r="N131" t="s">
        <v>688</v>
      </c>
      <c r="O131" s="13">
        <v>2.11</v>
      </c>
      <c r="P131" t="s">
        <v>688</v>
      </c>
    </row>
    <row r="132" spans="2:16" ht="15">
      <c r="B132" s="9">
        <v>62</v>
      </c>
      <c r="C132" t="str">
        <f ca="1">IFERROR(__xludf.DUMMYFUNCTION((TRANSPOSE(ImportHTML("http://spending.data.al/sq/moneypower/view/id/62/year/2012",  "table", 0)))),"*Emër Subjekti*")</f>
        <v>*Emër Subjekti*</v>
      </c>
      <c r="D132" t="s">
        <v>698</v>
      </c>
      <c r="E132" t="s">
        <v>699</v>
      </c>
      <c r="F132" t="s">
        <v>700</v>
      </c>
      <c r="G132" t="s">
        <v>701</v>
      </c>
      <c r="H132" t="s">
        <v>702</v>
      </c>
    </row>
    <row r="133" spans="2:16" ht="15">
      <c r="B133" s="11"/>
    </row>
    <row r="134" spans="2:16" ht="15">
      <c r="B134" s="11"/>
      <c r="C134" t="s">
        <v>2021</v>
      </c>
      <c r="D134" t="s">
        <v>2022</v>
      </c>
      <c r="E134" t="s">
        <v>705</v>
      </c>
      <c r="F134" t="s">
        <v>706</v>
      </c>
      <c r="G134" t="s">
        <v>707</v>
      </c>
      <c r="H134" t="s">
        <v>2023</v>
      </c>
    </row>
    <row r="135" spans="2:16" ht="15">
      <c r="B135" s="9">
        <v>63</v>
      </c>
      <c r="C135" t="str">
        <f ca="1">IFERROR(__xludf.DUMMYFUNCTION((TRANSPOSE(ImportHTML("http://spending.data.al/sq/moneypower/view/id/63/year/2012",  "table", 0)))),"")</f>
        <v/>
      </c>
      <c r="D135" t="s">
        <v>673</v>
      </c>
      <c r="E135" t="s">
        <v>674</v>
      </c>
      <c r="F135" t="s">
        <v>675</v>
      </c>
      <c r="G135" t="s">
        <v>676</v>
      </c>
      <c r="H135" t="s">
        <v>677</v>
      </c>
      <c r="I135" t="s">
        <v>678</v>
      </c>
      <c r="J135" t="s">
        <v>679</v>
      </c>
      <c r="K135" t="s">
        <v>680</v>
      </c>
      <c r="L135" t="s">
        <v>681</v>
      </c>
      <c r="M135" t="s">
        <v>682</v>
      </c>
      <c r="N135" t="s">
        <v>683</v>
      </c>
      <c r="O135" t="s">
        <v>684</v>
      </c>
      <c r="P135" t="s">
        <v>685</v>
      </c>
    </row>
    <row r="136" spans="2:16" ht="15">
      <c r="B136" s="11"/>
      <c r="C136" t="s">
        <v>686</v>
      </c>
      <c r="D136" t="s">
        <v>3113</v>
      </c>
      <c r="E136" t="s">
        <v>688</v>
      </c>
      <c r="F136" t="s">
        <v>688</v>
      </c>
      <c r="G136" t="s">
        <v>688</v>
      </c>
      <c r="H136" t="s">
        <v>688</v>
      </c>
      <c r="I136" t="s">
        <v>688</v>
      </c>
      <c r="J136" t="s">
        <v>688</v>
      </c>
      <c r="K136" t="s">
        <v>688</v>
      </c>
      <c r="L136" t="s">
        <v>688</v>
      </c>
      <c r="M136" t="s">
        <v>3114</v>
      </c>
      <c r="N136" t="s">
        <v>688</v>
      </c>
      <c r="O136" s="13">
        <v>1.95</v>
      </c>
      <c r="P136" t="s">
        <v>688</v>
      </c>
    </row>
    <row r="137" spans="2:16" ht="15">
      <c r="B137" s="9">
        <v>64</v>
      </c>
      <c r="C137" t="str">
        <f ca="1">IFERROR(__xludf.DUMMYFUNCTION((TRANSPOSE(ImportHTML("http://spending.data.al/sq/moneypower/view/id/64/year/2012",  "table", 0)))),"*Kategoria*")</f>
        <v>*Kategoria*</v>
      </c>
      <c r="D137" t="s">
        <v>673</v>
      </c>
      <c r="E137" t="s">
        <v>674</v>
      </c>
      <c r="F137" t="s">
        <v>675</v>
      </c>
      <c r="G137" t="s">
        <v>676</v>
      </c>
      <c r="H137" t="s">
        <v>677</v>
      </c>
      <c r="I137" t="s">
        <v>678</v>
      </c>
      <c r="J137" t="s">
        <v>679</v>
      </c>
      <c r="K137" t="s">
        <v>680</v>
      </c>
      <c r="L137" t="s">
        <v>681</v>
      </c>
      <c r="M137" t="s">
        <v>682</v>
      </c>
      <c r="N137" t="s">
        <v>683</v>
      </c>
      <c r="O137" t="s">
        <v>684</v>
      </c>
      <c r="P137" t="s">
        <v>685</v>
      </c>
    </row>
    <row r="138" spans="2:16" ht="15">
      <c r="B138" s="11"/>
      <c r="C138" t="s">
        <v>686</v>
      </c>
      <c r="D138" t="s">
        <v>956</v>
      </c>
      <c r="E138" t="s">
        <v>688</v>
      </c>
      <c r="F138" t="s">
        <v>957</v>
      </c>
      <c r="G138" t="s">
        <v>688</v>
      </c>
      <c r="H138" t="s">
        <v>688</v>
      </c>
      <c r="I138" t="s">
        <v>688</v>
      </c>
      <c r="J138" t="s">
        <v>688</v>
      </c>
      <c r="K138" t="s">
        <v>688</v>
      </c>
      <c r="L138" t="s">
        <v>688</v>
      </c>
      <c r="M138" t="s">
        <v>688</v>
      </c>
      <c r="N138" t="s">
        <v>688</v>
      </c>
      <c r="O138" s="13">
        <v>1.1399999999999999</v>
      </c>
      <c r="P138" t="s">
        <v>688</v>
      </c>
    </row>
    <row r="139" spans="2:16" ht="15">
      <c r="B139" s="9">
        <v>65</v>
      </c>
      <c r="C139" t="str">
        <f ca="1">IFERROR(__xludf.DUMMYFUNCTION((TRANSPOSE(ImportHTML("http://spending.data.al/sq/moneypower/view/id/65/year/2012",  "table", 0)))),"*Kategoria*")</f>
        <v>*Kategoria*</v>
      </c>
      <c r="D139" t="s">
        <v>673</v>
      </c>
      <c r="E139" t="s">
        <v>674</v>
      </c>
      <c r="F139" t="s">
        <v>675</v>
      </c>
      <c r="G139" t="s">
        <v>676</v>
      </c>
      <c r="H139" t="s">
        <v>677</v>
      </c>
      <c r="I139" t="s">
        <v>678</v>
      </c>
      <c r="J139" t="s">
        <v>679</v>
      </c>
      <c r="K139" t="s">
        <v>680</v>
      </c>
      <c r="L139" t="s">
        <v>681</v>
      </c>
      <c r="M139" t="s">
        <v>682</v>
      </c>
      <c r="N139" t="s">
        <v>683</v>
      </c>
      <c r="O139" t="s">
        <v>684</v>
      </c>
      <c r="P139" t="s">
        <v>685</v>
      </c>
    </row>
    <row r="140" spans="2:16" ht="15">
      <c r="B140" s="11"/>
      <c r="C140" t="s">
        <v>686</v>
      </c>
      <c r="D140" t="s">
        <v>3097</v>
      </c>
      <c r="E140" t="s">
        <v>3115</v>
      </c>
      <c r="F140" t="s">
        <v>3089</v>
      </c>
      <c r="G140" t="s">
        <v>688</v>
      </c>
      <c r="H140" t="s">
        <v>3116</v>
      </c>
      <c r="I140" t="s">
        <v>688</v>
      </c>
      <c r="J140" t="s">
        <v>688</v>
      </c>
      <c r="K140" t="s">
        <v>688</v>
      </c>
      <c r="L140" t="s">
        <v>688</v>
      </c>
      <c r="M140" t="s">
        <v>3117</v>
      </c>
      <c r="N140" t="s">
        <v>688</v>
      </c>
      <c r="O140" s="13">
        <v>3.88</v>
      </c>
      <c r="P140" t="s">
        <v>688</v>
      </c>
    </row>
    <row r="141" spans="2:16" ht="15">
      <c r="B141" s="9">
        <v>66</v>
      </c>
      <c r="C141" t="str">
        <f ca="1">IFERROR(__xludf.DUMMYFUNCTION((TRANSPOSE(ImportHTML("http://spending.data.al/sq/moneypower/view/id/66/year/2012",  "table", 0)))),"*Kategoria*")</f>
        <v>*Kategoria*</v>
      </c>
      <c r="D141" t="s">
        <v>673</v>
      </c>
      <c r="E141" t="s">
        <v>674</v>
      </c>
      <c r="F141" t="s">
        <v>675</v>
      </c>
      <c r="G141" t="s">
        <v>676</v>
      </c>
      <c r="H141" t="s">
        <v>677</v>
      </c>
      <c r="I141" t="s">
        <v>678</v>
      </c>
      <c r="J141" t="s">
        <v>679</v>
      </c>
      <c r="K141" t="s">
        <v>680</v>
      </c>
      <c r="L141" t="s">
        <v>681</v>
      </c>
      <c r="M141" t="s">
        <v>682</v>
      </c>
      <c r="N141" t="s">
        <v>683</v>
      </c>
      <c r="O141" t="s">
        <v>684</v>
      </c>
      <c r="P141" t="s">
        <v>685</v>
      </c>
    </row>
    <row r="142" spans="2:16" ht="15">
      <c r="B142" s="11"/>
      <c r="C142" t="s">
        <v>686</v>
      </c>
      <c r="D142" t="s">
        <v>3118</v>
      </c>
      <c r="E142" t="s">
        <v>688</v>
      </c>
      <c r="F142" t="s">
        <v>3035</v>
      </c>
      <c r="G142" t="s">
        <v>688</v>
      </c>
      <c r="H142" t="s">
        <v>688</v>
      </c>
      <c r="I142" t="s">
        <v>688</v>
      </c>
      <c r="J142" t="s">
        <v>688</v>
      </c>
      <c r="K142" t="s">
        <v>688</v>
      </c>
      <c r="L142" t="s">
        <v>688</v>
      </c>
      <c r="M142" t="s">
        <v>688</v>
      </c>
      <c r="N142" t="s">
        <v>688</v>
      </c>
      <c r="O142" s="13">
        <v>1.1499999999999999</v>
      </c>
      <c r="P142" t="s">
        <v>688</v>
      </c>
    </row>
    <row r="143" spans="2:16" ht="15">
      <c r="B143" s="9">
        <v>67</v>
      </c>
      <c r="C143" t="str">
        <f ca="1">IFERROR(__xludf.DUMMYFUNCTION((TRANSPOSE(ImportHTML("http://spending.data.al/sq/moneypower/view/id/67/year/2012",  "table", 0)))),"*Kategoria*")</f>
        <v>*Kategoria*</v>
      </c>
      <c r="D143" t="s">
        <v>673</v>
      </c>
      <c r="E143" t="s">
        <v>674</v>
      </c>
      <c r="F143" t="s">
        <v>675</v>
      </c>
      <c r="G143" t="s">
        <v>676</v>
      </c>
      <c r="H143" t="s">
        <v>677</v>
      </c>
      <c r="I143" t="s">
        <v>678</v>
      </c>
      <c r="J143" t="s">
        <v>679</v>
      </c>
      <c r="K143" t="s">
        <v>680</v>
      </c>
      <c r="L143" t="s">
        <v>681</v>
      </c>
      <c r="M143" t="s">
        <v>682</v>
      </c>
      <c r="N143" t="s">
        <v>683</v>
      </c>
      <c r="O143" t="s">
        <v>684</v>
      </c>
      <c r="P143" t="s">
        <v>685</v>
      </c>
    </row>
    <row r="144" spans="2:16" ht="15">
      <c r="B144" s="11"/>
      <c r="C144" t="s">
        <v>686</v>
      </c>
      <c r="D144" t="s">
        <v>3119</v>
      </c>
      <c r="E144" t="s">
        <v>3120</v>
      </c>
      <c r="F144" t="s">
        <v>3121</v>
      </c>
      <c r="G144" t="s">
        <v>3122</v>
      </c>
      <c r="H144" t="s">
        <v>688</v>
      </c>
      <c r="I144" t="s">
        <v>688</v>
      </c>
      <c r="J144" t="s">
        <v>688</v>
      </c>
      <c r="K144" t="s">
        <v>688</v>
      </c>
      <c r="L144" t="s">
        <v>688</v>
      </c>
      <c r="M144" t="s">
        <v>3123</v>
      </c>
      <c r="N144" t="s">
        <v>3124</v>
      </c>
      <c r="O144" s="13">
        <v>1.74</v>
      </c>
      <c r="P144" t="s">
        <v>3125</v>
      </c>
    </row>
    <row r="145" spans="2:16" ht="15">
      <c r="B145" s="9">
        <v>68</v>
      </c>
      <c r="C145" t="str">
        <f ca="1">IFERROR(__xludf.DUMMYFUNCTION((TRANSPOSE(ImportHTML("http://spending.data.al/sq/moneypower/view/id/68/year/2012",  "table", 0)))),"*Kategoria*")</f>
        <v>*Kategoria*</v>
      </c>
      <c r="D145" t="s">
        <v>673</v>
      </c>
      <c r="E145" t="s">
        <v>674</v>
      </c>
      <c r="F145" t="s">
        <v>675</v>
      </c>
      <c r="G145" t="s">
        <v>676</v>
      </c>
      <c r="H145" t="s">
        <v>677</v>
      </c>
      <c r="I145" t="s">
        <v>678</v>
      </c>
      <c r="J145" t="s">
        <v>679</v>
      </c>
      <c r="K145" t="s">
        <v>680</v>
      </c>
      <c r="L145" t="s">
        <v>681</v>
      </c>
      <c r="M145" t="s">
        <v>682</v>
      </c>
      <c r="N145" t="s">
        <v>683</v>
      </c>
      <c r="O145" t="s">
        <v>684</v>
      </c>
      <c r="P145" t="s">
        <v>685</v>
      </c>
    </row>
    <row r="146" spans="2:16" ht="15">
      <c r="B146" s="11"/>
      <c r="C146" t="s">
        <v>686</v>
      </c>
      <c r="D146" t="s">
        <v>3126</v>
      </c>
      <c r="E146" t="s">
        <v>688</v>
      </c>
      <c r="F146" t="s">
        <v>688</v>
      </c>
      <c r="G146" t="s">
        <v>688</v>
      </c>
      <c r="H146" t="s">
        <v>688</v>
      </c>
      <c r="I146" t="s">
        <v>688</v>
      </c>
      <c r="J146" t="s">
        <v>688</v>
      </c>
      <c r="K146" t="s">
        <v>688</v>
      </c>
      <c r="L146" t="s">
        <v>688</v>
      </c>
      <c r="M146" t="s">
        <v>3127</v>
      </c>
      <c r="N146" t="s">
        <v>688</v>
      </c>
      <c r="O146" t="s">
        <v>707</v>
      </c>
      <c r="P146" t="s">
        <v>688</v>
      </c>
    </row>
    <row r="147" spans="2:16" ht="15">
      <c r="B147" s="9">
        <v>69</v>
      </c>
      <c r="C147" t="str">
        <f ca="1">IFERROR(__xludf.DUMMYFUNCTION((TRANSPOSE(ImportHTML("http://spending.data.al/sq/moneypower/view/id/69/year/2012",  "table", 0)))),"*Kategoria*")</f>
        <v>*Kategoria*</v>
      </c>
      <c r="D147" t="s">
        <v>673</v>
      </c>
      <c r="E147" t="s">
        <v>674</v>
      </c>
      <c r="F147" t="s">
        <v>675</v>
      </c>
      <c r="G147" t="s">
        <v>676</v>
      </c>
      <c r="H147" t="s">
        <v>677</v>
      </c>
      <c r="I147" t="s">
        <v>678</v>
      </c>
      <c r="J147" t="s">
        <v>679</v>
      </c>
      <c r="K147" t="s">
        <v>680</v>
      </c>
      <c r="L147" t="s">
        <v>681</v>
      </c>
      <c r="M147" t="s">
        <v>682</v>
      </c>
      <c r="N147" t="s">
        <v>683</v>
      </c>
      <c r="O147" t="s">
        <v>684</v>
      </c>
      <c r="P147" t="s">
        <v>685</v>
      </c>
    </row>
    <row r="148" spans="2:16" ht="15">
      <c r="B148" s="11"/>
      <c r="C148" t="s">
        <v>686</v>
      </c>
      <c r="D148" t="s">
        <v>3128</v>
      </c>
      <c r="E148" t="s">
        <v>688</v>
      </c>
      <c r="F148" t="s">
        <v>688</v>
      </c>
      <c r="G148" t="s">
        <v>688</v>
      </c>
      <c r="H148" t="s">
        <v>688</v>
      </c>
      <c r="I148" t="s">
        <v>688</v>
      </c>
      <c r="J148" t="s">
        <v>688</v>
      </c>
      <c r="K148" t="s">
        <v>688</v>
      </c>
      <c r="L148" t="s">
        <v>688</v>
      </c>
      <c r="M148" t="s">
        <v>3129</v>
      </c>
      <c r="N148" t="s">
        <v>688</v>
      </c>
      <c r="O148" s="13">
        <v>1</v>
      </c>
      <c r="P148" t="s">
        <v>688</v>
      </c>
    </row>
    <row r="149" spans="2:16" ht="15">
      <c r="B149" s="9">
        <v>70</v>
      </c>
      <c r="C149" t="str">
        <f ca="1">IFERROR(__xludf.DUMMYFUNCTION((TRANSPOSE(ImportHTML("http://spending.data.al/sq/moneypower/view/id/70/year/2012",  "table", 0)))),"*Kategoria*")</f>
        <v>*Kategoria*</v>
      </c>
      <c r="D149" t="s">
        <v>673</v>
      </c>
      <c r="E149" t="s">
        <v>674</v>
      </c>
      <c r="F149" t="s">
        <v>675</v>
      </c>
      <c r="G149" t="s">
        <v>676</v>
      </c>
      <c r="H149" t="s">
        <v>677</v>
      </c>
      <c r="I149" t="s">
        <v>678</v>
      </c>
      <c r="J149" t="s">
        <v>679</v>
      </c>
      <c r="K149" t="s">
        <v>680</v>
      </c>
      <c r="L149" t="s">
        <v>681</v>
      </c>
      <c r="M149" t="s">
        <v>682</v>
      </c>
      <c r="N149" t="s">
        <v>683</v>
      </c>
      <c r="O149" t="s">
        <v>684</v>
      </c>
      <c r="P149" t="s">
        <v>685</v>
      </c>
    </row>
    <row r="150" spans="2:16" ht="15">
      <c r="B150" s="11"/>
      <c r="C150" t="s">
        <v>686</v>
      </c>
      <c r="D150" t="s">
        <v>3130</v>
      </c>
      <c r="E150" t="s">
        <v>688</v>
      </c>
      <c r="F150" t="s">
        <v>688</v>
      </c>
      <c r="G150" t="s">
        <v>688</v>
      </c>
      <c r="H150" t="s">
        <v>688</v>
      </c>
      <c r="I150" t="s">
        <v>688</v>
      </c>
      <c r="J150" t="s">
        <v>3131</v>
      </c>
      <c r="K150" t="s">
        <v>688</v>
      </c>
      <c r="L150" t="s">
        <v>688</v>
      </c>
      <c r="M150" t="s">
        <v>3132</v>
      </c>
      <c r="N150" t="s">
        <v>688</v>
      </c>
      <c r="O150" s="13">
        <v>1</v>
      </c>
      <c r="P150" t="s">
        <v>688</v>
      </c>
    </row>
    <row r="151" spans="2:16" ht="15">
      <c r="B151" s="9">
        <v>71</v>
      </c>
      <c r="C151" t="str">
        <f ca="1">IFERROR(__xludf.DUMMYFUNCTION((TRANSPOSE(ImportHTML("http://spending.data.al/sq/moneypower/view/id/71/year/2012",  "table", 0)))),"*Kategoria*")</f>
        <v>*Kategoria*</v>
      </c>
      <c r="D151" t="s">
        <v>673</v>
      </c>
      <c r="E151" t="s">
        <v>674</v>
      </c>
      <c r="F151" t="s">
        <v>675</v>
      </c>
      <c r="G151" t="s">
        <v>676</v>
      </c>
      <c r="H151" t="s">
        <v>677</v>
      </c>
      <c r="I151" t="s">
        <v>678</v>
      </c>
      <c r="J151" t="s">
        <v>679</v>
      </c>
      <c r="K151" t="s">
        <v>680</v>
      </c>
      <c r="L151" t="s">
        <v>681</v>
      </c>
      <c r="M151" t="s">
        <v>682</v>
      </c>
      <c r="N151" t="s">
        <v>683</v>
      </c>
      <c r="O151" t="s">
        <v>684</v>
      </c>
      <c r="P151" t="s">
        <v>685</v>
      </c>
    </row>
    <row r="152" spans="2:16" ht="15">
      <c r="B152" s="11"/>
      <c r="C152" t="s">
        <v>686</v>
      </c>
      <c r="D152" t="s">
        <v>980</v>
      </c>
      <c r="E152" t="s">
        <v>688</v>
      </c>
      <c r="F152" t="s">
        <v>981</v>
      </c>
      <c r="G152" t="s">
        <v>688</v>
      </c>
      <c r="H152" t="s">
        <v>688</v>
      </c>
      <c r="I152" t="s">
        <v>3133</v>
      </c>
      <c r="J152" t="s">
        <v>688</v>
      </c>
      <c r="K152" t="s">
        <v>688</v>
      </c>
      <c r="L152" t="s">
        <v>688</v>
      </c>
      <c r="M152" t="s">
        <v>688</v>
      </c>
      <c r="N152" t="s">
        <v>688</v>
      </c>
      <c r="O152" s="13">
        <v>5.95</v>
      </c>
      <c r="P152" t="s">
        <v>3134</v>
      </c>
    </row>
    <row r="153" spans="2:16" ht="15">
      <c r="B153" s="9">
        <v>72</v>
      </c>
      <c r="C153" t="str">
        <f ca="1">IFERROR(__xludf.DUMMYFUNCTION((TRANSPOSE(ImportHTML("http://spending.data.al/sq/moneypower/view/id/72/year/2012",  "table", 0)))),"*Kategoria*")</f>
        <v>*Kategoria*</v>
      </c>
      <c r="D153" t="s">
        <v>673</v>
      </c>
      <c r="E153" t="s">
        <v>674</v>
      </c>
      <c r="F153" t="s">
        <v>675</v>
      </c>
      <c r="G153" t="s">
        <v>676</v>
      </c>
      <c r="H153" t="s">
        <v>677</v>
      </c>
      <c r="I153" t="s">
        <v>678</v>
      </c>
      <c r="J153" t="s">
        <v>679</v>
      </c>
      <c r="K153" t="s">
        <v>680</v>
      </c>
      <c r="L153" t="s">
        <v>681</v>
      </c>
      <c r="M153" t="s">
        <v>682</v>
      </c>
      <c r="N153" t="s">
        <v>683</v>
      </c>
      <c r="O153" t="s">
        <v>684</v>
      </c>
      <c r="P153" t="s">
        <v>685</v>
      </c>
    </row>
    <row r="154" spans="2:16" ht="15">
      <c r="B154" s="11"/>
      <c r="C154" t="s">
        <v>686</v>
      </c>
      <c r="D154" t="s">
        <v>3135</v>
      </c>
      <c r="E154" t="s">
        <v>837</v>
      </c>
      <c r="F154" t="s">
        <v>3136</v>
      </c>
      <c r="G154" t="s">
        <v>3137</v>
      </c>
      <c r="H154" t="s">
        <v>688</v>
      </c>
      <c r="I154" t="s">
        <v>688</v>
      </c>
      <c r="J154" t="s">
        <v>688</v>
      </c>
      <c r="K154" t="s">
        <v>688</v>
      </c>
      <c r="L154" t="s">
        <v>688</v>
      </c>
      <c r="M154" t="s">
        <v>3138</v>
      </c>
      <c r="N154" t="s">
        <v>688</v>
      </c>
      <c r="O154" s="13">
        <v>1.64</v>
      </c>
      <c r="P154" t="s">
        <v>688</v>
      </c>
    </row>
    <row r="155" spans="2:16" ht="15">
      <c r="B155" s="9">
        <v>73</v>
      </c>
      <c r="C155" t="str">
        <f ca="1">IFERROR(__xludf.DUMMYFUNCTION((TRANSPOSE(ImportHTML("http://spending.data.al/sq/moneypower/view/id/73/year/2012",  "table", 0)))),"*Kategoria*")</f>
        <v>*Kategoria*</v>
      </c>
      <c r="D155" t="s">
        <v>673</v>
      </c>
      <c r="E155" t="s">
        <v>674</v>
      </c>
      <c r="F155" t="s">
        <v>675</v>
      </c>
      <c r="G155" t="s">
        <v>676</v>
      </c>
      <c r="H155" t="s">
        <v>677</v>
      </c>
      <c r="I155" t="s">
        <v>678</v>
      </c>
      <c r="J155" t="s">
        <v>679</v>
      </c>
      <c r="K155" t="s">
        <v>680</v>
      </c>
      <c r="L155" t="s">
        <v>681</v>
      </c>
      <c r="M155" t="s">
        <v>682</v>
      </c>
      <c r="N155" t="s">
        <v>683</v>
      </c>
      <c r="O155" t="s">
        <v>684</v>
      </c>
      <c r="P155" t="s">
        <v>685</v>
      </c>
    </row>
    <row r="156" spans="2:16" ht="15">
      <c r="B156" s="11"/>
      <c r="C156" t="s">
        <v>686</v>
      </c>
      <c r="D156" t="s">
        <v>3139</v>
      </c>
      <c r="E156" t="s">
        <v>3140</v>
      </c>
      <c r="F156" t="s">
        <v>688</v>
      </c>
      <c r="G156" t="s">
        <v>3141</v>
      </c>
      <c r="H156" t="s">
        <v>688</v>
      </c>
      <c r="I156" t="s">
        <v>688</v>
      </c>
      <c r="J156" t="s">
        <v>688</v>
      </c>
      <c r="K156" t="s">
        <v>688</v>
      </c>
      <c r="L156" t="s">
        <v>688</v>
      </c>
      <c r="M156" t="s">
        <v>3142</v>
      </c>
      <c r="N156" t="s">
        <v>688</v>
      </c>
      <c r="O156" s="13">
        <v>1.32</v>
      </c>
      <c r="P156" t="s">
        <v>3143</v>
      </c>
    </row>
    <row r="157" spans="2:16" ht="15">
      <c r="B157" s="9">
        <v>74</v>
      </c>
      <c r="C157" t="str">
        <f ca="1">IFERROR(__xludf.DUMMYFUNCTION((TRANSPOSE(ImportHTML("http://spending.data.al/sq/moneypower/view/id/74/year/2012",  "table", 0)))),"*Kategoria*")</f>
        <v>*Kategoria*</v>
      </c>
      <c r="D157" t="s">
        <v>673</v>
      </c>
      <c r="E157" t="s">
        <v>674</v>
      </c>
      <c r="F157" t="s">
        <v>675</v>
      </c>
      <c r="G157" t="s">
        <v>676</v>
      </c>
      <c r="H157" t="s">
        <v>677</v>
      </c>
      <c r="I157" t="s">
        <v>678</v>
      </c>
      <c r="J157" t="s">
        <v>679</v>
      </c>
      <c r="K157" t="s">
        <v>680</v>
      </c>
      <c r="L157" t="s">
        <v>681</v>
      </c>
      <c r="M157" t="s">
        <v>682</v>
      </c>
      <c r="N157" t="s">
        <v>683</v>
      </c>
      <c r="O157" t="s">
        <v>684</v>
      </c>
      <c r="P157" t="s">
        <v>685</v>
      </c>
    </row>
    <row r="158" spans="2:16" ht="15">
      <c r="B158" s="11"/>
      <c r="C158" t="s">
        <v>686</v>
      </c>
      <c r="D158" t="s">
        <v>3144</v>
      </c>
      <c r="E158" t="s">
        <v>688</v>
      </c>
      <c r="F158" t="s">
        <v>688</v>
      </c>
      <c r="G158" t="s">
        <v>3145</v>
      </c>
      <c r="H158" t="s">
        <v>3146</v>
      </c>
      <c r="I158" t="s">
        <v>688</v>
      </c>
      <c r="J158" t="s">
        <v>688</v>
      </c>
      <c r="K158" t="s">
        <v>688</v>
      </c>
      <c r="L158" t="s">
        <v>688</v>
      </c>
      <c r="M158" t="s">
        <v>3147</v>
      </c>
      <c r="N158" t="s">
        <v>688</v>
      </c>
      <c r="O158" s="13">
        <v>1.81</v>
      </c>
      <c r="P158" t="s">
        <v>3148</v>
      </c>
    </row>
    <row r="159" spans="2:16" ht="15">
      <c r="B159" s="9">
        <v>75</v>
      </c>
      <c r="C159" t="str">
        <f ca="1">IFERROR(__xludf.DUMMYFUNCTION((TRANSPOSE(ImportHTML("http://spending.data.al/sq/moneypower/view/id/75/year/2012",  "table", 0)))),"*Kategoria*")</f>
        <v>*Kategoria*</v>
      </c>
      <c r="D159" t="s">
        <v>673</v>
      </c>
      <c r="E159" t="s">
        <v>674</v>
      </c>
      <c r="F159" t="s">
        <v>675</v>
      </c>
      <c r="G159" t="s">
        <v>676</v>
      </c>
      <c r="H159" t="s">
        <v>677</v>
      </c>
      <c r="I159" t="s">
        <v>678</v>
      </c>
      <c r="J159" t="s">
        <v>679</v>
      </c>
      <c r="K159" t="s">
        <v>680</v>
      </c>
      <c r="L159" t="s">
        <v>681</v>
      </c>
      <c r="M159" t="s">
        <v>682</v>
      </c>
      <c r="N159" t="s">
        <v>683</v>
      </c>
      <c r="O159" t="s">
        <v>684</v>
      </c>
      <c r="P159" t="s">
        <v>685</v>
      </c>
    </row>
    <row r="160" spans="2:16" ht="15">
      <c r="B160" s="11"/>
      <c r="C160" t="s">
        <v>686</v>
      </c>
      <c r="D160" t="s">
        <v>3149</v>
      </c>
      <c r="E160" t="s">
        <v>688</v>
      </c>
      <c r="F160" t="s">
        <v>688</v>
      </c>
      <c r="G160" t="s">
        <v>688</v>
      </c>
      <c r="H160" t="s">
        <v>688</v>
      </c>
      <c r="I160" t="s">
        <v>688</v>
      </c>
      <c r="J160" t="s">
        <v>688</v>
      </c>
      <c r="K160" t="s">
        <v>688</v>
      </c>
      <c r="L160" t="s">
        <v>688</v>
      </c>
      <c r="M160" t="s">
        <v>688</v>
      </c>
      <c r="N160" t="s">
        <v>3150</v>
      </c>
      <c r="O160" s="13">
        <v>2.65</v>
      </c>
    </row>
    <row r="161" spans="2:16" ht="15">
      <c r="B161" s="9">
        <v>76</v>
      </c>
      <c r="C161" t="str">
        <f ca="1">IFERROR(__xludf.DUMMYFUNCTION((TRANSPOSE(ImportHTML("http://spending.data.al/sq/moneypower/view/id/76/year/2012",  "table", 0)))),"*Kategoria*")</f>
        <v>*Kategoria*</v>
      </c>
      <c r="D161" t="s">
        <v>673</v>
      </c>
      <c r="E161" t="s">
        <v>674</v>
      </c>
      <c r="F161" t="s">
        <v>675</v>
      </c>
      <c r="G161" t="s">
        <v>676</v>
      </c>
      <c r="H161" t="s">
        <v>677</v>
      </c>
      <c r="I161" t="s">
        <v>678</v>
      </c>
      <c r="J161" t="s">
        <v>679</v>
      </c>
      <c r="K161" t="s">
        <v>680</v>
      </c>
      <c r="L161" t="s">
        <v>681</v>
      </c>
      <c r="M161" t="s">
        <v>682</v>
      </c>
      <c r="N161" t="s">
        <v>683</v>
      </c>
      <c r="O161" t="s">
        <v>684</v>
      </c>
      <c r="P161" t="s">
        <v>685</v>
      </c>
    </row>
    <row r="162" spans="2:16" ht="15">
      <c r="B162" s="11"/>
      <c r="C162" t="s">
        <v>686</v>
      </c>
      <c r="D162" t="s">
        <v>3151</v>
      </c>
      <c r="E162" t="s">
        <v>688</v>
      </c>
      <c r="F162" t="s">
        <v>688</v>
      </c>
      <c r="G162" t="s">
        <v>688</v>
      </c>
      <c r="H162" t="s">
        <v>688</v>
      </c>
      <c r="I162" t="s">
        <v>688</v>
      </c>
      <c r="J162" t="s">
        <v>688</v>
      </c>
      <c r="K162" t="s">
        <v>688</v>
      </c>
      <c r="L162" t="s">
        <v>688</v>
      </c>
      <c r="M162" t="s">
        <v>3152</v>
      </c>
      <c r="N162" t="s">
        <v>3153</v>
      </c>
      <c r="O162" s="13">
        <v>2.46</v>
      </c>
      <c r="P162" t="s">
        <v>3154</v>
      </c>
    </row>
    <row r="163" spans="2:16" ht="15">
      <c r="B163" s="9">
        <v>77</v>
      </c>
      <c r="C163" t="str">
        <f ca="1">IFERROR(__xludf.DUMMYFUNCTION((TRANSPOSE(ImportHTML("http://spending.data.al/sq/moneypower/view/id/77/year/2012",  "table", 0)))),"*Kategoria*")</f>
        <v>*Kategoria*</v>
      </c>
      <c r="D163" t="s">
        <v>673</v>
      </c>
      <c r="E163" t="s">
        <v>674</v>
      </c>
      <c r="F163" t="s">
        <v>675</v>
      </c>
      <c r="G163" t="s">
        <v>676</v>
      </c>
      <c r="H163" t="s">
        <v>677</v>
      </c>
      <c r="I163" t="s">
        <v>678</v>
      </c>
      <c r="J163" t="s">
        <v>679</v>
      </c>
      <c r="K163" t="s">
        <v>680</v>
      </c>
      <c r="L163" t="s">
        <v>681</v>
      </c>
      <c r="M163" t="s">
        <v>682</v>
      </c>
      <c r="N163" t="s">
        <v>683</v>
      </c>
      <c r="O163" t="s">
        <v>684</v>
      </c>
      <c r="P163" t="s">
        <v>685</v>
      </c>
    </row>
    <row r="164" spans="2:16" ht="15">
      <c r="B164" s="11"/>
      <c r="C164" t="s">
        <v>686</v>
      </c>
      <c r="D164" t="s">
        <v>3155</v>
      </c>
      <c r="E164" t="s">
        <v>688</v>
      </c>
      <c r="F164" t="s">
        <v>3156</v>
      </c>
      <c r="G164" t="s">
        <v>688</v>
      </c>
      <c r="H164" t="s">
        <v>688</v>
      </c>
      <c r="I164" t="s">
        <v>688</v>
      </c>
      <c r="J164" t="s">
        <v>688</v>
      </c>
      <c r="K164" t="s">
        <v>688</v>
      </c>
      <c r="L164" t="s">
        <v>688</v>
      </c>
      <c r="M164" t="s">
        <v>3157</v>
      </c>
      <c r="N164" t="s">
        <v>3158</v>
      </c>
      <c r="O164" s="13">
        <v>3.28</v>
      </c>
    </row>
    <row r="165" spans="2:16" ht="15">
      <c r="B165" s="9">
        <v>78</v>
      </c>
      <c r="C165" t="str">
        <f ca="1">IFERROR(__xludf.DUMMYFUNCTION((TRANSPOSE(ImportHTML("http://spending.data.al/sq/moneypower/view/id/78/year/2012",  "table", 0)))),"*Kategoria*")</f>
        <v>*Kategoria*</v>
      </c>
      <c r="D165" t="s">
        <v>673</v>
      </c>
      <c r="E165" t="s">
        <v>674</v>
      </c>
      <c r="F165" t="s">
        <v>675</v>
      </c>
      <c r="G165" t="s">
        <v>676</v>
      </c>
      <c r="H165" t="s">
        <v>677</v>
      </c>
      <c r="I165" t="s">
        <v>678</v>
      </c>
      <c r="J165" t="s">
        <v>679</v>
      </c>
      <c r="K165" t="s">
        <v>680</v>
      </c>
      <c r="L165" t="s">
        <v>681</v>
      </c>
      <c r="M165" t="s">
        <v>682</v>
      </c>
      <c r="N165" t="s">
        <v>683</v>
      </c>
      <c r="O165" t="s">
        <v>684</v>
      </c>
      <c r="P165" t="s">
        <v>685</v>
      </c>
    </row>
    <row r="166" spans="2:16" ht="15">
      <c r="B166" s="11"/>
      <c r="C166" t="s">
        <v>686</v>
      </c>
      <c r="D166" t="s">
        <v>3159</v>
      </c>
      <c r="E166" t="s">
        <v>688</v>
      </c>
      <c r="F166" t="s">
        <v>3160</v>
      </c>
      <c r="G166" t="s">
        <v>3161</v>
      </c>
      <c r="H166" t="s">
        <v>688</v>
      </c>
      <c r="I166" t="s">
        <v>688</v>
      </c>
      <c r="J166" t="s">
        <v>688</v>
      </c>
      <c r="K166" t="s">
        <v>688</v>
      </c>
      <c r="L166" t="s">
        <v>688</v>
      </c>
      <c r="M166" t="s">
        <v>3162</v>
      </c>
      <c r="N166" t="s">
        <v>688</v>
      </c>
      <c r="O166" s="13">
        <v>1.45</v>
      </c>
      <c r="P166" t="s">
        <v>3163</v>
      </c>
    </row>
    <row r="167" spans="2:16" ht="15">
      <c r="B167" s="9">
        <v>79</v>
      </c>
      <c r="C167" t="str">
        <f ca="1">IFERROR(__xludf.DUMMYFUNCTION((TRANSPOSE(ImportHTML("http://spending.data.al/sq/moneypower/view/id/79/year/2012",  "table", 0)))),"*Kategoria*")</f>
        <v>*Kategoria*</v>
      </c>
      <c r="D167" t="s">
        <v>673</v>
      </c>
      <c r="E167" t="s">
        <v>674</v>
      </c>
      <c r="F167" t="s">
        <v>675</v>
      </c>
      <c r="G167" t="s">
        <v>676</v>
      </c>
      <c r="H167" t="s">
        <v>677</v>
      </c>
      <c r="I167" t="s">
        <v>678</v>
      </c>
      <c r="J167" t="s">
        <v>679</v>
      </c>
      <c r="K167" t="s">
        <v>680</v>
      </c>
      <c r="L167" t="s">
        <v>681</v>
      </c>
      <c r="M167" t="s">
        <v>682</v>
      </c>
      <c r="N167" t="s">
        <v>683</v>
      </c>
      <c r="O167" t="s">
        <v>684</v>
      </c>
      <c r="P167" t="s">
        <v>685</v>
      </c>
    </row>
    <row r="168" spans="2:16" ht="15">
      <c r="B168" s="11"/>
      <c r="C168" t="s">
        <v>686</v>
      </c>
      <c r="D168" t="s">
        <v>3164</v>
      </c>
      <c r="E168" t="s">
        <v>688</v>
      </c>
      <c r="F168" t="s">
        <v>688</v>
      </c>
      <c r="G168" t="s">
        <v>688</v>
      </c>
      <c r="H168" t="s">
        <v>3165</v>
      </c>
      <c r="I168" t="s">
        <v>688</v>
      </c>
      <c r="J168" t="s">
        <v>688</v>
      </c>
      <c r="K168" t="s">
        <v>688</v>
      </c>
      <c r="L168" t="s">
        <v>688</v>
      </c>
      <c r="M168" t="s">
        <v>3166</v>
      </c>
      <c r="N168" t="s">
        <v>688</v>
      </c>
      <c r="O168" s="13">
        <v>2.2999999999999998</v>
      </c>
      <c r="P168" t="s">
        <v>688</v>
      </c>
    </row>
    <row r="169" spans="2:16" ht="15">
      <c r="B169" s="9">
        <v>80</v>
      </c>
      <c r="C169" t="str">
        <f ca="1">IFERROR(__xludf.DUMMYFUNCTION((TRANSPOSE(ImportHTML("http://spending.data.al/sq/moneypower/view/id/80/year/2012",  "table", 0)))),"*Kategoria*")</f>
        <v>*Kategoria*</v>
      </c>
      <c r="D169" t="s">
        <v>673</v>
      </c>
      <c r="E169" t="s">
        <v>674</v>
      </c>
      <c r="F169" t="s">
        <v>675</v>
      </c>
      <c r="G169" t="s">
        <v>676</v>
      </c>
      <c r="H169" t="s">
        <v>677</v>
      </c>
      <c r="I169" t="s">
        <v>678</v>
      </c>
      <c r="J169" t="s">
        <v>679</v>
      </c>
      <c r="K169" t="s">
        <v>680</v>
      </c>
      <c r="L169" t="s">
        <v>681</v>
      </c>
      <c r="M169" t="s">
        <v>682</v>
      </c>
      <c r="N169" t="s">
        <v>683</v>
      </c>
      <c r="O169" t="s">
        <v>684</v>
      </c>
      <c r="P169" t="s">
        <v>685</v>
      </c>
    </row>
    <row r="170" spans="2:16" ht="15">
      <c r="B170" s="11"/>
      <c r="C170" t="s">
        <v>686</v>
      </c>
      <c r="D170" t="s">
        <v>3167</v>
      </c>
      <c r="E170" t="s">
        <v>688</v>
      </c>
      <c r="F170" t="s">
        <v>3168</v>
      </c>
      <c r="G170" t="s">
        <v>688</v>
      </c>
      <c r="H170" t="s">
        <v>688</v>
      </c>
      <c r="I170" t="s">
        <v>688</v>
      </c>
      <c r="J170" t="s">
        <v>688</v>
      </c>
      <c r="K170" t="s">
        <v>688</v>
      </c>
      <c r="L170" t="s">
        <v>688</v>
      </c>
      <c r="M170" t="s">
        <v>3169</v>
      </c>
      <c r="N170" t="s">
        <v>688</v>
      </c>
      <c r="O170" s="13">
        <v>1.02</v>
      </c>
      <c r="P170" t="s">
        <v>3170</v>
      </c>
    </row>
    <row r="171" spans="2:16" ht="15">
      <c r="B171" s="9">
        <v>81</v>
      </c>
      <c r="C171" t="str">
        <f ca="1">IFERROR(__xludf.DUMMYFUNCTION((TRANSPOSE(ImportHTML("http://spending.data.al/sq/moneypower/view/id/81/year/2012",  "table", 0)))),"*Kategoria*")</f>
        <v>*Kategoria*</v>
      </c>
      <c r="D171" t="s">
        <v>673</v>
      </c>
      <c r="E171" t="s">
        <v>674</v>
      </c>
      <c r="F171" t="s">
        <v>675</v>
      </c>
      <c r="G171" t="s">
        <v>676</v>
      </c>
      <c r="H171" t="s">
        <v>677</v>
      </c>
      <c r="I171" t="s">
        <v>678</v>
      </c>
      <c r="J171" t="s">
        <v>679</v>
      </c>
      <c r="K171" t="s">
        <v>680</v>
      </c>
      <c r="L171" t="s">
        <v>681</v>
      </c>
      <c r="M171" t="s">
        <v>682</v>
      </c>
      <c r="N171" t="s">
        <v>683</v>
      </c>
      <c r="O171" t="s">
        <v>684</v>
      </c>
      <c r="P171" t="s">
        <v>685</v>
      </c>
    </row>
    <row r="172" spans="2:16" ht="15">
      <c r="B172" s="11"/>
      <c r="C172" t="s">
        <v>686</v>
      </c>
      <c r="D172" t="s">
        <v>3171</v>
      </c>
      <c r="E172" t="s">
        <v>688</v>
      </c>
      <c r="F172" t="s">
        <v>688</v>
      </c>
      <c r="G172" t="s">
        <v>688</v>
      </c>
      <c r="H172" t="s">
        <v>688</v>
      </c>
      <c r="I172" t="s">
        <v>688</v>
      </c>
      <c r="J172" t="s">
        <v>688</v>
      </c>
      <c r="K172" t="s">
        <v>688</v>
      </c>
      <c r="L172" t="s">
        <v>688</v>
      </c>
      <c r="M172" t="s">
        <v>3172</v>
      </c>
      <c r="N172" t="s">
        <v>688</v>
      </c>
      <c r="O172" s="13">
        <v>1</v>
      </c>
      <c r="P172" t="s">
        <v>688</v>
      </c>
    </row>
    <row r="173" spans="2:16" ht="15">
      <c r="B173" s="9">
        <v>82</v>
      </c>
      <c r="C173" t="str">
        <f ca="1">IFERROR(__xludf.DUMMYFUNCTION((TRANSPOSE(ImportHTML("http://spending.data.al/sq/moneypower/view/id/82/year/2012",  "table", 0)))),"*Kategoria*")</f>
        <v>*Kategoria*</v>
      </c>
      <c r="D173" t="s">
        <v>673</v>
      </c>
      <c r="E173" t="s">
        <v>674</v>
      </c>
      <c r="F173" t="s">
        <v>675</v>
      </c>
      <c r="G173" t="s">
        <v>676</v>
      </c>
      <c r="H173" t="s">
        <v>677</v>
      </c>
      <c r="I173" t="s">
        <v>678</v>
      </c>
      <c r="J173" t="s">
        <v>679</v>
      </c>
      <c r="K173" t="s">
        <v>680</v>
      </c>
      <c r="L173" t="s">
        <v>681</v>
      </c>
      <c r="M173" t="s">
        <v>682</v>
      </c>
      <c r="N173" t="s">
        <v>683</v>
      </c>
      <c r="O173" t="s">
        <v>684</v>
      </c>
      <c r="P173" t="s">
        <v>685</v>
      </c>
    </row>
    <row r="174" spans="2:16" ht="15">
      <c r="B174" s="11"/>
      <c r="C174" t="s">
        <v>686</v>
      </c>
      <c r="D174" t="s">
        <v>3173</v>
      </c>
      <c r="E174" t="s">
        <v>688</v>
      </c>
      <c r="F174" t="s">
        <v>688</v>
      </c>
      <c r="G174" t="s">
        <v>3174</v>
      </c>
      <c r="H174" t="s">
        <v>3175</v>
      </c>
      <c r="I174" t="s">
        <v>688</v>
      </c>
      <c r="J174" t="s">
        <v>688</v>
      </c>
      <c r="K174" t="s">
        <v>688</v>
      </c>
      <c r="L174" t="s">
        <v>688</v>
      </c>
      <c r="M174" t="s">
        <v>3176</v>
      </c>
      <c r="N174" t="s">
        <v>3177</v>
      </c>
      <c r="O174" s="13">
        <v>6.87</v>
      </c>
      <c r="P174" t="s">
        <v>3178</v>
      </c>
    </row>
    <row r="175" spans="2:16" ht="15">
      <c r="B175" s="9">
        <v>83</v>
      </c>
      <c r="C175" t="str">
        <f ca="1">IFERROR(__xludf.DUMMYFUNCTION((TRANSPOSE(ImportHTML("http://spending.data.al/sq/moneypower/view/id/83/year/2012",  "table", 0)))),"*Kategoria*")</f>
        <v>*Kategoria*</v>
      </c>
      <c r="D175" t="s">
        <v>673</v>
      </c>
      <c r="E175" t="s">
        <v>674</v>
      </c>
      <c r="F175" t="s">
        <v>675</v>
      </c>
      <c r="G175" t="s">
        <v>676</v>
      </c>
      <c r="H175" t="s">
        <v>677</v>
      </c>
      <c r="I175" t="s">
        <v>678</v>
      </c>
      <c r="J175" t="s">
        <v>679</v>
      </c>
      <c r="K175" t="s">
        <v>680</v>
      </c>
      <c r="L175" t="s">
        <v>681</v>
      </c>
      <c r="M175" t="s">
        <v>682</v>
      </c>
      <c r="N175" t="s">
        <v>683</v>
      </c>
      <c r="O175" t="s">
        <v>684</v>
      </c>
      <c r="P175" t="s">
        <v>685</v>
      </c>
    </row>
    <row r="176" spans="2:16" ht="15">
      <c r="B176" s="11"/>
      <c r="C176" t="s">
        <v>686</v>
      </c>
      <c r="D176" t="s">
        <v>3179</v>
      </c>
      <c r="E176" t="s">
        <v>688</v>
      </c>
      <c r="F176" t="s">
        <v>688</v>
      </c>
      <c r="G176" t="s">
        <v>688</v>
      </c>
      <c r="H176" t="s">
        <v>688</v>
      </c>
      <c r="I176" t="s">
        <v>688</v>
      </c>
      <c r="J176" t="s">
        <v>688</v>
      </c>
      <c r="K176" t="s">
        <v>688</v>
      </c>
      <c r="L176" t="s">
        <v>688</v>
      </c>
      <c r="M176" t="s">
        <v>3180</v>
      </c>
      <c r="N176" t="s">
        <v>688</v>
      </c>
      <c r="O176" s="13">
        <v>1</v>
      </c>
      <c r="P176" t="s">
        <v>688</v>
      </c>
    </row>
    <row r="177" spans="2:16" ht="15">
      <c r="B177" s="9">
        <v>84</v>
      </c>
      <c r="C177" t="str">
        <f ca="1">IFERROR(__xludf.DUMMYFUNCTION((TRANSPOSE(ImportHTML("http://spending.data.al/sq/moneypower/view/id/84/year/2012",  "table", 0)))),"*Kategoria*")</f>
        <v>*Kategoria*</v>
      </c>
      <c r="D177" t="s">
        <v>673</v>
      </c>
      <c r="E177" t="s">
        <v>674</v>
      </c>
      <c r="F177" t="s">
        <v>675</v>
      </c>
      <c r="G177" t="s">
        <v>676</v>
      </c>
      <c r="H177" t="s">
        <v>677</v>
      </c>
      <c r="I177" t="s">
        <v>678</v>
      </c>
      <c r="J177" t="s">
        <v>679</v>
      </c>
      <c r="K177" t="s">
        <v>680</v>
      </c>
      <c r="L177" t="s">
        <v>681</v>
      </c>
      <c r="M177" t="s">
        <v>682</v>
      </c>
      <c r="N177" t="s">
        <v>683</v>
      </c>
      <c r="O177" t="s">
        <v>684</v>
      </c>
      <c r="P177" t="s">
        <v>685</v>
      </c>
    </row>
    <row r="178" spans="2:16" ht="15">
      <c r="B178" s="11"/>
      <c r="C178" t="s">
        <v>686</v>
      </c>
      <c r="D178" t="s">
        <v>3159</v>
      </c>
      <c r="E178" t="s">
        <v>688</v>
      </c>
      <c r="F178" t="s">
        <v>688</v>
      </c>
      <c r="G178" t="s">
        <v>3181</v>
      </c>
      <c r="H178" t="s">
        <v>688</v>
      </c>
      <c r="I178" t="s">
        <v>688</v>
      </c>
      <c r="J178" t="s">
        <v>688</v>
      </c>
      <c r="K178" t="s">
        <v>688</v>
      </c>
      <c r="L178" t="s">
        <v>688</v>
      </c>
      <c r="M178" t="s">
        <v>3182</v>
      </c>
      <c r="N178" t="s">
        <v>688</v>
      </c>
      <c r="O178" s="13">
        <v>1.1200000000000001</v>
      </c>
      <c r="P178" t="s">
        <v>3183</v>
      </c>
    </row>
    <row r="179" spans="2:16" ht="15">
      <c r="B179" s="9">
        <v>85</v>
      </c>
      <c r="C179" t="str">
        <f ca="1">IFERROR(__xludf.DUMMYFUNCTION((TRANSPOSE(ImportHTML("http://spending.data.al/sq/moneypower/view/id/85/year/2012",  "table", 0)))),"*Kategoria*")</f>
        <v>*Kategoria*</v>
      </c>
      <c r="D179" t="s">
        <v>673</v>
      </c>
      <c r="E179" t="s">
        <v>674</v>
      </c>
      <c r="F179" t="s">
        <v>675</v>
      </c>
      <c r="G179" t="s">
        <v>676</v>
      </c>
      <c r="H179" t="s">
        <v>677</v>
      </c>
      <c r="I179" t="s">
        <v>678</v>
      </c>
      <c r="J179" t="s">
        <v>679</v>
      </c>
      <c r="K179" t="s">
        <v>680</v>
      </c>
      <c r="L179" t="s">
        <v>681</v>
      </c>
      <c r="M179" t="s">
        <v>682</v>
      </c>
      <c r="N179" t="s">
        <v>683</v>
      </c>
      <c r="O179" t="s">
        <v>684</v>
      </c>
      <c r="P179" t="s">
        <v>685</v>
      </c>
    </row>
    <row r="180" spans="2:16" ht="15">
      <c r="B180" s="11"/>
      <c r="C180" t="s">
        <v>686</v>
      </c>
      <c r="D180" t="s">
        <v>3179</v>
      </c>
      <c r="E180" t="s">
        <v>688</v>
      </c>
      <c r="F180" t="s">
        <v>688</v>
      </c>
      <c r="G180" t="s">
        <v>688</v>
      </c>
      <c r="H180" t="s">
        <v>688</v>
      </c>
      <c r="I180" t="s">
        <v>688</v>
      </c>
      <c r="J180" t="s">
        <v>688</v>
      </c>
      <c r="K180" t="s">
        <v>688</v>
      </c>
      <c r="L180" t="s">
        <v>688</v>
      </c>
      <c r="M180" t="s">
        <v>688</v>
      </c>
      <c r="N180" t="s">
        <v>688</v>
      </c>
      <c r="O180" s="13">
        <v>1</v>
      </c>
      <c r="P180" t="s">
        <v>688</v>
      </c>
    </row>
    <row r="181" spans="2:16" ht="15">
      <c r="B181" s="9">
        <v>86</v>
      </c>
      <c r="C181" t="str">
        <f ca="1">IFERROR(__xludf.DUMMYFUNCTION((TRANSPOSE(ImportHTML("http://spending.data.al/sq/moneypower/view/id/86/year/2012",  "table", 0)))),"*Kategoria*")</f>
        <v>*Kategoria*</v>
      </c>
      <c r="D181" t="s">
        <v>673</v>
      </c>
      <c r="E181" t="s">
        <v>674</v>
      </c>
      <c r="F181" t="s">
        <v>675</v>
      </c>
      <c r="G181" t="s">
        <v>676</v>
      </c>
      <c r="H181" t="s">
        <v>677</v>
      </c>
      <c r="I181" t="s">
        <v>678</v>
      </c>
      <c r="J181" t="s">
        <v>679</v>
      </c>
      <c r="K181" t="s">
        <v>680</v>
      </c>
      <c r="L181" t="s">
        <v>681</v>
      </c>
      <c r="M181" t="s">
        <v>682</v>
      </c>
      <c r="N181" t="s">
        <v>683</v>
      </c>
      <c r="O181" t="s">
        <v>684</v>
      </c>
      <c r="P181" t="s">
        <v>685</v>
      </c>
    </row>
    <row r="182" spans="2:16" ht="15">
      <c r="B182" s="11"/>
      <c r="C182" t="s">
        <v>686</v>
      </c>
      <c r="D182" t="s">
        <v>3179</v>
      </c>
      <c r="E182" t="s">
        <v>688</v>
      </c>
      <c r="F182" t="s">
        <v>688</v>
      </c>
      <c r="G182" t="s">
        <v>3184</v>
      </c>
      <c r="H182" t="s">
        <v>3185</v>
      </c>
      <c r="I182" t="s">
        <v>688</v>
      </c>
      <c r="J182" t="s">
        <v>688</v>
      </c>
      <c r="K182" t="s">
        <v>688</v>
      </c>
      <c r="L182" t="s">
        <v>688</v>
      </c>
      <c r="M182" t="s">
        <v>3186</v>
      </c>
      <c r="N182" t="s">
        <v>688</v>
      </c>
      <c r="O182" s="13">
        <v>4.03</v>
      </c>
      <c r="P182" t="s">
        <v>3187</v>
      </c>
    </row>
    <row r="183" spans="2:16" ht="15">
      <c r="B183" s="9">
        <v>87</v>
      </c>
      <c r="C183" t="str">
        <f ca="1">IFERROR(__xludf.DUMMYFUNCTION((TRANSPOSE(ImportHTML("http://spending.data.al/sq/moneypower/view/id/87/year/2012",  "table", 0)))),"*Kategoria*")</f>
        <v>*Kategoria*</v>
      </c>
      <c r="D183" t="s">
        <v>673</v>
      </c>
      <c r="E183" t="s">
        <v>674</v>
      </c>
      <c r="F183" t="s">
        <v>675</v>
      </c>
      <c r="G183" t="s">
        <v>676</v>
      </c>
      <c r="H183" t="s">
        <v>677</v>
      </c>
      <c r="I183" t="s">
        <v>678</v>
      </c>
      <c r="J183" t="s">
        <v>679</v>
      </c>
      <c r="K183" t="s">
        <v>680</v>
      </c>
      <c r="L183" t="s">
        <v>681</v>
      </c>
      <c r="M183" t="s">
        <v>682</v>
      </c>
      <c r="N183" t="s">
        <v>683</v>
      </c>
      <c r="O183" t="s">
        <v>684</v>
      </c>
      <c r="P183" t="s">
        <v>685</v>
      </c>
    </row>
    <row r="184" spans="2:16" ht="15">
      <c r="B184" s="11"/>
      <c r="C184" t="s">
        <v>686</v>
      </c>
      <c r="D184" t="s">
        <v>3188</v>
      </c>
      <c r="E184" t="s">
        <v>688</v>
      </c>
      <c r="F184" t="s">
        <v>688</v>
      </c>
      <c r="G184" t="s">
        <v>3189</v>
      </c>
      <c r="H184" t="s">
        <v>3190</v>
      </c>
      <c r="I184" t="s">
        <v>688</v>
      </c>
      <c r="J184" t="s">
        <v>688</v>
      </c>
      <c r="K184" t="s">
        <v>688</v>
      </c>
      <c r="L184" t="s">
        <v>688</v>
      </c>
      <c r="M184" t="s">
        <v>3191</v>
      </c>
      <c r="N184" t="s">
        <v>3192</v>
      </c>
      <c r="O184" s="13">
        <v>1.46</v>
      </c>
      <c r="P184" t="s">
        <v>3193</v>
      </c>
    </row>
    <row r="185" spans="2:16" ht="15">
      <c r="B185" s="9">
        <v>88</v>
      </c>
      <c r="C185" t="str">
        <f ca="1">IFERROR(__xludf.DUMMYFUNCTION((TRANSPOSE(ImportHTML("http://spending.data.al/sq/moneypower/view/id/88/year/2012",  "table", 0)))),"*Kategoria*")</f>
        <v>*Kategoria*</v>
      </c>
      <c r="D185" t="s">
        <v>673</v>
      </c>
      <c r="E185" t="s">
        <v>674</v>
      </c>
      <c r="F185" t="s">
        <v>675</v>
      </c>
      <c r="G185" t="s">
        <v>676</v>
      </c>
      <c r="H185" t="s">
        <v>677</v>
      </c>
      <c r="I185" t="s">
        <v>678</v>
      </c>
      <c r="J185" t="s">
        <v>679</v>
      </c>
      <c r="K185" t="s">
        <v>680</v>
      </c>
      <c r="L185" t="s">
        <v>681</v>
      </c>
      <c r="M185" t="s">
        <v>682</v>
      </c>
      <c r="N185" t="s">
        <v>683</v>
      </c>
      <c r="O185" t="s">
        <v>684</v>
      </c>
      <c r="P185" t="s">
        <v>685</v>
      </c>
    </row>
    <row r="186" spans="2:16" ht="15">
      <c r="B186" s="11"/>
      <c r="C186" t="s">
        <v>686</v>
      </c>
      <c r="D186" t="s">
        <v>3194</v>
      </c>
      <c r="E186" t="s">
        <v>688</v>
      </c>
      <c r="F186" t="s">
        <v>688</v>
      </c>
      <c r="G186" t="s">
        <v>688</v>
      </c>
      <c r="H186" t="s">
        <v>688</v>
      </c>
      <c r="I186" t="s">
        <v>688</v>
      </c>
      <c r="J186" t="s">
        <v>688</v>
      </c>
      <c r="K186" t="s">
        <v>688</v>
      </c>
      <c r="L186" t="s">
        <v>688</v>
      </c>
      <c r="M186" t="s">
        <v>3195</v>
      </c>
      <c r="N186" t="s">
        <v>688</v>
      </c>
      <c r="O186" s="13">
        <v>1</v>
      </c>
      <c r="P186" t="s">
        <v>3196</v>
      </c>
    </row>
    <row r="187" spans="2:16" ht="15">
      <c r="B187" s="9">
        <v>89</v>
      </c>
      <c r="C187" t="str">
        <f ca="1">IFERROR(__xludf.DUMMYFUNCTION((TRANSPOSE(ImportHTML("http://spending.data.al/sq/moneypower/view/id/89/year/2012",  "table", 0)))),"*Kategoria*")</f>
        <v>*Kategoria*</v>
      </c>
      <c r="D187" t="s">
        <v>673</v>
      </c>
      <c r="E187" t="s">
        <v>674</v>
      </c>
      <c r="F187" t="s">
        <v>675</v>
      </c>
      <c r="G187" t="s">
        <v>676</v>
      </c>
      <c r="H187" t="s">
        <v>677</v>
      </c>
      <c r="I187" t="s">
        <v>678</v>
      </c>
      <c r="J187" t="s">
        <v>679</v>
      </c>
      <c r="K187" t="s">
        <v>680</v>
      </c>
      <c r="L187" t="s">
        <v>681</v>
      </c>
      <c r="M187" t="s">
        <v>682</v>
      </c>
      <c r="N187" t="s">
        <v>683</v>
      </c>
      <c r="O187" t="s">
        <v>684</v>
      </c>
      <c r="P187" t="s">
        <v>685</v>
      </c>
    </row>
    <row r="188" spans="2:16" ht="15">
      <c r="B188" s="11"/>
      <c r="C188" t="s">
        <v>686</v>
      </c>
      <c r="D188" t="s">
        <v>3197</v>
      </c>
      <c r="E188" t="s">
        <v>688</v>
      </c>
      <c r="F188" t="s">
        <v>3198</v>
      </c>
      <c r="G188" t="s">
        <v>688</v>
      </c>
      <c r="H188" t="s">
        <v>3199</v>
      </c>
      <c r="I188" t="s">
        <v>688</v>
      </c>
      <c r="J188" t="s">
        <v>688</v>
      </c>
      <c r="K188" t="s">
        <v>3200</v>
      </c>
      <c r="L188" t="s">
        <v>688</v>
      </c>
      <c r="M188" t="s">
        <v>3201</v>
      </c>
      <c r="N188" t="s">
        <v>688</v>
      </c>
      <c r="O188" s="13">
        <v>4</v>
      </c>
      <c r="P188" t="s">
        <v>688</v>
      </c>
    </row>
    <row r="189" spans="2:16" ht="15">
      <c r="B189" s="9">
        <v>90</v>
      </c>
      <c r="C189" t="str">
        <f ca="1">IFERROR(__xludf.DUMMYFUNCTION((TRANSPOSE(ImportHTML("http://spending.data.al/sq/moneypower/view/id/90/year/2012",  "table", 0)))),"*Kategoria*")</f>
        <v>*Kategoria*</v>
      </c>
      <c r="D189" t="s">
        <v>673</v>
      </c>
      <c r="E189" t="s">
        <v>674</v>
      </c>
      <c r="F189" t="s">
        <v>675</v>
      </c>
      <c r="G189" t="s">
        <v>676</v>
      </c>
      <c r="H189" t="s">
        <v>677</v>
      </c>
      <c r="I189" t="s">
        <v>678</v>
      </c>
      <c r="J189" t="s">
        <v>679</v>
      </c>
      <c r="K189" t="s">
        <v>680</v>
      </c>
      <c r="L189" t="s">
        <v>681</v>
      </c>
      <c r="M189" t="s">
        <v>682</v>
      </c>
      <c r="N189" t="s">
        <v>683</v>
      </c>
      <c r="O189" t="s">
        <v>684</v>
      </c>
      <c r="P189" t="s">
        <v>685</v>
      </c>
    </row>
    <row r="190" spans="2:16" ht="15">
      <c r="B190" s="11"/>
      <c r="C190" t="s">
        <v>686</v>
      </c>
      <c r="D190" t="s">
        <v>3202</v>
      </c>
      <c r="E190" t="s">
        <v>688</v>
      </c>
      <c r="F190" t="s">
        <v>688</v>
      </c>
      <c r="G190" t="s">
        <v>688</v>
      </c>
      <c r="H190" t="s">
        <v>688</v>
      </c>
      <c r="I190" t="s">
        <v>688</v>
      </c>
      <c r="J190" t="s">
        <v>688</v>
      </c>
      <c r="K190" t="s">
        <v>688</v>
      </c>
      <c r="L190" t="s">
        <v>688</v>
      </c>
      <c r="M190" t="s">
        <v>3203</v>
      </c>
      <c r="N190" t="s">
        <v>688</v>
      </c>
      <c r="O190" s="13">
        <v>1</v>
      </c>
      <c r="P190" t="s">
        <v>707</v>
      </c>
    </row>
    <row r="191" spans="2:16" ht="15">
      <c r="B191" s="9">
        <v>91</v>
      </c>
      <c r="C191" t="str">
        <f ca="1">IFERROR(__xludf.DUMMYFUNCTION((TRANSPOSE(ImportHTML("http://spending.data.al/sq/moneypower/view/id/91/year/2012",  "table", 0)))),"*Emër Subjekti*")</f>
        <v>*Emër Subjekti*</v>
      </c>
      <c r="D191" t="s">
        <v>698</v>
      </c>
      <c r="E191" t="s">
        <v>699</v>
      </c>
      <c r="F191" t="s">
        <v>700</v>
      </c>
      <c r="G191" t="s">
        <v>701</v>
      </c>
      <c r="H191" t="s">
        <v>702</v>
      </c>
    </row>
    <row r="192" spans="2:16" ht="15">
      <c r="B192" s="11"/>
    </row>
    <row r="193" spans="2:16" ht="15">
      <c r="B193" s="11"/>
      <c r="C193" t="s">
        <v>2109</v>
      </c>
      <c r="D193" t="s">
        <v>2110</v>
      </c>
      <c r="E193" s="12">
        <v>41556</v>
      </c>
      <c r="F193" t="s">
        <v>707</v>
      </c>
      <c r="G193" t="s">
        <v>2111</v>
      </c>
      <c r="H193" t="s">
        <v>2112</v>
      </c>
    </row>
    <row r="194" spans="2:16" ht="15">
      <c r="B194" s="9">
        <v>92</v>
      </c>
      <c r="C194" t="str">
        <f ca="1">IFERROR(__xludf.DUMMYFUNCTION((TRANSPOSE(ImportHTML("http://spending.data.al/sq/moneypower/view/id/92/year/2012",  "table", 0)))),"*Emër Subjekti*")</f>
        <v>*Emër Subjekti*</v>
      </c>
      <c r="D194" t="s">
        <v>698</v>
      </c>
      <c r="E194" t="s">
        <v>699</v>
      </c>
      <c r="F194" t="s">
        <v>700</v>
      </c>
      <c r="G194" t="s">
        <v>701</v>
      </c>
      <c r="H194" t="s">
        <v>702</v>
      </c>
    </row>
    <row r="195" spans="2:16" ht="15">
      <c r="B195" s="9"/>
    </row>
    <row r="196" spans="2:16" ht="15">
      <c r="B196" s="11"/>
      <c r="C196" t="s">
        <v>2113</v>
      </c>
      <c r="D196" t="s">
        <v>2114</v>
      </c>
      <c r="E196" s="12">
        <v>41548</v>
      </c>
      <c r="F196" t="s">
        <v>707</v>
      </c>
      <c r="G196" t="s">
        <v>2115</v>
      </c>
      <c r="H196" t="s">
        <v>707</v>
      </c>
    </row>
    <row r="197" spans="2:16" ht="15">
      <c r="B197" s="9">
        <v>93</v>
      </c>
      <c r="C197" t="str">
        <f ca="1">IFERROR(__xludf.DUMMYFUNCTION((TRANSPOSE(ImportHTML("http://spending.data.al/sq/moneypower/view/id/93/year/2012",  "table", 0)))),"*Emër Subjekti*")</f>
        <v>*Emër Subjekti*</v>
      </c>
      <c r="D197" t="s">
        <v>698</v>
      </c>
      <c r="E197" t="s">
        <v>699</v>
      </c>
      <c r="F197" t="s">
        <v>700</v>
      </c>
      <c r="G197" t="s">
        <v>701</v>
      </c>
      <c r="H197" t="s">
        <v>702</v>
      </c>
    </row>
    <row r="198" spans="2:16" ht="15">
      <c r="B198" s="9"/>
    </row>
    <row r="199" spans="2:16" ht="15">
      <c r="B199" s="11"/>
      <c r="C199" t="s">
        <v>2116</v>
      </c>
      <c r="D199" t="s">
        <v>2117</v>
      </c>
      <c r="E199" s="12">
        <v>41548</v>
      </c>
      <c r="F199" t="s">
        <v>707</v>
      </c>
      <c r="G199" t="s">
        <v>2118</v>
      </c>
      <c r="H199" t="s">
        <v>707</v>
      </c>
    </row>
    <row r="200" spans="2:16" ht="15">
      <c r="B200" s="9">
        <v>94</v>
      </c>
      <c r="C200" t="str">
        <f ca="1">IFERROR(__xludf.DUMMYFUNCTION((TRANSPOSE(ImportHTML("http://spending.data.al/sq/moneypower/view/id/94/year/2012",  "table", 0)))),"*Kategoria*")</f>
        <v>*Kategoria*</v>
      </c>
      <c r="D200" t="s">
        <v>673</v>
      </c>
      <c r="E200" t="s">
        <v>674</v>
      </c>
      <c r="F200" t="s">
        <v>675</v>
      </c>
      <c r="G200" t="s">
        <v>676</v>
      </c>
      <c r="H200" t="s">
        <v>677</v>
      </c>
      <c r="I200" t="s">
        <v>678</v>
      </c>
      <c r="J200" t="s">
        <v>679</v>
      </c>
      <c r="K200" t="s">
        <v>680</v>
      </c>
      <c r="L200" t="s">
        <v>681</v>
      </c>
      <c r="M200" t="s">
        <v>682</v>
      </c>
      <c r="N200" t="s">
        <v>683</v>
      </c>
      <c r="O200" t="s">
        <v>684</v>
      </c>
      <c r="P200" t="s">
        <v>685</v>
      </c>
    </row>
    <row r="201" spans="2:16" ht="15">
      <c r="B201" s="11"/>
      <c r="C201" t="s">
        <v>686</v>
      </c>
      <c r="D201" t="s">
        <v>1065</v>
      </c>
      <c r="E201" t="s">
        <v>688</v>
      </c>
      <c r="F201" t="s">
        <v>688</v>
      </c>
      <c r="G201" t="s">
        <v>3204</v>
      </c>
      <c r="H201" t="s">
        <v>3205</v>
      </c>
      <c r="I201" t="s">
        <v>688</v>
      </c>
      <c r="J201" t="s">
        <v>688</v>
      </c>
      <c r="K201" t="s">
        <v>688</v>
      </c>
      <c r="L201" t="s">
        <v>688</v>
      </c>
      <c r="M201" t="s">
        <v>1067</v>
      </c>
      <c r="N201" t="s">
        <v>688</v>
      </c>
      <c r="O201" s="13">
        <v>2.79</v>
      </c>
      <c r="P201" t="s">
        <v>707</v>
      </c>
    </row>
    <row r="202" spans="2:16" ht="15">
      <c r="B202" s="9">
        <v>95</v>
      </c>
      <c r="C202" t="str">
        <f ca="1">IFERROR(__xludf.DUMMYFUNCTION((TRANSPOSE(ImportHTML("http://spending.data.al/sq/moneypower/view/id/95/year/2012",  "table", 0)))),"*Kategoria*")</f>
        <v>*Kategoria*</v>
      </c>
      <c r="D202" t="s">
        <v>673</v>
      </c>
      <c r="E202" t="s">
        <v>674</v>
      </c>
      <c r="F202" t="s">
        <v>675</v>
      </c>
      <c r="G202" t="s">
        <v>676</v>
      </c>
      <c r="H202" t="s">
        <v>677</v>
      </c>
      <c r="I202" t="s">
        <v>678</v>
      </c>
      <c r="J202" t="s">
        <v>679</v>
      </c>
      <c r="K202" t="s">
        <v>680</v>
      </c>
      <c r="L202" t="s">
        <v>681</v>
      </c>
      <c r="M202" t="s">
        <v>682</v>
      </c>
      <c r="N202" t="s">
        <v>683</v>
      </c>
      <c r="O202" t="s">
        <v>684</v>
      </c>
      <c r="P202" t="s">
        <v>685</v>
      </c>
    </row>
    <row r="203" spans="2:16" ht="15">
      <c r="B203" s="11"/>
      <c r="C203" t="s">
        <v>686</v>
      </c>
      <c r="D203" t="s">
        <v>3206</v>
      </c>
      <c r="E203" t="s">
        <v>3207</v>
      </c>
      <c r="F203" t="s">
        <v>3208</v>
      </c>
      <c r="G203" t="s">
        <v>688</v>
      </c>
      <c r="H203" t="s">
        <v>3209</v>
      </c>
      <c r="I203" t="s">
        <v>688</v>
      </c>
      <c r="J203" t="s">
        <v>688</v>
      </c>
      <c r="K203" t="s">
        <v>688</v>
      </c>
      <c r="L203" t="s">
        <v>688</v>
      </c>
      <c r="M203" t="s">
        <v>3210</v>
      </c>
      <c r="N203" t="s">
        <v>688</v>
      </c>
      <c r="O203" s="13">
        <v>2.67</v>
      </c>
      <c r="P203" t="s">
        <v>3211</v>
      </c>
    </row>
    <row r="204" spans="2:16" ht="15">
      <c r="B204" s="9">
        <v>96</v>
      </c>
      <c r="C204" t="str">
        <f ca="1">IFERROR(__xludf.DUMMYFUNCTION((TRANSPOSE(ImportHTML("http://spending.data.al/sq/moneypower/view/id/96/year/2012",  "table", 0)))),"*Emër Subjekti*")</f>
        <v>*Emër Subjekti*</v>
      </c>
      <c r="D204" t="s">
        <v>698</v>
      </c>
      <c r="E204" t="s">
        <v>699</v>
      </c>
      <c r="F204" t="s">
        <v>700</v>
      </c>
      <c r="G204" t="s">
        <v>701</v>
      </c>
      <c r="H204" t="s">
        <v>702</v>
      </c>
    </row>
    <row r="205" spans="2:16" ht="15">
      <c r="B205" s="9"/>
    </row>
    <row r="206" spans="2:16" ht="15">
      <c r="B206" s="11"/>
      <c r="C206" t="s">
        <v>2127</v>
      </c>
      <c r="D206" t="s">
        <v>2128</v>
      </c>
      <c r="E206" s="12">
        <v>41548</v>
      </c>
      <c r="F206" t="s">
        <v>707</v>
      </c>
      <c r="G206" t="s">
        <v>2129</v>
      </c>
      <c r="H206" t="s">
        <v>707</v>
      </c>
    </row>
    <row r="207" spans="2:16" ht="15">
      <c r="B207" s="9">
        <v>97</v>
      </c>
      <c r="C207" t="str">
        <f ca="1">IFERROR(__xludf.DUMMYFUNCTION((TRANSPOSE(ImportHTML("http://spending.data.al/sq/moneypower/view/id/97/year/2012",  "table", 0)))),"*Kategoria*")</f>
        <v>*Kategoria*</v>
      </c>
      <c r="D207" t="s">
        <v>673</v>
      </c>
      <c r="E207" t="s">
        <v>674</v>
      </c>
      <c r="F207" t="s">
        <v>675</v>
      </c>
      <c r="G207" t="s">
        <v>676</v>
      </c>
      <c r="H207" t="s">
        <v>677</v>
      </c>
      <c r="I207" t="s">
        <v>678</v>
      </c>
      <c r="J207" t="s">
        <v>679</v>
      </c>
      <c r="K207" t="s">
        <v>680</v>
      </c>
      <c r="L207" t="s">
        <v>681</v>
      </c>
      <c r="M207" t="s">
        <v>682</v>
      </c>
      <c r="N207" t="s">
        <v>683</v>
      </c>
      <c r="O207" t="s">
        <v>684</v>
      </c>
      <c r="P207" t="s">
        <v>685</v>
      </c>
    </row>
    <row r="208" spans="2:16" ht="15">
      <c r="B208" s="11"/>
      <c r="C208" t="s">
        <v>686</v>
      </c>
      <c r="D208" t="s">
        <v>3212</v>
      </c>
      <c r="E208" t="s">
        <v>3213</v>
      </c>
      <c r="F208" t="s">
        <v>688</v>
      </c>
      <c r="G208" t="s">
        <v>688</v>
      </c>
      <c r="H208" t="s">
        <v>688</v>
      </c>
      <c r="I208" t="s">
        <v>688</v>
      </c>
      <c r="J208" t="s">
        <v>688</v>
      </c>
      <c r="K208" t="s">
        <v>688</v>
      </c>
      <c r="L208" t="s">
        <v>688</v>
      </c>
      <c r="M208" t="s">
        <v>3214</v>
      </c>
      <c r="N208" t="s">
        <v>688</v>
      </c>
      <c r="O208" s="13">
        <v>1.08</v>
      </c>
      <c r="P208" t="s">
        <v>3215</v>
      </c>
    </row>
    <row r="209" spans="2:16" ht="15">
      <c r="B209" s="9">
        <v>98</v>
      </c>
      <c r="C209" t="str">
        <f ca="1">IFERROR(__xludf.DUMMYFUNCTION((TRANSPOSE(ImportHTML("http://spending.data.al/sq/moneypower/view/id/98/year/2012",  "table", 0)))),"*Kategoria*")</f>
        <v>*Kategoria*</v>
      </c>
      <c r="D209" t="s">
        <v>673</v>
      </c>
      <c r="E209" t="s">
        <v>674</v>
      </c>
      <c r="F209" t="s">
        <v>675</v>
      </c>
      <c r="G209" t="s">
        <v>676</v>
      </c>
      <c r="H209" t="s">
        <v>677</v>
      </c>
      <c r="I209" t="s">
        <v>678</v>
      </c>
      <c r="J209" t="s">
        <v>679</v>
      </c>
      <c r="K209" t="s">
        <v>680</v>
      </c>
      <c r="L209" t="s">
        <v>681</v>
      </c>
      <c r="M209" t="s">
        <v>682</v>
      </c>
      <c r="N209" t="s">
        <v>683</v>
      </c>
      <c r="O209" t="s">
        <v>684</v>
      </c>
      <c r="P209" t="s">
        <v>685</v>
      </c>
    </row>
    <row r="210" spans="2:16" ht="15">
      <c r="B210" s="11"/>
      <c r="C210" t="s">
        <v>686</v>
      </c>
      <c r="D210" t="s">
        <v>3216</v>
      </c>
      <c r="E210" t="s">
        <v>688</v>
      </c>
      <c r="F210" t="s">
        <v>3217</v>
      </c>
      <c r="G210" t="s">
        <v>688</v>
      </c>
      <c r="H210" t="s">
        <v>688</v>
      </c>
      <c r="I210" t="s">
        <v>688</v>
      </c>
      <c r="J210" t="s">
        <v>688</v>
      </c>
      <c r="K210" t="s">
        <v>688</v>
      </c>
      <c r="L210" t="s">
        <v>688</v>
      </c>
      <c r="M210" t="s">
        <v>688</v>
      </c>
      <c r="N210" t="s">
        <v>688</v>
      </c>
      <c r="O210" s="13">
        <v>3.91</v>
      </c>
      <c r="P210" t="s">
        <v>3218</v>
      </c>
    </row>
    <row r="211" spans="2:16" ht="15">
      <c r="B211" s="9">
        <v>99</v>
      </c>
      <c r="C211" t="str">
        <f ca="1">IFERROR(__xludf.DUMMYFUNCTION((TRANSPOSE(ImportHTML("http://spending.data.al/sq/moneypower/view/id/99/year/2012",  "table", 0)))),"*Kategoria*")</f>
        <v>*Kategoria*</v>
      </c>
      <c r="D211" t="s">
        <v>673</v>
      </c>
      <c r="E211" t="s">
        <v>674</v>
      </c>
      <c r="F211" t="s">
        <v>675</v>
      </c>
      <c r="G211" t="s">
        <v>676</v>
      </c>
      <c r="H211" t="s">
        <v>677</v>
      </c>
      <c r="I211" t="s">
        <v>678</v>
      </c>
      <c r="J211" t="s">
        <v>679</v>
      </c>
      <c r="K211" t="s">
        <v>680</v>
      </c>
      <c r="L211" t="s">
        <v>681</v>
      </c>
      <c r="M211" t="s">
        <v>682</v>
      </c>
      <c r="N211" t="s">
        <v>683</v>
      </c>
      <c r="O211" t="s">
        <v>684</v>
      </c>
      <c r="P211" t="s">
        <v>685</v>
      </c>
    </row>
    <row r="212" spans="2:16" ht="15">
      <c r="B212" s="11"/>
      <c r="C212" t="s">
        <v>686</v>
      </c>
      <c r="D212" t="s">
        <v>3219</v>
      </c>
      <c r="E212" t="s">
        <v>688</v>
      </c>
      <c r="F212" t="s">
        <v>3220</v>
      </c>
      <c r="G212" t="s">
        <v>688</v>
      </c>
      <c r="H212" t="s">
        <v>688</v>
      </c>
      <c r="I212" t="s">
        <v>3221</v>
      </c>
      <c r="J212" t="s">
        <v>688</v>
      </c>
      <c r="K212" t="s">
        <v>688</v>
      </c>
      <c r="L212" t="s">
        <v>688</v>
      </c>
      <c r="M212" t="s">
        <v>3222</v>
      </c>
      <c r="N212" t="s">
        <v>688</v>
      </c>
      <c r="O212" s="13">
        <v>1.1200000000000001</v>
      </c>
    </row>
    <row r="213" spans="2:16" ht="15">
      <c r="B213" s="9">
        <v>100</v>
      </c>
      <c r="C213" t="str">
        <f ca="1">IFERROR(__xludf.DUMMYFUNCTION((TRANSPOSE(ImportHTML("http://spending.data.al/sq/moneypower/view/id/100/year/2012",  "table", 0)))),"*Emër Subjekti*")</f>
        <v>*Emër Subjekti*</v>
      </c>
      <c r="D213" t="s">
        <v>698</v>
      </c>
      <c r="E213" t="s">
        <v>699</v>
      </c>
      <c r="F213" t="s">
        <v>700</v>
      </c>
      <c r="G213" t="s">
        <v>701</v>
      </c>
      <c r="H213" t="s">
        <v>702</v>
      </c>
    </row>
    <row r="214" spans="2:16" ht="15">
      <c r="B214" s="11"/>
    </row>
    <row r="215" spans="2:16" ht="15">
      <c r="B215" s="11"/>
      <c r="C215" t="s">
        <v>2142</v>
      </c>
      <c r="D215" t="s">
        <v>1879</v>
      </c>
      <c r="E215" s="12">
        <v>41557</v>
      </c>
      <c r="F215" t="s">
        <v>707</v>
      </c>
      <c r="G215" t="s">
        <v>2143</v>
      </c>
      <c r="H215" t="s">
        <v>2144</v>
      </c>
    </row>
    <row r="216" spans="2:16" ht="15">
      <c r="B216" s="9">
        <v>101</v>
      </c>
      <c r="C216" t="str">
        <f ca="1">IFERROR(__xludf.DUMMYFUNCTION((TRANSPOSE(ImportHTML("http://spending.data.al/sq/moneypower/view/id/101/year/2012",  "table", 0)))),"*Kategoria*")</f>
        <v>*Kategoria*</v>
      </c>
      <c r="D216" t="s">
        <v>673</v>
      </c>
      <c r="E216" t="s">
        <v>674</v>
      </c>
      <c r="F216" t="s">
        <v>675</v>
      </c>
      <c r="G216" t="s">
        <v>676</v>
      </c>
      <c r="H216" t="s">
        <v>677</v>
      </c>
      <c r="I216" t="s">
        <v>678</v>
      </c>
      <c r="J216" t="s">
        <v>679</v>
      </c>
      <c r="K216" t="s">
        <v>680</v>
      </c>
      <c r="L216" t="s">
        <v>681</v>
      </c>
      <c r="M216" t="s">
        <v>682</v>
      </c>
      <c r="N216" t="s">
        <v>683</v>
      </c>
      <c r="O216" t="s">
        <v>684</v>
      </c>
      <c r="P216" t="s">
        <v>685</v>
      </c>
    </row>
    <row r="217" spans="2:16" ht="15">
      <c r="B217" s="11"/>
      <c r="C217" t="s">
        <v>686</v>
      </c>
      <c r="D217" t="s">
        <v>3223</v>
      </c>
      <c r="E217" t="s">
        <v>688</v>
      </c>
      <c r="F217" t="s">
        <v>3224</v>
      </c>
      <c r="G217" t="s">
        <v>3225</v>
      </c>
      <c r="H217" t="s">
        <v>688</v>
      </c>
      <c r="I217" t="s">
        <v>688</v>
      </c>
      <c r="J217" t="s">
        <v>688</v>
      </c>
      <c r="K217" t="s">
        <v>688</v>
      </c>
      <c r="L217" t="s">
        <v>688</v>
      </c>
      <c r="M217" t="s">
        <v>688</v>
      </c>
      <c r="N217" t="s">
        <v>688</v>
      </c>
      <c r="O217" s="13">
        <v>1.48</v>
      </c>
    </row>
    <row r="218" spans="2:16" ht="15">
      <c r="B218" s="9">
        <v>102</v>
      </c>
      <c r="C218" t="str">
        <f ca="1">IFERROR(__xludf.DUMMYFUNCTION((TRANSPOSE(ImportHTML("http://spending.data.al/sq/moneypower/view/id/102/year/2012",  "table", 0)))),"*Kategoria*")</f>
        <v>*Kategoria*</v>
      </c>
      <c r="D218" t="s">
        <v>673</v>
      </c>
      <c r="E218" t="s">
        <v>674</v>
      </c>
      <c r="F218" t="s">
        <v>675</v>
      </c>
      <c r="G218" t="s">
        <v>676</v>
      </c>
      <c r="H218" t="s">
        <v>677</v>
      </c>
      <c r="I218" t="s">
        <v>678</v>
      </c>
      <c r="J218" t="s">
        <v>679</v>
      </c>
      <c r="K218" t="s">
        <v>680</v>
      </c>
      <c r="L218" t="s">
        <v>681</v>
      </c>
      <c r="M218" t="s">
        <v>682</v>
      </c>
      <c r="N218" t="s">
        <v>683</v>
      </c>
      <c r="O218" t="s">
        <v>684</v>
      </c>
      <c r="P218" t="s">
        <v>685</v>
      </c>
    </row>
    <row r="219" spans="2:16" ht="15">
      <c r="B219" s="11"/>
      <c r="C219" t="s">
        <v>686</v>
      </c>
      <c r="D219" t="s">
        <v>3226</v>
      </c>
      <c r="E219" t="s">
        <v>3227</v>
      </c>
      <c r="F219" t="s">
        <v>3228</v>
      </c>
      <c r="G219" t="s">
        <v>688</v>
      </c>
      <c r="H219" t="s">
        <v>688</v>
      </c>
      <c r="I219" t="s">
        <v>688</v>
      </c>
      <c r="J219" t="s">
        <v>688</v>
      </c>
      <c r="K219" t="s">
        <v>3229</v>
      </c>
      <c r="L219" t="s">
        <v>688</v>
      </c>
      <c r="M219" t="s">
        <v>3230</v>
      </c>
      <c r="N219" t="s">
        <v>688</v>
      </c>
      <c r="O219" s="13">
        <v>2.31</v>
      </c>
    </row>
    <row r="220" spans="2:16" ht="15">
      <c r="B220" s="9">
        <v>103</v>
      </c>
      <c r="C220" t="str">
        <f ca="1">IFERROR(__xludf.DUMMYFUNCTION((TRANSPOSE(ImportHTML("http://spending.data.al/sq/moneypower/view/id/103/year/2012",  "table", 0)))),"*Kategoria*")</f>
        <v>*Kategoria*</v>
      </c>
      <c r="D220" t="s">
        <v>673</v>
      </c>
      <c r="E220" t="s">
        <v>674</v>
      </c>
      <c r="F220" t="s">
        <v>675</v>
      </c>
      <c r="G220" t="s">
        <v>676</v>
      </c>
      <c r="H220" t="s">
        <v>677</v>
      </c>
      <c r="I220" t="s">
        <v>678</v>
      </c>
      <c r="J220" t="s">
        <v>679</v>
      </c>
      <c r="K220" t="s">
        <v>680</v>
      </c>
      <c r="L220" t="s">
        <v>681</v>
      </c>
      <c r="M220" t="s">
        <v>682</v>
      </c>
      <c r="N220" t="s">
        <v>683</v>
      </c>
      <c r="O220" t="s">
        <v>684</v>
      </c>
      <c r="P220" t="s">
        <v>685</v>
      </c>
    </row>
    <row r="221" spans="2:16" ht="15">
      <c r="B221" s="11"/>
      <c r="C221" t="s">
        <v>686</v>
      </c>
      <c r="D221" t="s">
        <v>3231</v>
      </c>
      <c r="E221" t="s">
        <v>688</v>
      </c>
      <c r="F221" t="s">
        <v>3232</v>
      </c>
      <c r="G221" t="s">
        <v>688</v>
      </c>
      <c r="H221" t="s">
        <v>688</v>
      </c>
      <c r="I221" t="s">
        <v>688</v>
      </c>
      <c r="J221" t="s">
        <v>688</v>
      </c>
      <c r="K221" t="s">
        <v>688</v>
      </c>
      <c r="L221" t="s">
        <v>688</v>
      </c>
      <c r="M221" t="s">
        <v>3233</v>
      </c>
      <c r="N221" t="s">
        <v>688</v>
      </c>
      <c r="O221" s="13">
        <v>1</v>
      </c>
    </row>
    <row r="222" spans="2:16" ht="15">
      <c r="B222" s="9">
        <v>104</v>
      </c>
      <c r="C222" t="str">
        <f ca="1">IFERROR(__xludf.DUMMYFUNCTION((TRANSPOSE(ImportHTML("http://spending.data.al/sq/moneypower/view/id/104/year/2012",  "table", 0)))),"*Kategoria*")</f>
        <v>*Kategoria*</v>
      </c>
      <c r="D222" t="s">
        <v>673</v>
      </c>
      <c r="E222" t="s">
        <v>674</v>
      </c>
      <c r="F222" t="s">
        <v>675</v>
      </c>
      <c r="G222" t="s">
        <v>676</v>
      </c>
      <c r="H222" t="s">
        <v>677</v>
      </c>
      <c r="I222" t="s">
        <v>678</v>
      </c>
      <c r="J222" t="s">
        <v>679</v>
      </c>
      <c r="K222" t="s">
        <v>680</v>
      </c>
      <c r="L222" t="s">
        <v>681</v>
      </c>
      <c r="M222" t="s">
        <v>682</v>
      </c>
      <c r="N222" t="s">
        <v>683</v>
      </c>
      <c r="O222" t="s">
        <v>684</v>
      </c>
      <c r="P222" t="s">
        <v>685</v>
      </c>
    </row>
    <row r="223" spans="2:16" ht="15">
      <c r="B223" s="11"/>
      <c r="C223" t="s">
        <v>686</v>
      </c>
      <c r="D223" t="s">
        <v>3234</v>
      </c>
      <c r="E223" t="s">
        <v>688</v>
      </c>
      <c r="F223" t="s">
        <v>688</v>
      </c>
      <c r="G223" t="s">
        <v>688</v>
      </c>
      <c r="H223" t="s">
        <v>3235</v>
      </c>
      <c r="I223" t="s">
        <v>688</v>
      </c>
      <c r="J223" t="s">
        <v>688</v>
      </c>
      <c r="K223" t="s">
        <v>688</v>
      </c>
      <c r="L223" t="s">
        <v>688</v>
      </c>
      <c r="M223" t="s">
        <v>3236</v>
      </c>
      <c r="N223" t="s">
        <v>688</v>
      </c>
      <c r="O223" s="13">
        <v>2.46</v>
      </c>
      <c r="P223" t="s">
        <v>3237</v>
      </c>
    </row>
    <row r="224" spans="2:16" ht="15">
      <c r="B224" s="9">
        <v>105</v>
      </c>
      <c r="C224" t="str">
        <f ca="1">IFERROR(__xludf.DUMMYFUNCTION((TRANSPOSE(ImportHTML("http://spending.data.al/sq/moneypower/view/id/105/year/2012",  "table", 0)))),"*Kategoria*")</f>
        <v>*Kategoria*</v>
      </c>
      <c r="D224" t="s">
        <v>673</v>
      </c>
      <c r="E224" t="s">
        <v>674</v>
      </c>
      <c r="F224" t="s">
        <v>675</v>
      </c>
      <c r="G224" t="s">
        <v>676</v>
      </c>
      <c r="H224" t="s">
        <v>677</v>
      </c>
      <c r="I224" t="s">
        <v>678</v>
      </c>
      <c r="J224" t="s">
        <v>679</v>
      </c>
      <c r="K224" t="s">
        <v>680</v>
      </c>
      <c r="L224" t="s">
        <v>681</v>
      </c>
      <c r="M224" t="s">
        <v>682</v>
      </c>
      <c r="N224" t="s">
        <v>683</v>
      </c>
      <c r="O224" t="s">
        <v>684</v>
      </c>
      <c r="P224" t="s">
        <v>685</v>
      </c>
    </row>
    <row r="225" spans="2:16" ht="15">
      <c r="B225" s="11"/>
      <c r="C225" t="s">
        <v>686</v>
      </c>
      <c r="D225" t="s">
        <v>3238</v>
      </c>
      <c r="E225" t="s">
        <v>3239</v>
      </c>
      <c r="F225" t="s">
        <v>3240</v>
      </c>
      <c r="G225" t="s">
        <v>688</v>
      </c>
      <c r="H225" t="s">
        <v>688</v>
      </c>
      <c r="I225" t="s">
        <v>688</v>
      </c>
      <c r="J225" t="s">
        <v>688</v>
      </c>
      <c r="K225" t="s">
        <v>688</v>
      </c>
      <c r="L225" t="s">
        <v>688</v>
      </c>
      <c r="M225" t="s">
        <v>3241</v>
      </c>
      <c r="N225" t="s">
        <v>688</v>
      </c>
      <c r="O225" s="13">
        <v>1.0900000000000001</v>
      </c>
      <c r="P225" t="s">
        <v>3242</v>
      </c>
    </row>
    <row r="226" spans="2:16" ht="15">
      <c r="B226" s="9">
        <v>106</v>
      </c>
      <c r="C226" t="str">
        <f ca="1">IFERROR(__xludf.DUMMYFUNCTION((TRANSPOSE(ImportHTML("http://spending.data.al/sq/moneypower/view/id/106/year/2012",  "table", 0)))),"*Kategoria*")</f>
        <v>*Kategoria*</v>
      </c>
      <c r="D226" t="s">
        <v>673</v>
      </c>
      <c r="E226" t="s">
        <v>674</v>
      </c>
      <c r="F226" t="s">
        <v>675</v>
      </c>
      <c r="G226" t="s">
        <v>676</v>
      </c>
      <c r="H226" t="s">
        <v>677</v>
      </c>
      <c r="I226" t="s">
        <v>678</v>
      </c>
      <c r="J226" t="s">
        <v>679</v>
      </c>
      <c r="K226" t="s">
        <v>680</v>
      </c>
      <c r="L226" t="s">
        <v>681</v>
      </c>
      <c r="M226" t="s">
        <v>682</v>
      </c>
      <c r="N226" t="s">
        <v>683</v>
      </c>
      <c r="O226" t="s">
        <v>684</v>
      </c>
      <c r="P226" t="s">
        <v>685</v>
      </c>
    </row>
    <row r="227" spans="2:16" ht="15">
      <c r="B227" s="11"/>
      <c r="C227" t="s">
        <v>686</v>
      </c>
      <c r="D227" t="s">
        <v>3243</v>
      </c>
      <c r="E227" t="s">
        <v>688</v>
      </c>
      <c r="F227" t="s">
        <v>3244</v>
      </c>
      <c r="G227" t="s">
        <v>3245</v>
      </c>
      <c r="H227" t="s">
        <v>688</v>
      </c>
      <c r="I227" t="s">
        <v>688</v>
      </c>
      <c r="J227" t="s">
        <v>688</v>
      </c>
      <c r="K227" t="s">
        <v>688</v>
      </c>
      <c r="L227" t="s">
        <v>688</v>
      </c>
      <c r="M227" t="s">
        <v>3246</v>
      </c>
      <c r="N227" t="s">
        <v>688</v>
      </c>
      <c r="O227" s="13">
        <v>2.15</v>
      </c>
      <c r="P227" t="s">
        <v>3247</v>
      </c>
    </row>
    <row r="228" spans="2:16" ht="15">
      <c r="B228" s="9">
        <v>107</v>
      </c>
      <c r="C228" t="str">
        <f ca="1">IFERROR(__xludf.DUMMYFUNCTION((TRANSPOSE(ImportHTML("http://spending.data.al/sq/moneypower/view/id/107/year/2012",  "table", 0)))),"*Kategoria*")</f>
        <v>*Kategoria*</v>
      </c>
      <c r="D228" t="s">
        <v>673</v>
      </c>
      <c r="E228" t="s">
        <v>674</v>
      </c>
      <c r="F228" t="s">
        <v>675</v>
      </c>
      <c r="G228" t="s">
        <v>676</v>
      </c>
      <c r="H228" t="s">
        <v>677</v>
      </c>
      <c r="I228" t="s">
        <v>678</v>
      </c>
      <c r="J228" t="s">
        <v>679</v>
      </c>
      <c r="K228" t="s">
        <v>680</v>
      </c>
      <c r="L228" t="s">
        <v>681</v>
      </c>
      <c r="M228" t="s">
        <v>682</v>
      </c>
      <c r="N228" t="s">
        <v>683</v>
      </c>
      <c r="O228" t="s">
        <v>684</v>
      </c>
      <c r="P228" t="s">
        <v>685</v>
      </c>
    </row>
    <row r="229" spans="2:16" ht="15">
      <c r="B229" s="11"/>
      <c r="C229" t="s">
        <v>686</v>
      </c>
      <c r="D229" t="s">
        <v>3248</v>
      </c>
      <c r="E229" t="s">
        <v>688</v>
      </c>
      <c r="F229" t="s">
        <v>3249</v>
      </c>
      <c r="G229" t="s">
        <v>688</v>
      </c>
      <c r="H229" t="s">
        <v>688</v>
      </c>
      <c r="I229" t="s">
        <v>688</v>
      </c>
      <c r="J229" t="s">
        <v>688</v>
      </c>
      <c r="K229" t="s">
        <v>688</v>
      </c>
      <c r="L229" t="s">
        <v>688</v>
      </c>
      <c r="M229" t="s">
        <v>3250</v>
      </c>
      <c r="N229" t="s">
        <v>688</v>
      </c>
      <c r="O229" s="13">
        <v>1</v>
      </c>
      <c r="P229" t="s">
        <v>3251</v>
      </c>
    </row>
    <row r="230" spans="2:16" ht="15">
      <c r="B230" s="9">
        <v>108</v>
      </c>
      <c r="C230" t="str">
        <f ca="1">IFERROR(__xludf.DUMMYFUNCTION((TRANSPOSE(ImportHTML("http://spending.data.al/sq/moneypower/view/id/108/year/2012",  "table", 0)))),"*Kategoria*")</f>
        <v>*Kategoria*</v>
      </c>
      <c r="D230" t="s">
        <v>673</v>
      </c>
      <c r="E230" t="s">
        <v>674</v>
      </c>
      <c r="F230" t="s">
        <v>675</v>
      </c>
      <c r="G230" t="s">
        <v>676</v>
      </c>
      <c r="H230" t="s">
        <v>677</v>
      </c>
      <c r="I230" t="s">
        <v>678</v>
      </c>
      <c r="J230" t="s">
        <v>679</v>
      </c>
      <c r="K230" t="s">
        <v>680</v>
      </c>
      <c r="L230" t="s">
        <v>681</v>
      </c>
      <c r="M230" t="s">
        <v>682</v>
      </c>
      <c r="N230" t="s">
        <v>683</v>
      </c>
      <c r="O230" t="s">
        <v>684</v>
      </c>
      <c r="P230" t="s">
        <v>685</v>
      </c>
    </row>
    <row r="231" spans="2:16" ht="15">
      <c r="B231" s="11"/>
      <c r="C231" t="s">
        <v>686</v>
      </c>
      <c r="D231" t="s">
        <v>3252</v>
      </c>
      <c r="E231" t="s">
        <v>688</v>
      </c>
      <c r="F231" t="s">
        <v>3253</v>
      </c>
      <c r="G231" t="s">
        <v>688</v>
      </c>
      <c r="H231" t="s">
        <v>688</v>
      </c>
      <c r="I231" t="s">
        <v>3254</v>
      </c>
      <c r="J231" t="s">
        <v>688</v>
      </c>
      <c r="K231" t="s">
        <v>688</v>
      </c>
      <c r="L231" t="s">
        <v>688</v>
      </c>
      <c r="M231" t="s">
        <v>3255</v>
      </c>
      <c r="N231" t="s">
        <v>688</v>
      </c>
      <c r="O231" s="13">
        <v>1.28</v>
      </c>
      <c r="P231" t="s">
        <v>3256</v>
      </c>
    </row>
    <row r="232" spans="2:16" ht="15">
      <c r="B232" s="9">
        <v>109</v>
      </c>
      <c r="C232" t="str">
        <f ca="1">IFERROR(__xludf.DUMMYFUNCTION((TRANSPOSE(ImportHTML("http://spending.data.al/sq/moneypower/view/id/109/year/2012",  "table", 0)))),"*Kategoria*")</f>
        <v>*Kategoria*</v>
      </c>
      <c r="D232" t="s">
        <v>673</v>
      </c>
      <c r="E232" t="s">
        <v>674</v>
      </c>
      <c r="F232" t="s">
        <v>675</v>
      </c>
      <c r="G232" t="s">
        <v>676</v>
      </c>
      <c r="H232" t="s">
        <v>677</v>
      </c>
      <c r="I232" t="s">
        <v>678</v>
      </c>
      <c r="J232" t="s">
        <v>679</v>
      </c>
      <c r="K232" t="s">
        <v>680</v>
      </c>
      <c r="L232" t="s">
        <v>681</v>
      </c>
      <c r="M232" t="s">
        <v>682</v>
      </c>
      <c r="N232" t="s">
        <v>683</v>
      </c>
      <c r="O232" t="s">
        <v>684</v>
      </c>
      <c r="P232" t="s">
        <v>685</v>
      </c>
    </row>
    <row r="233" spans="2:16" ht="15">
      <c r="B233" s="11"/>
      <c r="C233" t="s">
        <v>686</v>
      </c>
      <c r="D233" t="s">
        <v>3257</v>
      </c>
      <c r="E233" t="s">
        <v>688</v>
      </c>
      <c r="F233" t="s">
        <v>688</v>
      </c>
      <c r="G233" t="s">
        <v>688</v>
      </c>
      <c r="H233" t="s">
        <v>688</v>
      </c>
      <c r="I233" t="s">
        <v>688</v>
      </c>
      <c r="J233" t="s">
        <v>688</v>
      </c>
      <c r="K233" t="s">
        <v>688</v>
      </c>
      <c r="L233" t="s">
        <v>688</v>
      </c>
      <c r="M233" t="s">
        <v>3258</v>
      </c>
      <c r="N233" t="s">
        <v>688</v>
      </c>
      <c r="O233" s="13">
        <v>1</v>
      </c>
    </row>
    <row r="234" spans="2:16" ht="15">
      <c r="B234" s="9">
        <v>110</v>
      </c>
      <c r="C234" t="str">
        <f ca="1">IFERROR(__xludf.DUMMYFUNCTION((TRANSPOSE(ImportHTML("http://spending.data.al/sq/moneypower/view/id/110/year/2012",  "table", 0)))),"*Emër Subjekti*")</f>
        <v>*Emër Subjekti*</v>
      </c>
      <c r="D234" t="s">
        <v>698</v>
      </c>
      <c r="E234" t="s">
        <v>699</v>
      </c>
      <c r="F234" t="s">
        <v>700</v>
      </c>
      <c r="G234" t="s">
        <v>701</v>
      </c>
      <c r="H234" t="s">
        <v>702</v>
      </c>
    </row>
    <row r="235" spans="2:16" ht="15">
      <c r="B235" s="11"/>
    </row>
    <row r="236" spans="2:16" ht="15">
      <c r="B236" s="9"/>
      <c r="C236" t="s">
        <v>2177</v>
      </c>
      <c r="D236" t="s">
        <v>711</v>
      </c>
      <c r="E236" t="s">
        <v>2178</v>
      </c>
      <c r="F236" t="s">
        <v>712</v>
      </c>
      <c r="G236" t="s">
        <v>2179</v>
      </c>
      <c r="H236" t="s">
        <v>708</v>
      </c>
    </row>
    <row r="237" spans="2:16" ht="15">
      <c r="B237" s="9">
        <v>111</v>
      </c>
      <c r="C237" t="str">
        <f ca="1">IFERROR(__xludf.DUMMYFUNCTION((TRANSPOSE(ImportHTML("http://spending.data.al/sq/moneypower/view/id/111/year/2012",  "table", 0)))),"*Emër Subjekti*")</f>
        <v>*Emër Subjekti*</v>
      </c>
      <c r="D237" t="s">
        <v>698</v>
      </c>
      <c r="E237" t="s">
        <v>699</v>
      </c>
      <c r="F237" t="s">
        <v>700</v>
      </c>
      <c r="G237" t="s">
        <v>701</v>
      </c>
      <c r="H237" t="s">
        <v>702</v>
      </c>
    </row>
    <row r="238" spans="2:16" ht="15">
      <c r="B238" s="9"/>
    </row>
    <row r="239" spans="2:16" ht="15">
      <c r="B239" s="11"/>
      <c r="C239" t="s">
        <v>2180</v>
      </c>
      <c r="D239" t="s">
        <v>711</v>
      </c>
      <c r="E239" t="s">
        <v>2178</v>
      </c>
      <c r="F239" t="s">
        <v>2181</v>
      </c>
      <c r="G239" t="s">
        <v>2182</v>
      </c>
      <c r="H239" t="s">
        <v>2183</v>
      </c>
    </row>
    <row r="240" spans="2:16" ht="15">
      <c r="B240" s="9">
        <v>112</v>
      </c>
      <c r="C240" t="str">
        <f ca="1">IFERROR(__xludf.DUMMYFUNCTION((TRANSPOSE(ImportHTML("http://spending.data.al/sq/moneypower/view/id/112/year/2012",  "table", 0)))),"*Emër Subjekti*")</f>
        <v>*Emër Subjekti*</v>
      </c>
      <c r="D240" t="s">
        <v>698</v>
      </c>
      <c r="E240" t="s">
        <v>699</v>
      </c>
      <c r="F240" t="s">
        <v>700</v>
      </c>
      <c r="G240" t="s">
        <v>701</v>
      </c>
      <c r="H240" t="s">
        <v>702</v>
      </c>
    </row>
    <row r="241" spans="2:16" ht="15">
      <c r="B241" s="11"/>
    </row>
    <row r="242" spans="2:16" ht="15">
      <c r="B242" s="11"/>
      <c r="C242" t="s">
        <v>2184</v>
      </c>
      <c r="D242" t="s">
        <v>711</v>
      </c>
      <c r="E242" t="s">
        <v>2185</v>
      </c>
      <c r="F242" t="s">
        <v>2186</v>
      </c>
      <c r="G242" t="s">
        <v>2187</v>
      </c>
      <c r="H242" t="s">
        <v>2188</v>
      </c>
    </row>
    <row r="243" spans="2:16" ht="15">
      <c r="B243" s="9">
        <v>113</v>
      </c>
      <c r="C243" t="str">
        <f ca="1">IFERROR(__xludf.DUMMYFUNCTION((TRANSPOSE(ImportHTML("http://spending.data.al/sq/moneypower/view/id/113/year/2012",  "table", 0)))),"*Kategoria*")</f>
        <v>*Kategoria*</v>
      </c>
      <c r="D243" t="s">
        <v>673</v>
      </c>
      <c r="E243" t="s">
        <v>674</v>
      </c>
      <c r="F243" t="s">
        <v>675</v>
      </c>
      <c r="G243" t="s">
        <v>676</v>
      </c>
      <c r="H243" t="s">
        <v>677</v>
      </c>
      <c r="I243" t="s">
        <v>678</v>
      </c>
      <c r="J243" t="s">
        <v>679</v>
      </c>
      <c r="K243" t="s">
        <v>680</v>
      </c>
      <c r="L243" t="s">
        <v>681</v>
      </c>
      <c r="M243" t="s">
        <v>682</v>
      </c>
      <c r="N243" t="s">
        <v>683</v>
      </c>
      <c r="O243" t="s">
        <v>684</v>
      </c>
      <c r="P243" t="s">
        <v>685</v>
      </c>
    </row>
    <row r="244" spans="2:16" ht="15">
      <c r="B244" s="11"/>
      <c r="C244" t="s">
        <v>686</v>
      </c>
      <c r="D244" t="s">
        <v>3259</v>
      </c>
      <c r="E244" t="s">
        <v>688</v>
      </c>
      <c r="F244" t="s">
        <v>688</v>
      </c>
      <c r="G244" t="s">
        <v>688</v>
      </c>
      <c r="H244" t="s">
        <v>3260</v>
      </c>
      <c r="I244" t="s">
        <v>688</v>
      </c>
      <c r="J244" t="s">
        <v>688</v>
      </c>
      <c r="K244" t="s">
        <v>688</v>
      </c>
      <c r="L244" t="s">
        <v>688</v>
      </c>
      <c r="M244" t="s">
        <v>3261</v>
      </c>
      <c r="N244" t="s">
        <v>688</v>
      </c>
      <c r="P244" t="s">
        <v>3262</v>
      </c>
    </row>
    <row r="245" spans="2:16" ht="15">
      <c r="B245" s="9">
        <v>114</v>
      </c>
      <c r="C245" t="str">
        <f ca="1">IFERROR(__xludf.DUMMYFUNCTION((TRANSPOSE(ImportHTML("http://spending.data.al/sq/moneypower/view/id/114/year/2012",  "table", 0)))),"*Kategoria*")</f>
        <v>*Kategoria*</v>
      </c>
      <c r="D245" t="s">
        <v>673</v>
      </c>
      <c r="E245" t="s">
        <v>674</v>
      </c>
      <c r="F245" t="s">
        <v>675</v>
      </c>
      <c r="G245" t="s">
        <v>676</v>
      </c>
      <c r="H245" t="s">
        <v>677</v>
      </c>
      <c r="I245" t="s">
        <v>678</v>
      </c>
      <c r="J245" t="s">
        <v>679</v>
      </c>
      <c r="K245" t="s">
        <v>680</v>
      </c>
      <c r="L245" t="s">
        <v>681</v>
      </c>
      <c r="M245" t="s">
        <v>682</v>
      </c>
      <c r="N245" t="s">
        <v>683</v>
      </c>
      <c r="O245" t="s">
        <v>684</v>
      </c>
      <c r="P245" t="s">
        <v>685</v>
      </c>
    </row>
    <row r="246" spans="2:16" ht="15">
      <c r="B246" s="11"/>
      <c r="C246" t="s">
        <v>686</v>
      </c>
      <c r="D246" t="s">
        <v>3263</v>
      </c>
      <c r="E246" t="s">
        <v>688</v>
      </c>
      <c r="F246" t="s">
        <v>3264</v>
      </c>
      <c r="G246" t="s">
        <v>688</v>
      </c>
      <c r="H246" t="s">
        <v>3265</v>
      </c>
      <c r="I246" t="s">
        <v>688</v>
      </c>
      <c r="J246" t="s">
        <v>688</v>
      </c>
      <c r="K246" t="s">
        <v>688</v>
      </c>
      <c r="L246" t="s">
        <v>688</v>
      </c>
      <c r="M246" t="s">
        <v>3266</v>
      </c>
      <c r="N246" t="s">
        <v>3267</v>
      </c>
      <c r="P246" t="s">
        <v>3268</v>
      </c>
    </row>
    <row r="247" spans="2:16" ht="15">
      <c r="B247" s="9">
        <v>115</v>
      </c>
      <c r="C247" t="str">
        <f ca="1">IFERROR(__xludf.DUMMYFUNCTION((TRANSPOSE(ImportHTML("http://spending.data.al/sq/moneypower/view/id/115/year/2012",  "table", 0)))),"*Kategoria*")</f>
        <v>*Kategoria*</v>
      </c>
      <c r="D247" t="s">
        <v>673</v>
      </c>
      <c r="E247" t="s">
        <v>674</v>
      </c>
      <c r="F247" t="s">
        <v>675</v>
      </c>
      <c r="G247" t="s">
        <v>676</v>
      </c>
      <c r="H247" t="s">
        <v>677</v>
      </c>
      <c r="I247" t="s">
        <v>678</v>
      </c>
      <c r="J247" t="s">
        <v>679</v>
      </c>
      <c r="K247" t="s">
        <v>680</v>
      </c>
      <c r="L247" t="s">
        <v>681</v>
      </c>
      <c r="M247" t="s">
        <v>682</v>
      </c>
      <c r="N247" t="s">
        <v>683</v>
      </c>
      <c r="O247" t="s">
        <v>684</v>
      </c>
      <c r="P247" t="s">
        <v>685</v>
      </c>
    </row>
    <row r="248" spans="2:16" ht="15">
      <c r="B248" s="11"/>
      <c r="C248" t="s">
        <v>686</v>
      </c>
      <c r="D248" t="s">
        <v>3269</v>
      </c>
      <c r="E248" t="s">
        <v>688</v>
      </c>
      <c r="F248" t="s">
        <v>688</v>
      </c>
      <c r="G248" t="s">
        <v>688</v>
      </c>
      <c r="H248" t="s">
        <v>688</v>
      </c>
      <c r="I248" t="s">
        <v>688</v>
      </c>
      <c r="J248" t="s">
        <v>688</v>
      </c>
      <c r="K248" t="s">
        <v>688</v>
      </c>
      <c r="L248" t="s">
        <v>688</v>
      </c>
      <c r="M248" t="s">
        <v>3270</v>
      </c>
      <c r="N248" t="s">
        <v>3271</v>
      </c>
      <c r="O248" t="s">
        <v>707</v>
      </c>
      <c r="P248" t="s">
        <v>3272</v>
      </c>
    </row>
    <row r="249" spans="2:16" ht="15">
      <c r="B249" s="9">
        <v>116</v>
      </c>
      <c r="C249" t="str">
        <f ca="1">IFERROR(__xludf.DUMMYFUNCTION((TRANSPOSE(ImportHTML("http://spending.data.al/sq/moneypower/view/id/116/year/2012",  "table", 0)))),"*Kategoria*")</f>
        <v>*Kategoria*</v>
      </c>
      <c r="D249" t="s">
        <v>673</v>
      </c>
      <c r="E249" t="s">
        <v>674</v>
      </c>
      <c r="F249" t="s">
        <v>675</v>
      </c>
      <c r="G249" t="s">
        <v>676</v>
      </c>
      <c r="H249" t="s">
        <v>677</v>
      </c>
      <c r="I249" t="s">
        <v>678</v>
      </c>
      <c r="J249" t="s">
        <v>679</v>
      </c>
      <c r="K249" t="s">
        <v>680</v>
      </c>
      <c r="L249" t="s">
        <v>681</v>
      </c>
      <c r="M249" t="s">
        <v>682</v>
      </c>
      <c r="N249" t="s">
        <v>683</v>
      </c>
      <c r="O249" t="s">
        <v>684</v>
      </c>
      <c r="P249" t="s">
        <v>685</v>
      </c>
    </row>
    <row r="250" spans="2:16" ht="15">
      <c r="B250" s="11"/>
      <c r="C250" t="s">
        <v>686</v>
      </c>
      <c r="D250" t="s">
        <v>3273</v>
      </c>
      <c r="E250" t="s">
        <v>688</v>
      </c>
      <c r="F250" t="s">
        <v>688</v>
      </c>
      <c r="G250" t="s">
        <v>688</v>
      </c>
      <c r="H250" t="s">
        <v>688</v>
      </c>
      <c r="I250" t="s">
        <v>688</v>
      </c>
      <c r="J250" t="s">
        <v>688</v>
      </c>
      <c r="K250" t="s">
        <v>688</v>
      </c>
      <c r="L250" t="s">
        <v>688</v>
      </c>
      <c r="M250" t="s">
        <v>3274</v>
      </c>
      <c r="N250" t="s">
        <v>688</v>
      </c>
      <c r="O250" t="s">
        <v>707</v>
      </c>
      <c r="P250" t="s">
        <v>3275</v>
      </c>
    </row>
    <row r="251" spans="2:16" ht="15">
      <c r="B251" s="9">
        <v>117</v>
      </c>
      <c r="C251" t="str">
        <f ca="1">IFERROR(__xludf.DUMMYFUNCTION((TRANSPOSE(ImportHTML("http://spending.data.al/sq/moneypower/view/id/117/year/2012",  "table", 0)))),"*Kategoria*")</f>
        <v>*Kategoria*</v>
      </c>
      <c r="D251" t="s">
        <v>673</v>
      </c>
      <c r="E251" t="s">
        <v>674</v>
      </c>
      <c r="F251" t="s">
        <v>675</v>
      </c>
      <c r="G251" t="s">
        <v>676</v>
      </c>
      <c r="H251" t="s">
        <v>677</v>
      </c>
      <c r="I251" t="s">
        <v>678</v>
      </c>
      <c r="J251" t="s">
        <v>679</v>
      </c>
      <c r="K251" t="s">
        <v>680</v>
      </c>
      <c r="L251" t="s">
        <v>681</v>
      </c>
      <c r="M251" t="s">
        <v>682</v>
      </c>
      <c r="N251" t="s">
        <v>683</v>
      </c>
      <c r="O251" t="s">
        <v>684</v>
      </c>
      <c r="P251" t="s">
        <v>685</v>
      </c>
    </row>
    <row r="252" spans="2:16" ht="15">
      <c r="B252" s="11"/>
      <c r="C252" t="s">
        <v>686</v>
      </c>
      <c r="D252" t="s">
        <v>3276</v>
      </c>
      <c r="E252" t="s">
        <v>688</v>
      </c>
      <c r="F252" t="s">
        <v>3277</v>
      </c>
      <c r="G252" t="s">
        <v>3278</v>
      </c>
      <c r="H252" t="s">
        <v>3279</v>
      </c>
      <c r="I252" t="s">
        <v>688</v>
      </c>
      <c r="J252" t="s">
        <v>688</v>
      </c>
      <c r="K252" t="s">
        <v>688</v>
      </c>
      <c r="L252" t="s">
        <v>688</v>
      </c>
      <c r="M252" t="s">
        <v>3280</v>
      </c>
      <c r="N252" t="s">
        <v>3281</v>
      </c>
      <c r="P252" t="s">
        <v>3282</v>
      </c>
    </row>
    <row r="253" spans="2:16" ht="15">
      <c r="B253" s="9">
        <v>118</v>
      </c>
      <c r="C253" t="str">
        <f ca="1">IFERROR(__xludf.DUMMYFUNCTION((TRANSPOSE(ImportHTML("http://spending.data.al/sq/moneypower/view/id/118/year/2012",  "table", 0)))),"*Kategoria*")</f>
        <v>*Kategoria*</v>
      </c>
      <c r="D253" t="s">
        <v>673</v>
      </c>
      <c r="E253" t="s">
        <v>674</v>
      </c>
      <c r="F253" t="s">
        <v>675</v>
      </c>
      <c r="G253" t="s">
        <v>676</v>
      </c>
      <c r="H253" t="s">
        <v>677</v>
      </c>
      <c r="I253" t="s">
        <v>678</v>
      </c>
      <c r="J253" t="s">
        <v>679</v>
      </c>
      <c r="K253" t="s">
        <v>680</v>
      </c>
      <c r="L253" t="s">
        <v>681</v>
      </c>
      <c r="M253" t="s">
        <v>682</v>
      </c>
      <c r="N253" t="s">
        <v>683</v>
      </c>
      <c r="O253" t="s">
        <v>684</v>
      </c>
      <c r="P253" t="s">
        <v>685</v>
      </c>
    </row>
    <row r="254" spans="2:16" ht="15">
      <c r="B254" s="11"/>
      <c r="C254" t="s">
        <v>686</v>
      </c>
      <c r="D254" t="s">
        <v>3283</v>
      </c>
      <c r="E254" t="s">
        <v>688</v>
      </c>
      <c r="F254" t="s">
        <v>688</v>
      </c>
      <c r="G254" t="s">
        <v>688</v>
      </c>
      <c r="H254" t="s">
        <v>688</v>
      </c>
      <c r="I254" t="s">
        <v>688</v>
      </c>
      <c r="J254" t="s">
        <v>688</v>
      </c>
      <c r="K254" t="s">
        <v>688</v>
      </c>
      <c r="L254" t="s">
        <v>688</v>
      </c>
      <c r="M254" t="s">
        <v>688</v>
      </c>
      <c r="N254" t="s">
        <v>688</v>
      </c>
      <c r="P254" t="s">
        <v>688</v>
      </c>
    </row>
    <row r="255" spans="2:16" ht="15">
      <c r="B255" s="9">
        <v>119</v>
      </c>
      <c r="C255" t="str">
        <f ca="1">IFERROR(__xludf.DUMMYFUNCTION((TRANSPOSE(ImportHTML("http://spending.data.al/sq/moneypower/view/id/119/year/2012",  "table", 0)))),"*Kategoria*")</f>
        <v>*Kategoria*</v>
      </c>
      <c r="D255" t="s">
        <v>673</v>
      </c>
      <c r="E255" t="s">
        <v>674</v>
      </c>
      <c r="F255" t="s">
        <v>675</v>
      </c>
      <c r="G255" t="s">
        <v>676</v>
      </c>
      <c r="H255" t="s">
        <v>677</v>
      </c>
      <c r="I255" t="s">
        <v>678</v>
      </c>
      <c r="J255" t="s">
        <v>679</v>
      </c>
      <c r="K255" t="s">
        <v>680</v>
      </c>
      <c r="L255" t="s">
        <v>681</v>
      </c>
      <c r="M255" t="s">
        <v>682</v>
      </c>
      <c r="N255" t="s">
        <v>683</v>
      </c>
      <c r="O255" t="s">
        <v>684</v>
      </c>
      <c r="P255" t="s">
        <v>685</v>
      </c>
    </row>
    <row r="256" spans="2:16" ht="15">
      <c r="B256" s="11"/>
      <c r="C256" t="s">
        <v>686</v>
      </c>
      <c r="D256" t="s">
        <v>3284</v>
      </c>
      <c r="E256" t="s">
        <v>688</v>
      </c>
      <c r="F256" t="s">
        <v>688</v>
      </c>
      <c r="G256" t="s">
        <v>3285</v>
      </c>
      <c r="H256" t="s">
        <v>3286</v>
      </c>
      <c r="I256" t="s">
        <v>688</v>
      </c>
      <c r="J256" t="s">
        <v>688</v>
      </c>
      <c r="K256" t="s">
        <v>688</v>
      </c>
      <c r="L256" t="s">
        <v>688</v>
      </c>
      <c r="M256" t="s">
        <v>3287</v>
      </c>
      <c r="N256" t="s">
        <v>688</v>
      </c>
      <c r="P256" t="s">
        <v>3288</v>
      </c>
    </row>
    <row r="257" spans="2:16" ht="15">
      <c r="B257" s="9">
        <v>120</v>
      </c>
      <c r="C257" t="str">
        <f ca="1">IFERROR(__xludf.DUMMYFUNCTION((TRANSPOSE(ImportHTML("http://spending.data.al/sq/moneypower/view/id/120/year/2012",  "table", 0)))),"*Kategoria*")</f>
        <v>*Kategoria*</v>
      </c>
      <c r="D257" t="s">
        <v>673</v>
      </c>
      <c r="E257" t="s">
        <v>674</v>
      </c>
      <c r="F257" t="s">
        <v>675</v>
      </c>
      <c r="G257" t="s">
        <v>676</v>
      </c>
      <c r="H257" t="s">
        <v>677</v>
      </c>
      <c r="I257" t="s">
        <v>678</v>
      </c>
      <c r="J257" t="s">
        <v>679</v>
      </c>
      <c r="K257" t="s">
        <v>680</v>
      </c>
      <c r="L257" t="s">
        <v>681</v>
      </c>
      <c r="M257" t="s">
        <v>682</v>
      </c>
      <c r="N257" t="s">
        <v>683</v>
      </c>
      <c r="O257" t="s">
        <v>684</v>
      </c>
      <c r="P257" t="s">
        <v>685</v>
      </c>
    </row>
    <row r="258" spans="2:16" ht="15">
      <c r="B258" s="11"/>
      <c r="C258" t="s">
        <v>686</v>
      </c>
      <c r="D258" t="s">
        <v>3289</v>
      </c>
      <c r="E258" t="s">
        <v>688</v>
      </c>
      <c r="F258" t="s">
        <v>688</v>
      </c>
      <c r="G258" t="s">
        <v>3290</v>
      </c>
      <c r="H258" t="s">
        <v>3291</v>
      </c>
      <c r="I258" t="s">
        <v>688</v>
      </c>
      <c r="J258" t="s">
        <v>688</v>
      </c>
      <c r="K258" t="s">
        <v>688</v>
      </c>
      <c r="L258" t="s">
        <v>688</v>
      </c>
      <c r="M258" t="s">
        <v>3292</v>
      </c>
      <c r="N258" t="s">
        <v>688</v>
      </c>
      <c r="O258" t="s">
        <v>707</v>
      </c>
      <c r="P258" t="s">
        <v>3293</v>
      </c>
    </row>
    <row r="259" spans="2:16" ht="15">
      <c r="B259" s="9">
        <v>121</v>
      </c>
      <c r="C259" t="str">
        <f ca="1">IFERROR(__xludf.DUMMYFUNCTION((TRANSPOSE(ImportHTML("http://spending.data.al/sq/moneypower/view/id/121/year/2012",  "table", 0)))),"*Kategoria*")</f>
        <v>*Kategoria*</v>
      </c>
      <c r="D259" t="s">
        <v>673</v>
      </c>
      <c r="E259" t="s">
        <v>674</v>
      </c>
      <c r="F259" t="s">
        <v>675</v>
      </c>
      <c r="G259" t="s">
        <v>676</v>
      </c>
      <c r="H259" t="s">
        <v>677</v>
      </c>
      <c r="I259" t="s">
        <v>678</v>
      </c>
      <c r="J259" t="s">
        <v>679</v>
      </c>
      <c r="K259" t="s">
        <v>680</v>
      </c>
      <c r="L259" t="s">
        <v>681</v>
      </c>
      <c r="M259" t="s">
        <v>682</v>
      </c>
      <c r="N259" t="s">
        <v>683</v>
      </c>
      <c r="O259" t="s">
        <v>684</v>
      </c>
      <c r="P259" t="s">
        <v>685</v>
      </c>
    </row>
    <row r="260" spans="2:16" ht="15">
      <c r="B260" s="11"/>
      <c r="C260" t="s">
        <v>686</v>
      </c>
      <c r="D260" t="s">
        <v>3294</v>
      </c>
      <c r="E260" t="s">
        <v>688</v>
      </c>
      <c r="F260" t="s">
        <v>688</v>
      </c>
      <c r="G260" t="s">
        <v>688</v>
      </c>
      <c r="H260" t="s">
        <v>688</v>
      </c>
      <c r="I260" t="s">
        <v>688</v>
      </c>
      <c r="J260" t="s">
        <v>688</v>
      </c>
      <c r="K260" t="s">
        <v>688</v>
      </c>
      <c r="L260" t="s">
        <v>688</v>
      </c>
      <c r="M260" t="s">
        <v>3295</v>
      </c>
      <c r="N260" t="s">
        <v>688</v>
      </c>
      <c r="O260" t="s">
        <v>707</v>
      </c>
      <c r="P260" t="s">
        <v>3296</v>
      </c>
    </row>
    <row r="261" spans="2:16" ht="15">
      <c r="B261" s="9">
        <v>122</v>
      </c>
      <c r="C261" t="str">
        <f ca="1">IFERROR(__xludf.DUMMYFUNCTION((TRANSPOSE(ImportHTML("http://spending.data.al/sq/moneypower/view/id/122/year/2012",  "table", 0)))),"*Kategoria*")</f>
        <v>*Kategoria*</v>
      </c>
      <c r="D261" t="s">
        <v>673</v>
      </c>
      <c r="E261" t="s">
        <v>674</v>
      </c>
      <c r="F261" t="s">
        <v>675</v>
      </c>
      <c r="G261" t="s">
        <v>676</v>
      </c>
      <c r="H261" t="s">
        <v>677</v>
      </c>
      <c r="I261" t="s">
        <v>678</v>
      </c>
      <c r="J261" t="s">
        <v>679</v>
      </c>
      <c r="K261" t="s">
        <v>680</v>
      </c>
      <c r="L261" t="s">
        <v>681</v>
      </c>
      <c r="M261" t="s">
        <v>682</v>
      </c>
      <c r="N261" t="s">
        <v>683</v>
      </c>
      <c r="O261" t="s">
        <v>684</v>
      </c>
      <c r="P261" t="s">
        <v>685</v>
      </c>
    </row>
    <row r="262" spans="2:16" ht="15">
      <c r="B262" s="11"/>
      <c r="C262" t="s">
        <v>686</v>
      </c>
      <c r="D262" t="s">
        <v>3297</v>
      </c>
      <c r="E262" t="s">
        <v>688</v>
      </c>
      <c r="F262" t="s">
        <v>3298</v>
      </c>
      <c r="G262" t="s">
        <v>688</v>
      </c>
      <c r="H262" t="s">
        <v>688</v>
      </c>
      <c r="I262" t="s">
        <v>688</v>
      </c>
      <c r="J262" t="s">
        <v>688</v>
      </c>
      <c r="K262" t="s">
        <v>688</v>
      </c>
      <c r="L262" t="s">
        <v>688</v>
      </c>
      <c r="M262" t="s">
        <v>3299</v>
      </c>
      <c r="N262" t="s">
        <v>688</v>
      </c>
      <c r="O262" t="s">
        <v>707</v>
      </c>
      <c r="P262" t="s">
        <v>688</v>
      </c>
    </row>
    <row r="263" spans="2:16" ht="15">
      <c r="B263" s="9">
        <v>123</v>
      </c>
      <c r="C263" t="str">
        <f ca="1">IFERROR(__xludf.DUMMYFUNCTION((TRANSPOSE(ImportHTML("http://spending.data.al/sq/moneypower/view/id/123/year/2012",  "table", 0)))),"*Kategoria*")</f>
        <v>*Kategoria*</v>
      </c>
      <c r="D263" t="s">
        <v>673</v>
      </c>
      <c r="E263" t="s">
        <v>674</v>
      </c>
      <c r="F263" t="s">
        <v>675</v>
      </c>
      <c r="G263" t="s">
        <v>676</v>
      </c>
      <c r="H263" t="s">
        <v>677</v>
      </c>
      <c r="I263" t="s">
        <v>678</v>
      </c>
      <c r="J263" t="s">
        <v>679</v>
      </c>
      <c r="K263" t="s">
        <v>680</v>
      </c>
      <c r="L263" t="s">
        <v>681</v>
      </c>
      <c r="M263" t="s">
        <v>682</v>
      </c>
      <c r="N263" t="s">
        <v>683</v>
      </c>
      <c r="O263" t="s">
        <v>684</v>
      </c>
      <c r="P263" t="s">
        <v>685</v>
      </c>
    </row>
    <row r="264" spans="2:16" ht="15">
      <c r="B264" s="11"/>
      <c r="C264" t="s">
        <v>686</v>
      </c>
      <c r="D264" t="s">
        <v>3300</v>
      </c>
      <c r="E264" t="s">
        <v>688</v>
      </c>
      <c r="F264" t="s">
        <v>688</v>
      </c>
      <c r="G264" t="s">
        <v>3301</v>
      </c>
      <c r="H264" t="s">
        <v>688</v>
      </c>
      <c r="I264" t="s">
        <v>688</v>
      </c>
      <c r="J264" t="s">
        <v>688</v>
      </c>
      <c r="K264" t="s">
        <v>688</v>
      </c>
      <c r="L264" t="s">
        <v>688</v>
      </c>
      <c r="M264" t="s">
        <v>3302</v>
      </c>
      <c r="N264" t="s">
        <v>3303</v>
      </c>
      <c r="P264" t="s">
        <v>3304</v>
      </c>
    </row>
    <row r="265" spans="2:16" ht="15">
      <c r="B265" s="9">
        <v>124</v>
      </c>
      <c r="C265" t="str">
        <f ca="1">IFERROR(__xludf.DUMMYFUNCTION((TRANSPOSE(ImportHTML("http://spending.data.al/sq/moneypower/view/id/124/year/2012",  "table", 0)))),"*Emër Subjekti*")</f>
        <v>*Emër Subjekti*</v>
      </c>
      <c r="D265" t="s">
        <v>698</v>
      </c>
      <c r="E265" t="s">
        <v>699</v>
      </c>
      <c r="F265" t="s">
        <v>700</v>
      </c>
      <c r="G265" t="s">
        <v>701</v>
      </c>
      <c r="H265" t="s">
        <v>702</v>
      </c>
    </row>
    <row r="266" spans="2:16" ht="15">
      <c r="B266" s="11"/>
    </row>
    <row r="267" spans="2:16" ht="15">
      <c r="B267" s="11"/>
      <c r="C267" t="s">
        <v>2225</v>
      </c>
      <c r="D267" t="s">
        <v>711</v>
      </c>
      <c r="E267" t="s">
        <v>2178</v>
      </c>
      <c r="F267" t="s">
        <v>2226</v>
      </c>
      <c r="G267" t="s">
        <v>2227</v>
      </c>
      <c r="H267" t="s">
        <v>2228</v>
      </c>
    </row>
    <row r="268" spans="2:16" ht="15">
      <c r="B268" s="9">
        <v>125</v>
      </c>
      <c r="C268" t="str">
        <f ca="1">IFERROR(__xludf.DUMMYFUNCTION((TRANSPOSE(ImportHTML("http://spending.data.al/sq/moneypower/view/id/125/year/2012",  "table", 0)))),"*Kategoria*")</f>
        <v>*Kategoria*</v>
      </c>
      <c r="D268" t="s">
        <v>673</v>
      </c>
      <c r="E268" t="s">
        <v>674</v>
      </c>
      <c r="F268" t="s">
        <v>675</v>
      </c>
      <c r="G268" t="s">
        <v>676</v>
      </c>
      <c r="H268" t="s">
        <v>677</v>
      </c>
      <c r="I268" t="s">
        <v>678</v>
      </c>
      <c r="J268" t="s">
        <v>679</v>
      </c>
      <c r="K268" t="s">
        <v>680</v>
      </c>
      <c r="L268" t="s">
        <v>681</v>
      </c>
      <c r="M268" t="s">
        <v>682</v>
      </c>
      <c r="N268" t="s">
        <v>683</v>
      </c>
      <c r="O268" t="s">
        <v>684</v>
      </c>
      <c r="P268" t="s">
        <v>685</v>
      </c>
    </row>
    <row r="269" spans="2:16" ht="15">
      <c r="B269" s="11"/>
      <c r="C269" t="s">
        <v>686</v>
      </c>
      <c r="D269" t="s">
        <v>3305</v>
      </c>
      <c r="E269" t="s">
        <v>688</v>
      </c>
      <c r="F269" t="s">
        <v>688</v>
      </c>
      <c r="G269" t="s">
        <v>688</v>
      </c>
      <c r="H269" t="s">
        <v>688</v>
      </c>
      <c r="I269" t="s">
        <v>688</v>
      </c>
      <c r="J269" t="s">
        <v>688</v>
      </c>
      <c r="K269" t="s">
        <v>688</v>
      </c>
      <c r="L269" t="s">
        <v>688</v>
      </c>
      <c r="M269" t="s">
        <v>688</v>
      </c>
      <c r="N269" t="s">
        <v>688</v>
      </c>
      <c r="P269" t="s">
        <v>688</v>
      </c>
    </row>
    <row r="270" spans="2:16" ht="15">
      <c r="B270" s="9">
        <v>126</v>
      </c>
      <c r="C270" t="str">
        <f ca="1">IFERROR(__xludf.DUMMYFUNCTION((TRANSPOSE(ImportHTML("http://spending.data.al/sq/moneypower/view/id/126/year/2012",  "table", 0)))),"*Emër Subjekti*")</f>
        <v>*Emër Subjekti*</v>
      </c>
      <c r="D270" t="s">
        <v>698</v>
      </c>
      <c r="E270" t="s">
        <v>699</v>
      </c>
      <c r="F270" t="s">
        <v>700</v>
      </c>
      <c r="G270" t="s">
        <v>701</v>
      </c>
      <c r="H270" t="s">
        <v>702</v>
      </c>
    </row>
    <row r="271" spans="2:16" ht="15">
      <c r="B271" s="11"/>
    </row>
    <row r="272" spans="2:16" ht="15">
      <c r="B272" s="11"/>
      <c r="C272" t="s">
        <v>2231</v>
      </c>
      <c r="D272" t="s">
        <v>711</v>
      </c>
      <c r="E272" t="s">
        <v>2178</v>
      </c>
      <c r="F272" t="s">
        <v>2226</v>
      </c>
      <c r="G272" t="s">
        <v>2232</v>
      </c>
      <c r="H272" t="s">
        <v>2233</v>
      </c>
    </row>
    <row r="273" spans="2:16" ht="15">
      <c r="B273" s="9">
        <v>127</v>
      </c>
      <c r="C273" t="str">
        <f ca="1">IFERROR(__xludf.DUMMYFUNCTION((TRANSPOSE(ImportHTML("http://spending.data.al/sq/moneypower/view/id/127/year/2012",  "table", 0)))),"*Emër Subjekti*")</f>
        <v>*Emër Subjekti*</v>
      </c>
      <c r="D273" t="s">
        <v>698</v>
      </c>
      <c r="E273" t="s">
        <v>699</v>
      </c>
      <c r="F273" t="s">
        <v>700</v>
      </c>
      <c r="G273" t="s">
        <v>701</v>
      </c>
      <c r="H273" t="s">
        <v>702</v>
      </c>
    </row>
    <row r="274" spans="2:16" ht="15">
      <c r="B274" s="11"/>
    </row>
    <row r="275" spans="2:16" ht="15">
      <c r="B275" s="11"/>
      <c r="C275" t="s">
        <v>2234</v>
      </c>
      <c r="D275" t="s">
        <v>711</v>
      </c>
      <c r="E275" t="s">
        <v>2178</v>
      </c>
      <c r="F275" t="s">
        <v>712</v>
      </c>
      <c r="G275" t="s">
        <v>2235</v>
      </c>
      <c r="H275" t="s">
        <v>2236</v>
      </c>
    </row>
    <row r="276" spans="2:16" ht="15">
      <c r="B276" s="9">
        <v>128</v>
      </c>
      <c r="C276" t="str">
        <f ca="1">IFERROR(__xludf.DUMMYFUNCTION((TRANSPOSE(ImportHTML("http://spending.data.al/sq/moneypower/view/id/128/year/2012",  "table", 0)))),"*Emër Subjekti*")</f>
        <v>*Emër Subjekti*</v>
      </c>
      <c r="D276" t="s">
        <v>698</v>
      </c>
      <c r="E276" t="s">
        <v>699</v>
      </c>
      <c r="F276" t="s">
        <v>700</v>
      </c>
      <c r="G276" t="s">
        <v>701</v>
      </c>
      <c r="H276" t="s">
        <v>702</v>
      </c>
    </row>
    <row r="277" spans="2:16" ht="15">
      <c r="B277" s="11"/>
    </row>
    <row r="278" spans="2:16" ht="15">
      <c r="B278" s="11"/>
      <c r="C278" t="s">
        <v>2237</v>
      </c>
      <c r="D278" t="s">
        <v>711</v>
      </c>
      <c r="E278" t="s">
        <v>2238</v>
      </c>
      <c r="F278" t="s">
        <v>712</v>
      </c>
      <c r="G278" t="s">
        <v>2239</v>
      </c>
      <c r="H278" t="s">
        <v>2240</v>
      </c>
    </row>
    <row r="279" spans="2:16" ht="15">
      <c r="B279" s="9">
        <v>129</v>
      </c>
      <c r="C279" t="str">
        <f ca="1">IFERROR(__xludf.DUMMYFUNCTION((TRANSPOSE(ImportHTML("http://spending.data.al/sq/moneypower/view/id/129/year/2012",  "table", 0)))),"*Emër Subjekti*")</f>
        <v>*Emër Subjekti*</v>
      </c>
      <c r="D279" t="s">
        <v>698</v>
      </c>
      <c r="E279" t="s">
        <v>699</v>
      </c>
      <c r="F279" t="s">
        <v>700</v>
      </c>
      <c r="G279" t="s">
        <v>701</v>
      </c>
      <c r="H279" t="s">
        <v>702</v>
      </c>
    </row>
    <row r="280" spans="2:16" ht="15">
      <c r="B280" s="11"/>
    </row>
    <row r="281" spans="2:16" ht="15">
      <c r="B281" s="11"/>
      <c r="C281" t="s">
        <v>2241</v>
      </c>
      <c r="D281" t="s">
        <v>711</v>
      </c>
      <c r="E281" t="s">
        <v>2178</v>
      </c>
      <c r="F281" t="s">
        <v>712</v>
      </c>
      <c r="G281" t="s">
        <v>2242</v>
      </c>
      <c r="H281" t="s">
        <v>2243</v>
      </c>
    </row>
    <row r="282" spans="2:16" ht="15">
      <c r="B282" s="9">
        <v>130</v>
      </c>
      <c r="C282" t="str">
        <f ca="1">IFERROR(__xludf.DUMMYFUNCTION((TRANSPOSE(ImportHTML("http://spending.data.al/sq/moneypower/view/id/130/year/2012",  "table", 0)))),"*Kategoria*")</f>
        <v>*Kategoria*</v>
      </c>
      <c r="D282" t="s">
        <v>673</v>
      </c>
      <c r="E282" t="s">
        <v>674</v>
      </c>
      <c r="F282" t="s">
        <v>675</v>
      </c>
      <c r="G282" t="s">
        <v>676</v>
      </c>
      <c r="H282" t="s">
        <v>677</v>
      </c>
      <c r="I282" t="s">
        <v>678</v>
      </c>
      <c r="J282" t="s">
        <v>679</v>
      </c>
      <c r="K282" t="s">
        <v>680</v>
      </c>
      <c r="L282" t="s">
        <v>681</v>
      </c>
      <c r="M282" t="s">
        <v>682</v>
      </c>
      <c r="N282" t="s">
        <v>683</v>
      </c>
      <c r="O282" t="s">
        <v>684</v>
      </c>
      <c r="P282" t="s">
        <v>685</v>
      </c>
    </row>
    <row r="283" spans="2:16" ht="15">
      <c r="B283" s="11"/>
      <c r="C283" t="s">
        <v>686</v>
      </c>
      <c r="D283" t="s">
        <v>3306</v>
      </c>
      <c r="E283" t="s">
        <v>688</v>
      </c>
      <c r="F283" t="s">
        <v>688</v>
      </c>
      <c r="G283" t="s">
        <v>688</v>
      </c>
      <c r="H283" t="s">
        <v>688</v>
      </c>
      <c r="I283" t="s">
        <v>688</v>
      </c>
      <c r="J283" t="s">
        <v>688</v>
      </c>
      <c r="K283" t="s">
        <v>688</v>
      </c>
      <c r="L283" t="s">
        <v>688</v>
      </c>
      <c r="M283" t="s">
        <v>688</v>
      </c>
      <c r="N283" t="s">
        <v>688</v>
      </c>
      <c r="P283" t="s">
        <v>688</v>
      </c>
    </row>
    <row r="284" spans="2:16" ht="15">
      <c r="B284" s="9">
        <v>131</v>
      </c>
      <c r="C284" t="str">
        <f ca="1">IFERROR(__xludf.DUMMYFUNCTION((TRANSPOSE(ImportHTML("http://spending.data.al/sq/moneypower/view/id/131/year/2012",  "table", 0)))),"*Emër Subjekti*")</f>
        <v>*Emër Subjekti*</v>
      </c>
      <c r="D284" t="s">
        <v>698</v>
      </c>
      <c r="E284" t="s">
        <v>699</v>
      </c>
      <c r="F284" t="s">
        <v>700</v>
      </c>
      <c r="G284" t="s">
        <v>701</v>
      </c>
      <c r="H284" t="s">
        <v>702</v>
      </c>
    </row>
    <row r="285" spans="2:16" ht="15">
      <c r="B285" s="11"/>
    </row>
    <row r="286" spans="2:16" ht="15">
      <c r="B286" s="11"/>
      <c r="C286" t="s">
        <v>2246</v>
      </c>
      <c r="D286" t="s">
        <v>711</v>
      </c>
      <c r="E286" t="s">
        <v>2178</v>
      </c>
      <c r="F286" t="s">
        <v>2226</v>
      </c>
      <c r="G286" t="s">
        <v>2247</v>
      </c>
      <c r="H286" t="s">
        <v>2248</v>
      </c>
    </row>
    <row r="287" spans="2:16" ht="15">
      <c r="B287" s="9">
        <v>132</v>
      </c>
      <c r="C287" t="str">
        <f ca="1">IFERROR(__xludf.DUMMYFUNCTION((TRANSPOSE(ImportHTML("http://spending.data.al/sq/moneypower/view/id/132/year/2012",  "table", 0)))),"*Kategoria*")</f>
        <v>*Kategoria*</v>
      </c>
      <c r="D287" t="s">
        <v>673</v>
      </c>
      <c r="E287" t="s">
        <v>674</v>
      </c>
      <c r="F287" t="s">
        <v>675</v>
      </c>
      <c r="G287" t="s">
        <v>676</v>
      </c>
      <c r="H287" t="s">
        <v>677</v>
      </c>
      <c r="I287" t="s">
        <v>678</v>
      </c>
      <c r="J287" t="s">
        <v>679</v>
      </c>
      <c r="K287" t="s">
        <v>680</v>
      </c>
      <c r="L287" t="s">
        <v>681</v>
      </c>
      <c r="M287" t="s">
        <v>682</v>
      </c>
      <c r="N287" t="s">
        <v>683</v>
      </c>
      <c r="O287" t="s">
        <v>684</v>
      </c>
      <c r="P287" t="s">
        <v>685</v>
      </c>
    </row>
    <row r="288" spans="2:16" ht="15">
      <c r="B288" s="11"/>
      <c r="C288" t="s">
        <v>686</v>
      </c>
      <c r="D288" t="s">
        <v>3307</v>
      </c>
      <c r="E288" t="s">
        <v>688</v>
      </c>
      <c r="F288" t="s">
        <v>688</v>
      </c>
      <c r="G288" t="s">
        <v>688</v>
      </c>
      <c r="H288" t="s">
        <v>688</v>
      </c>
      <c r="I288" t="s">
        <v>688</v>
      </c>
      <c r="J288" t="s">
        <v>688</v>
      </c>
      <c r="K288" t="s">
        <v>688</v>
      </c>
      <c r="L288" t="s">
        <v>688</v>
      </c>
      <c r="M288" t="s">
        <v>3308</v>
      </c>
      <c r="N288" t="s">
        <v>688</v>
      </c>
      <c r="O288" t="s">
        <v>707</v>
      </c>
      <c r="P288" t="s">
        <v>688</v>
      </c>
    </row>
    <row r="289" spans="2:16" ht="15">
      <c r="B289" s="9">
        <v>133</v>
      </c>
      <c r="C289" t="str">
        <f ca="1">IFERROR(__xludf.DUMMYFUNCTION((TRANSPOSE(ImportHTML("http://spending.data.al/sq/moneypower/view/id/133/year/2012",  "table", 0)))),"*Kategoria*")</f>
        <v>*Kategoria*</v>
      </c>
      <c r="D289" t="s">
        <v>673</v>
      </c>
      <c r="E289" t="s">
        <v>674</v>
      </c>
      <c r="F289" t="s">
        <v>675</v>
      </c>
      <c r="G289" t="s">
        <v>676</v>
      </c>
      <c r="H289" t="s">
        <v>677</v>
      </c>
      <c r="I289" t="s">
        <v>678</v>
      </c>
      <c r="J289" t="s">
        <v>679</v>
      </c>
      <c r="K289" t="s">
        <v>680</v>
      </c>
      <c r="L289" t="s">
        <v>681</v>
      </c>
      <c r="M289" t="s">
        <v>682</v>
      </c>
      <c r="N289" t="s">
        <v>683</v>
      </c>
      <c r="O289" t="s">
        <v>684</v>
      </c>
      <c r="P289" t="s">
        <v>685</v>
      </c>
    </row>
    <row r="290" spans="2:16" ht="15">
      <c r="B290" s="11"/>
      <c r="C290" t="s">
        <v>686</v>
      </c>
      <c r="D290" t="s">
        <v>3309</v>
      </c>
      <c r="E290" t="s">
        <v>688</v>
      </c>
      <c r="F290" t="s">
        <v>688</v>
      </c>
      <c r="G290" t="s">
        <v>688</v>
      </c>
      <c r="H290" t="s">
        <v>688</v>
      </c>
      <c r="I290" t="s">
        <v>688</v>
      </c>
      <c r="J290" t="s">
        <v>688</v>
      </c>
      <c r="K290" t="s">
        <v>688</v>
      </c>
      <c r="L290" t="s">
        <v>688</v>
      </c>
      <c r="M290" t="s">
        <v>3310</v>
      </c>
      <c r="N290" t="s">
        <v>688</v>
      </c>
      <c r="O290" t="s">
        <v>707</v>
      </c>
      <c r="P290" t="s">
        <v>688</v>
      </c>
    </row>
    <row r="291" spans="2:16" ht="15">
      <c r="B291" s="9">
        <v>134</v>
      </c>
      <c r="C291" t="str">
        <f ca="1">IFERROR(__xludf.DUMMYFUNCTION((TRANSPOSE(ImportHTML("http://spending.data.al/sq/moneypower/view/id/134/year/2012",  "table", 0)))),"*Emër Subjekti*")</f>
        <v>*Emër Subjekti*</v>
      </c>
      <c r="D291" t="s">
        <v>698</v>
      </c>
      <c r="E291" t="s">
        <v>699</v>
      </c>
      <c r="F291" t="s">
        <v>700</v>
      </c>
      <c r="G291" t="s">
        <v>701</v>
      </c>
      <c r="H291" t="s">
        <v>702</v>
      </c>
    </row>
    <row r="292" spans="2:16" ht="15">
      <c r="B292" s="11"/>
    </row>
    <row r="293" spans="2:16" ht="15">
      <c r="B293" s="11"/>
      <c r="C293" t="s">
        <v>2256</v>
      </c>
      <c r="D293" t="s">
        <v>711</v>
      </c>
      <c r="E293" t="s">
        <v>2178</v>
      </c>
      <c r="F293" t="s">
        <v>712</v>
      </c>
      <c r="G293" t="s">
        <v>2257</v>
      </c>
      <c r="H293" t="s">
        <v>2258</v>
      </c>
    </row>
    <row r="294" spans="2:16" ht="15">
      <c r="B294" s="9">
        <v>135</v>
      </c>
      <c r="C294" t="str">
        <f ca="1">IFERROR(__xludf.DUMMYFUNCTION((TRANSPOSE(ImportHTML("http://spending.data.al/sq/moneypower/view/id/135/year/2012",  "table", 0)))),"*Kategoria*")</f>
        <v>*Kategoria*</v>
      </c>
      <c r="D294" t="s">
        <v>673</v>
      </c>
      <c r="E294" t="s">
        <v>674</v>
      </c>
      <c r="F294" t="s">
        <v>675</v>
      </c>
      <c r="G294" t="s">
        <v>676</v>
      </c>
      <c r="H294" t="s">
        <v>677</v>
      </c>
      <c r="I294" t="s">
        <v>678</v>
      </c>
      <c r="J294" t="s">
        <v>679</v>
      </c>
      <c r="K294" t="s">
        <v>680</v>
      </c>
      <c r="L294" t="s">
        <v>681</v>
      </c>
      <c r="M294" t="s">
        <v>682</v>
      </c>
      <c r="N294" t="s">
        <v>683</v>
      </c>
      <c r="O294" t="s">
        <v>684</v>
      </c>
      <c r="P294" t="s">
        <v>685</v>
      </c>
    </row>
    <row r="295" spans="2:16" ht="15">
      <c r="B295" s="11"/>
      <c r="C295" t="s">
        <v>686</v>
      </c>
      <c r="D295" t="s">
        <v>3311</v>
      </c>
      <c r="E295" t="s">
        <v>3312</v>
      </c>
      <c r="F295" t="s">
        <v>688</v>
      </c>
      <c r="G295" t="s">
        <v>688</v>
      </c>
      <c r="H295" t="s">
        <v>3313</v>
      </c>
      <c r="I295" t="s">
        <v>688</v>
      </c>
      <c r="J295" t="s">
        <v>688</v>
      </c>
      <c r="K295" t="s">
        <v>688</v>
      </c>
      <c r="L295" t="s">
        <v>688</v>
      </c>
      <c r="M295" t="s">
        <v>688</v>
      </c>
      <c r="N295" t="s">
        <v>688</v>
      </c>
      <c r="P295" t="s">
        <v>3314</v>
      </c>
    </row>
    <row r="296" spans="2:16" ht="15">
      <c r="B296" s="9">
        <v>136</v>
      </c>
      <c r="C296" t="str">
        <f ca="1">IFERROR(__xludf.DUMMYFUNCTION((TRANSPOSE(ImportHTML("http://spending.data.al/sq/moneypower/view/id/136/year/2012",  "table", 0)))),"*Kategoria*")</f>
        <v>*Kategoria*</v>
      </c>
      <c r="D296" t="s">
        <v>673</v>
      </c>
      <c r="E296" t="s">
        <v>674</v>
      </c>
      <c r="F296" t="s">
        <v>675</v>
      </c>
      <c r="G296" t="s">
        <v>676</v>
      </c>
      <c r="H296" t="s">
        <v>677</v>
      </c>
      <c r="I296" t="s">
        <v>678</v>
      </c>
      <c r="J296" t="s">
        <v>679</v>
      </c>
      <c r="K296" t="s">
        <v>680</v>
      </c>
      <c r="L296" t="s">
        <v>681</v>
      </c>
      <c r="M296" t="s">
        <v>682</v>
      </c>
      <c r="N296" t="s">
        <v>683</v>
      </c>
      <c r="O296" t="s">
        <v>684</v>
      </c>
      <c r="P296" t="s">
        <v>685</v>
      </c>
    </row>
    <row r="297" spans="2:16" ht="15">
      <c r="B297" s="11"/>
      <c r="C297" t="s">
        <v>686</v>
      </c>
      <c r="D297" t="s">
        <v>3315</v>
      </c>
      <c r="E297" t="s">
        <v>688</v>
      </c>
      <c r="F297" t="s">
        <v>688</v>
      </c>
      <c r="G297" t="s">
        <v>688</v>
      </c>
      <c r="H297" t="s">
        <v>3316</v>
      </c>
      <c r="I297" t="s">
        <v>688</v>
      </c>
      <c r="J297" t="s">
        <v>688</v>
      </c>
      <c r="K297" t="s">
        <v>688</v>
      </c>
      <c r="L297" t="s">
        <v>688</v>
      </c>
      <c r="M297" t="s">
        <v>3317</v>
      </c>
      <c r="N297" t="s">
        <v>3318</v>
      </c>
      <c r="O297" t="s">
        <v>707</v>
      </c>
      <c r="P297" t="s">
        <v>688</v>
      </c>
    </row>
    <row r="298" spans="2:16" ht="15">
      <c r="B298" s="9">
        <v>137</v>
      </c>
      <c r="C298" t="str">
        <f ca="1">IFERROR(__xludf.DUMMYFUNCTION((TRANSPOSE(ImportHTML("http://spending.data.al/sq/moneypower/view/id/137/year/2012",  "table", 0)))),"*Kategoria*")</f>
        <v>*Kategoria*</v>
      </c>
      <c r="D298" t="s">
        <v>673</v>
      </c>
      <c r="E298" t="s">
        <v>674</v>
      </c>
      <c r="F298" t="s">
        <v>675</v>
      </c>
      <c r="G298" t="s">
        <v>676</v>
      </c>
      <c r="H298" t="s">
        <v>677</v>
      </c>
      <c r="I298" t="s">
        <v>678</v>
      </c>
      <c r="J298" t="s">
        <v>679</v>
      </c>
      <c r="K298" t="s">
        <v>680</v>
      </c>
      <c r="L298" t="s">
        <v>681</v>
      </c>
      <c r="M298" t="s">
        <v>682</v>
      </c>
      <c r="N298" t="s">
        <v>683</v>
      </c>
      <c r="O298" t="s">
        <v>684</v>
      </c>
      <c r="P298" t="s">
        <v>685</v>
      </c>
    </row>
    <row r="299" spans="2:16" ht="15">
      <c r="B299" s="11"/>
      <c r="C299" t="s">
        <v>686</v>
      </c>
      <c r="D299" t="s">
        <v>3319</v>
      </c>
      <c r="E299" t="s">
        <v>688</v>
      </c>
      <c r="F299" t="s">
        <v>688</v>
      </c>
      <c r="G299" t="s">
        <v>688</v>
      </c>
      <c r="H299" t="s">
        <v>688</v>
      </c>
      <c r="I299" t="s">
        <v>688</v>
      </c>
      <c r="J299" t="s">
        <v>688</v>
      </c>
      <c r="K299" t="s">
        <v>688</v>
      </c>
      <c r="L299" t="s">
        <v>688</v>
      </c>
      <c r="M299" t="s">
        <v>688</v>
      </c>
      <c r="N299" t="s">
        <v>688</v>
      </c>
      <c r="O299" t="s">
        <v>707</v>
      </c>
      <c r="P299" t="s">
        <v>688</v>
      </c>
    </row>
    <row r="300" spans="2:16" ht="15">
      <c r="B300" s="9">
        <v>138</v>
      </c>
      <c r="C300" t="str">
        <f ca="1">IFERROR(__xludf.DUMMYFUNCTION((TRANSPOSE(ImportHTML("http://spending.data.al/sq/moneypower/view/id/138/year/2012",  "table", 0)))),"*Kategoria*")</f>
        <v>*Kategoria*</v>
      </c>
      <c r="D300" t="s">
        <v>673</v>
      </c>
      <c r="E300" t="s">
        <v>674</v>
      </c>
      <c r="F300" t="s">
        <v>675</v>
      </c>
      <c r="G300" t="s">
        <v>676</v>
      </c>
      <c r="H300" t="s">
        <v>677</v>
      </c>
      <c r="I300" t="s">
        <v>678</v>
      </c>
      <c r="J300" t="s">
        <v>679</v>
      </c>
      <c r="K300" t="s">
        <v>680</v>
      </c>
      <c r="L300" t="s">
        <v>681</v>
      </c>
      <c r="M300" t="s">
        <v>682</v>
      </c>
      <c r="N300" t="s">
        <v>683</v>
      </c>
      <c r="O300" t="s">
        <v>684</v>
      </c>
      <c r="P300" t="s">
        <v>685</v>
      </c>
    </row>
    <row r="301" spans="2:16" ht="15">
      <c r="B301" s="11"/>
      <c r="C301" t="s">
        <v>686</v>
      </c>
      <c r="D301" t="s">
        <v>3320</v>
      </c>
      <c r="E301" t="s">
        <v>688</v>
      </c>
      <c r="F301" t="s">
        <v>688</v>
      </c>
      <c r="G301" t="s">
        <v>688</v>
      </c>
      <c r="H301" t="s">
        <v>688</v>
      </c>
      <c r="I301" t="s">
        <v>688</v>
      </c>
      <c r="J301" t="s">
        <v>688</v>
      </c>
      <c r="K301" t="s">
        <v>688</v>
      </c>
      <c r="L301" t="s">
        <v>688</v>
      </c>
      <c r="M301" t="s">
        <v>3321</v>
      </c>
      <c r="N301" t="s">
        <v>688</v>
      </c>
      <c r="O301" t="s">
        <v>707</v>
      </c>
      <c r="P301" t="s">
        <v>688</v>
      </c>
    </row>
    <row r="302" spans="2:16" ht="15">
      <c r="B302" s="9">
        <v>139</v>
      </c>
      <c r="C302" t="str">
        <f ca="1">IFERROR(__xludf.DUMMYFUNCTION((TRANSPOSE(ImportHTML("http://spending.data.al/sq/moneypower/view/id/139/year/2012",  "table", 0)))),"*Kategoria*")</f>
        <v>*Kategoria*</v>
      </c>
      <c r="D302" t="s">
        <v>673</v>
      </c>
      <c r="E302" t="s">
        <v>674</v>
      </c>
      <c r="F302" t="s">
        <v>675</v>
      </c>
      <c r="G302" t="s">
        <v>676</v>
      </c>
      <c r="H302" t="s">
        <v>677</v>
      </c>
      <c r="I302" t="s">
        <v>678</v>
      </c>
      <c r="J302" t="s">
        <v>679</v>
      </c>
      <c r="K302" t="s">
        <v>680</v>
      </c>
      <c r="L302" t="s">
        <v>681</v>
      </c>
      <c r="M302" t="s">
        <v>682</v>
      </c>
      <c r="N302" t="s">
        <v>683</v>
      </c>
      <c r="O302" t="s">
        <v>684</v>
      </c>
      <c r="P302" t="s">
        <v>685</v>
      </c>
    </row>
    <row r="303" spans="2:16" ht="15">
      <c r="B303" s="11"/>
      <c r="C303" t="s">
        <v>686</v>
      </c>
      <c r="D303" t="s">
        <v>3322</v>
      </c>
      <c r="E303" t="s">
        <v>688</v>
      </c>
      <c r="F303" t="s">
        <v>688</v>
      </c>
      <c r="G303" t="s">
        <v>688</v>
      </c>
      <c r="H303" t="s">
        <v>688</v>
      </c>
      <c r="I303" t="s">
        <v>688</v>
      </c>
      <c r="J303" t="s">
        <v>688</v>
      </c>
      <c r="K303" t="s">
        <v>688</v>
      </c>
      <c r="L303" t="s">
        <v>688</v>
      </c>
      <c r="M303" t="s">
        <v>688</v>
      </c>
      <c r="N303" t="s">
        <v>688</v>
      </c>
      <c r="O303" t="s">
        <v>707</v>
      </c>
      <c r="P303" t="s">
        <v>688</v>
      </c>
    </row>
    <row r="304" spans="2:16" ht="15">
      <c r="B304" s="9">
        <v>140</v>
      </c>
      <c r="C304" t="str">
        <f ca="1">IFERROR(__xludf.DUMMYFUNCTION((TRANSPOSE(ImportHTML("http://spending.data.al/sq/moneypower/view/id/140/year/2012",  "table", 0)))),"*Kategoria*")</f>
        <v>*Kategoria*</v>
      </c>
      <c r="D304" t="s">
        <v>673</v>
      </c>
      <c r="E304" t="s">
        <v>674</v>
      </c>
      <c r="F304" t="s">
        <v>675</v>
      </c>
      <c r="G304" t="s">
        <v>676</v>
      </c>
      <c r="H304" t="s">
        <v>677</v>
      </c>
      <c r="I304" t="s">
        <v>678</v>
      </c>
      <c r="J304" t="s">
        <v>679</v>
      </c>
      <c r="K304" t="s">
        <v>680</v>
      </c>
      <c r="L304" t="s">
        <v>681</v>
      </c>
      <c r="M304" t="s">
        <v>682</v>
      </c>
      <c r="N304" t="s">
        <v>683</v>
      </c>
      <c r="O304" t="s">
        <v>684</v>
      </c>
      <c r="P304" t="s">
        <v>685</v>
      </c>
    </row>
    <row r="305" spans="2:16" ht="15">
      <c r="B305" s="11"/>
      <c r="C305" t="s">
        <v>686</v>
      </c>
      <c r="D305" t="s">
        <v>3323</v>
      </c>
      <c r="E305" t="s">
        <v>688</v>
      </c>
      <c r="F305" t="s">
        <v>688</v>
      </c>
      <c r="G305" t="s">
        <v>688</v>
      </c>
      <c r="H305" t="s">
        <v>3324</v>
      </c>
      <c r="I305" t="s">
        <v>688</v>
      </c>
      <c r="J305" t="s">
        <v>688</v>
      </c>
      <c r="K305" t="s">
        <v>688</v>
      </c>
      <c r="L305" t="s">
        <v>688</v>
      </c>
      <c r="M305" t="s">
        <v>688</v>
      </c>
      <c r="N305" t="s">
        <v>688</v>
      </c>
      <c r="O305" t="s">
        <v>707</v>
      </c>
      <c r="P305" t="s">
        <v>688</v>
      </c>
    </row>
    <row r="306" spans="2:16" ht="15">
      <c r="B306" s="9">
        <v>141</v>
      </c>
      <c r="C306" t="str">
        <f ca="1">IFERROR(__xludf.DUMMYFUNCTION((TRANSPOSE(ImportHTML("http://spending.data.al/sq/moneypower/view/id/141/year/2012",  "table", 0)))),"*Kategoria*")</f>
        <v>*Kategoria*</v>
      </c>
      <c r="D306" t="s">
        <v>673</v>
      </c>
      <c r="E306" t="s">
        <v>674</v>
      </c>
      <c r="F306" t="s">
        <v>675</v>
      </c>
      <c r="G306" t="s">
        <v>676</v>
      </c>
      <c r="H306" t="s">
        <v>677</v>
      </c>
      <c r="I306" t="s">
        <v>678</v>
      </c>
      <c r="J306" t="s">
        <v>679</v>
      </c>
      <c r="K306" t="s">
        <v>680</v>
      </c>
      <c r="L306" t="s">
        <v>681</v>
      </c>
      <c r="M306" t="s">
        <v>682</v>
      </c>
      <c r="N306" t="s">
        <v>683</v>
      </c>
      <c r="O306" t="s">
        <v>684</v>
      </c>
      <c r="P306" t="s">
        <v>685</v>
      </c>
    </row>
    <row r="307" spans="2:16" ht="15">
      <c r="B307" s="11"/>
      <c r="C307" t="s">
        <v>686</v>
      </c>
      <c r="D307" t="s">
        <v>3325</v>
      </c>
      <c r="E307" t="s">
        <v>688</v>
      </c>
      <c r="F307" t="s">
        <v>3326</v>
      </c>
      <c r="G307" t="s">
        <v>688</v>
      </c>
      <c r="H307" t="s">
        <v>688</v>
      </c>
      <c r="I307" t="s">
        <v>688</v>
      </c>
      <c r="J307" t="s">
        <v>688</v>
      </c>
      <c r="K307" t="s">
        <v>688</v>
      </c>
      <c r="L307" t="s">
        <v>688</v>
      </c>
      <c r="M307" t="s">
        <v>688</v>
      </c>
      <c r="N307" t="s">
        <v>3327</v>
      </c>
      <c r="O307" t="s">
        <v>707</v>
      </c>
      <c r="P307" t="s">
        <v>688</v>
      </c>
    </row>
    <row r="308" spans="2:16" ht="15">
      <c r="B308" s="9">
        <v>142</v>
      </c>
      <c r="C308" t="str">
        <f ca="1">IFERROR(__xludf.DUMMYFUNCTION((TRANSPOSE(ImportHTML("http://spending.data.al/sq/moneypower/view/id/142/year/2012",  "table", 0)))),"*Kategoria*")</f>
        <v>*Kategoria*</v>
      </c>
      <c r="D308" t="s">
        <v>673</v>
      </c>
      <c r="E308" t="s">
        <v>674</v>
      </c>
      <c r="F308" t="s">
        <v>675</v>
      </c>
      <c r="G308" t="s">
        <v>676</v>
      </c>
      <c r="H308" t="s">
        <v>677</v>
      </c>
      <c r="I308" t="s">
        <v>678</v>
      </c>
      <c r="J308" t="s">
        <v>679</v>
      </c>
      <c r="K308" t="s">
        <v>680</v>
      </c>
      <c r="L308" t="s">
        <v>681</v>
      </c>
      <c r="M308" t="s">
        <v>682</v>
      </c>
      <c r="N308" t="s">
        <v>683</v>
      </c>
      <c r="O308" t="s">
        <v>684</v>
      </c>
      <c r="P308" t="s">
        <v>685</v>
      </c>
    </row>
    <row r="309" spans="2:16" ht="15">
      <c r="B309" s="11"/>
      <c r="C309" t="s">
        <v>686</v>
      </c>
      <c r="D309" t="s">
        <v>3328</v>
      </c>
      <c r="E309" t="s">
        <v>688</v>
      </c>
      <c r="F309" t="s">
        <v>688</v>
      </c>
      <c r="G309" t="s">
        <v>688</v>
      </c>
      <c r="H309" t="s">
        <v>688</v>
      </c>
      <c r="I309" t="s">
        <v>688</v>
      </c>
      <c r="J309" t="s">
        <v>688</v>
      </c>
      <c r="K309" t="s">
        <v>688</v>
      </c>
      <c r="L309" t="s">
        <v>688</v>
      </c>
      <c r="M309" t="s">
        <v>3329</v>
      </c>
      <c r="N309" t="s">
        <v>688</v>
      </c>
      <c r="P309" t="s">
        <v>3330</v>
      </c>
    </row>
    <row r="310" spans="2:16" ht="15">
      <c r="B310" s="9">
        <v>143</v>
      </c>
      <c r="C310" t="str">
        <f ca="1">IFERROR(__xludf.DUMMYFUNCTION((TRANSPOSE(ImportHTML("http://spending.data.al/sq/moneypower/view/id/143/year/2012",  "table", 0)))),"*Emër Subjekti*")</f>
        <v>*Emër Subjekti*</v>
      </c>
      <c r="D310" t="s">
        <v>698</v>
      </c>
      <c r="E310" t="s">
        <v>699</v>
      </c>
      <c r="F310" t="s">
        <v>700</v>
      </c>
      <c r="G310" t="s">
        <v>701</v>
      </c>
      <c r="H310" t="s">
        <v>702</v>
      </c>
    </row>
    <row r="311" spans="2:16" ht="15">
      <c r="B311" s="11"/>
    </row>
    <row r="312" spans="2:16" ht="15">
      <c r="B312" s="11"/>
      <c r="C312" t="s">
        <v>2279</v>
      </c>
      <c r="D312" t="s">
        <v>711</v>
      </c>
      <c r="E312" t="s">
        <v>2178</v>
      </c>
      <c r="F312" t="s">
        <v>2191</v>
      </c>
      <c r="G312" t="s">
        <v>2280</v>
      </c>
      <c r="H312" t="s">
        <v>2281</v>
      </c>
    </row>
    <row r="313" spans="2:16" ht="15">
      <c r="B313" s="9">
        <v>144</v>
      </c>
      <c r="C313" t="str">
        <f ca="1">IFERROR(__xludf.DUMMYFUNCTION((TRANSPOSE(ImportHTML("http://spending.data.al/sq/moneypower/view/id/144/year/2012",  "table", 0)))),"*Kategoria*")</f>
        <v>*Kategoria*</v>
      </c>
      <c r="D313" t="s">
        <v>673</v>
      </c>
      <c r="E313" t="s">
        <v>674</v>
      </c>
      <c r="F313" t="s">
        <v>675</v>
      </c>
      <c r="G313" t="s">
        <v>676</v>
      </c>
      <c r="H313" t="s">
        <v>677</v>
      </c>
      <c r="I313" t="s">
        <v>678</v>
      </c>
      <c r="J313" t="s">
        <v>679</v>
      </c>
      <c r="K313" t="s">
        <v>680</v>
      </c>
      <c r="L313" t="s">
        <v>681</v>
      </c>
      <c r="M313" t="s">
        <v>682</v>
      </c>
      <c r="N313" t="s">
        <v>683</v>
      </c>
      <c r="O313" t="s">
        <v>684</v>
      </c>
      <c r="P313" t="s">
        <v>685</v>
      </c>
    </row>
    <row r="314" spans="2:16" ht="15">
      <c r="B314" s="11"/>
      <c r="C314" t="s">
        <v>686</v>
      </c>
      <c r="D314" t="s">
        <v>3331</v>
      </c>
      <c r="E314" t="s">
        <v>688</v>
      </c>
      <c r="F314" t="s">
        <v>688</v>
      </c>
      <c r="G314" t="s">
        <v>3332</v>
      </c>
      <c r="H314" t="s">
        <v>3333</v>
      </c>
      <c r="I314" t="s">
        <v>688</v>
      </c>
      <c r="J314" t="s">
        <v>688</v>
      </c>
      <c r="K314" t="s">
        <v>688</v>
      </c>
      <c r="L314" t="s">
        <v>688</v>
      </c>
      <c r="M314" t="s">
        <v>3334</v>
      </c>
      <c r="N314" t="s">
        <v>688</v>
      </c>
      <c r="O314" t="s">
        <v>707</v>
      </c>
      <c r="P314" t="s">
        <v>688</v>
      </c>
    </row>
    <row r="315" spans="2:16" ht="15">
      <c r="B315" s="9">
        <v>145</v>
      </c>
      <c r="C315" t="str">
        <f ca="1">IFERROR(__xludf.DUMMYFUNCTION((TRANSPOSE(ImportHTML("http://spending.data.al/sq/moneypower/view/id/145/year/2012",  "table", 0)))),"*Kategoria*")</f>
        <v>*Kategoria*</v>
      </c>
      <c r="D315" t="s">
        <v>673</v>
      </c>
      <c r="E315" t="s">
        <v>674</v>
      </c>
      <c r="F315" t="s">
        <v>675</v>
      </c>
      <c r="G315" t="s">
        <v>676</v>
      </c>
      <c r="H315" t="s">
        <v>677</v>
      </c>
      <c r="I315" t="s">
        <v>678</v>
      </c>
      <c r="J315" t="s">
        <v>679</v>
      </c>
      <c r="K315" t="s">
        <v>680</v>
      </c>
      <c r="L315" t="s">
        <v>681</v>
      </c>
      <c r="M315" t="s">
        <v>682</v>
      </c>
      <c r="N315" t="s">
        <v>683</v>
      </c>
      <c r="O315" t="s">
        <v>684</v>
      </c>
      <c r="P315" t="s">
        <v>685</v>
      </c>
    </row>
    <row r="316" spans="2:16" ht="15">
      <c r="B316" s="11"/>
      <c r="C316" t="s">
        <v>686</v>
      </c>
      <c r="D316" t="s">
        <v>3335</v>
      </c>
      <c r="E316" t="s">
        <v>688</v>
      </c>
      <c r="F316" t="s">
        <v>688</v>
      </c>
      <c r="G316" t="s">
        <v>3336</v>
      </c>
      <c r="H316" t="s">
        <v>3337</v>
      </c>
      <c r="I316" t="s">
        <v>688</v>
      </c>
      <c r="J316" t="s">
        <v>688</v>
      </c>
      <c r="K316" t="s">
        <v>688</v>
      </c>
      <c r="L316" t="s">
        <v>688</v>
      </c>
      <c r="M316" t="s">
        <v>3338</v>
      </c>
      <c r="N316" t="s">
        <v>688</v>
      </c>
      <c r="O316" t="s">
        <v>707</v>
      </c>
      <c r="P316" t="s">
        <v>3339</v>
      </c>
    </row>
    <row r="317" spans="2:16" ht="15">
      <c r="B317" s="9">
        <v>146</v>
      </c>
      <c r="C317" t="str">
        <f ca="1">IFERROR(__xludf.DUMMYFUNCTION((TRANSPOSE(ImportHTML("http://spending.data.al/sq/moneypower/view/id/146/year/2012",  "table", 0)))),"*Kategoria*")</f>
        <v>*Kategoria*</v>
      </c>
      <c r="D317" t="s">
        <v>673</v>
      </c>
      <c r="E317" t="s">
        <v>674</v>
      </c>
      <c r="F317" t="s">
        <v>675</v>
      </c>
      <c r="G317" t="s">
        <v>676</v>
      </c>
      <c r="H317" t="s">
        <v>677</v>
      </c>
      <c r="I317" t="s">
        <v>678</v>
      </c>
      <c r="J317" t="s">
        <v>679</v>
      </c>
      <c r="K317" t="s">
        <v>680</v>
      </c>
      <c r="L317" t="s">
        <v>681</v>
      </c>
      <c r="M317" t="s">
        <v>682</v>
      </c>
      <c r="N317" t="s">
        <v>683</v>
      </c>
      <c r="O317" t="s">
        <v>684</v>
      </c>
      <c r="P317" t="s">
        <v>685</v>
      </c>
    </row>
    <row r="318" spans="2:16" ht="15">
      <c r="B318" s="11"/>
      <c r="C318" t="s">
        <v>686</v>
      </c>
      <c r="D318" t="s">
        <v>3340</v>
      </c>
      <c r="E318" t="s">
        <v>688</v>
      </c>
      <c r="F318" t="s">
        <v>688</v>
      </c>
      <c r="G318" t="s">
        <v>688</v>
      </c>
      <c r="H318" t="s">
        <v>688</v>
      </c>
      <c r="I318" t="s">
        <v>688</v>
      </c>
      <c r="J318" t="s">
        <v>688</v>
      </c>
      <c r="K318" t="s">
        <v>688</v>
      </c>
      <c r="L318" t="s">
        <v>688</v>
      </c>
      <c r="M318" t="s">
        <v>3341</v>
      </c>
      <c r="N318" t="s">
        <v>688</v>
      </c>
      <c r="O318" t="s">
        <v>707</v>
      </c>
      <c r="P318" t="s">
        <v>688</v>
      </c>
    </row>
    <row r="319" spans="2:16" ht="15">
      <c r="B319" s="9">
        <v>147</v>
      </c>
      <c r="C319" t="str">
        <f ca="1">IFERROR(__xludf.DUMMYFUNCTION((TRANSPOSE(ImportHTML("http://spending.data.al/sq/moneypower/view/id/147/year/2012",  "table", 0)))),"*Kategoria*")</f>
        <v>*Kategoria*</v>
      </c>
      <c r="D319" t="s">
        <v>673</v>
      </c>
      <c r="E319" t="s">
        <v>674</v>
      </c>
      <c r="F319" t="s">
        <v>675</v>
      </c>
      <c r="G319" t="s">
        <v>676</v>
      </c>
      <c r="H319" t="s">
        <v>677</v>
      </c>
      <c r="I319" t="s">
        <v>678</v>
      </c>
      <c r="J319" t="s">
        <v>679</v>
      </c>
      <c r="K319" t="s">
        <v>680</v>
      </c>
      <c r="L319" t="s">
        <v>681</v>
      </c>
      <c r="M319" t="s">
        <v>682</v>
      </c>
      <c r="N319" t="s">
        <v>683</v>
      </c>
      <c r="O319" t="s">
        <v>684</v>
      </c>
      <c r="P319" t="s">
        <v>685</v>
      </c>
    </row>
    <row r="320" spans="2:16" ht="15">
      <c r="B320" s="11"/>
      <c r="C320" t="s">
        <v>686</v>
      </c>
      <c r="D320" t="s">
        <v>3342</v>
      </c>
      <c r="E320" t="s">
        <v>688</v>
      </c>
      <c r="F320" t="s">
        <v>688</v>
      </c>
      <c r="G320" t="s">
        <v>3343</v>
      </c>
      <c r="H320" t="s">
        <v>688</v>
      </c>
      <c r="I320" t="s">
        <v>688</v>
      </c>
      <c r="J320" t="s">
        <v>688</v>
      </c>
      <c r="K320" t="s">
        <v>3344</v>
      </c>
      <c r="M320" t="s">
        <v>3345</v>
      </c>
      <c r="N320" t="s">
        <v>688</v>
      </c>
      <c r="O320" t="s">
        <v>707</v>
      </c>
      <c r="P320" t="s">
        <v>3346</v>
      </c>
    </row>
    <row r="321" spans="2:16" ht="15">
      <c r="B321" s="9">
        <v>148</v>
      </c>
      <c r="C321" t="str">
        <f ca="1">IFERROR(__xludf.DUMMYFUNCTION((TRANSPOSE(ImportHTML("http://spending.data.al/sq/moneypower/view/id/148/year/2012",  "table", 0)))),"*Kategoria*")</f>
        <v>*Kategoria*</v>
      </c>
      <c r="D321" t="s">
        <v>673</v>
      </c>
      <c r="E321" t="s">
        <v>674</v>
      </c>
      <c r="F321" t="s">
        <v>675</v>
      </c>
      <c r="G321" t="s">
        <v>676</v>
      </c>
      <c r="H321" t="s">
        <v>677</v>
      </c>
      <c r="I321" t="s">
        <v>678</v>
      </c>
      <c r="J321" t="s">
        <v>679</v>
      </c>
      <c r="K321" t="s">
        <v>680</v>
      </c>
      <c r="L321" t="s">
        <v>681</v>
      </c>
      <c r="M321" t="s">
        <v>682</v>
      </c>
      <c r="N321" t="s">
        <v>683</v>
      </c>
      <c r="O321" t="s">
        <v>684</v>
      </c>
      <c r="P321" t="s">
        <v>685</v>
      </c>
    </row>
    <row r="322" spans="2:16" ht="15">
      <c r="B322" s="11"/>
      <c r="C322" t="s">
        <v>686</v>
      </c>
      <c r="D322" t="s">
        <v>3347</v>
      </c>
      <c r="E322" t="s">
        <v>688</v>
      </c>
      <c r="F322" t="s">
        <v>688</v>
      </c>
      <c r="G322" t="s">
        <v>688</v>
      </c>
      <c r="H322" t="s">
        <v>688</v>
      </c>
      <c r="I322" t="s">
        <v>688</v>
      </c>
      <c r="J322" t="s">
        <v>688</v>
      </c>
      <c r="K322" t="s">
        <v>688</v>
      </c>
      <c r="L322" t="s">
        <v>688</v>
      </c>
      <c r="M322" t="s">
        <v>3348</v>
      </c>
      <c r="N322" t="s">
        <v>688</v>
      </c>
      <c r="O322" t="s">
        <v>707</v>
      </c>
      <c r="P322" t="s">
        <v>688</v>
      </c>
    </row>
    <row r="323" spans="2:16" ht="15">
      <c r="B323" s="9">
        <v>149</v>
      </c>
      <c r="C323" t="str">
        <f ca="1">IFERROR(__xludf.DUMMYFUNCTION((TRANSPOSE(ImportHTML("http://spending.data.al/sq/moneypower/view/id/149/year/2012",  "table", 0)))),"*Kategoria*")</f>
        <v>*Kategoria*</v>
      </c>
      <c r="D323" t="s">
        <v>673</v>
      </c>
      <c r="E323" t="s">
        <v>674</v>
      </c>
      <c r="F323" t="s">
        <v>675</v>
      </c>
      <c r="G323" t="s">
        <v>676</v>
      </c>
      <c r="H323" t="s">
        <v>677</v>
      </c>
      <c r="I323" t="s">
        <v>678</v>
      </c>
      <c r="J323" t="s">
        <v>679</v>
      </c>
      <c r="K323" t="s">
        <v>680</v>
      </c>
      <c r="L323" t="s">
        <v>681</v>
      </c>
      <c r="M323" t="s">
        <v>682</v>
      </c>
      <c r="N323" t="s">
        <v>683</v>
      </c>
      <c r="O323" t="s">
        <v>684</v>
      </c>
      <c r="P323" t="s">
        <v>685</v>
      </c>
    </row>
    <row r="324" spans="2:16" ht="15">
      <c r="B324" s="11"/>
      <c r="C324" t="s">
        <v>686</v>
      </c>
      <c r="D324" t="s">
        <v>1263</v>
      </c>
      <c r="E324" t="s">
        <v>688</v>
      </c>
      <c r="F324" t="s">
        <v>688</v>
      </c>
      <c r="G324" t="s">
        <v>688</v>
      </c>
      <c r="H324" t="s">
        <v>688</v>
      </c>
      <c r="I324" t="s">
        <v>688</v>
      </c>
      <c r="J324" t="s">
        <v>688</v>
      </c>
      <c r="K324" t="s">
        <v>688</v>
      </c>
      <c r="L324" t="s">
        <v>688</v>
      </c>
      <c r="M324" t="s">
        <v>688</v>
      </c>
      <c r="N324" t="s">
        <v>688</v>
      </c>
      <c r="O324" s="13">
        <v>1</v>
      </c>
      <c r="P324" t="s">
        <v>3349</v>
      </c>
    </row>
    <row r="325" spans="2:16" ht="15">
      <c r="B325" s="9">
        <v>150</v>
      </c>
      <c r="C325" t="str">
        <f ca="1">IFERROR(__xludf.DUMMYFUNCTION((TRANSPOSE(ImportHTML("http://spending.data.al/sq/moneypower/view/id/150/year/2012",  "table", 0)))),"*Kategoria*")</f>
        <v>*Kategoria*</v>
      </c>
      <c r="D325" t="s">
        <v>673</v>
      </c>
      <c r="E325" t="s">
        <v>674</v>
      </c>
      <c r="F325" t="s">
        <v>675</v>
      </c>
      <c r="G325" t="s">
        <v>676</v>
      </c>
      <c r="H325" t="s">
        <v>677</v>
      </c>
      <c r="I325" t="s">
        <v>678</v>
      </c>
      <c r="J325" t="s">
        <v>679</v>
      </c>
      <c r="K325" t="s">
        <v>680</v>
      </c>
      <c r="L325" t="s">
        <v>681</v>
      </c>
      <c r="M325" t="s">
        <v>682</v>
      </c>
      <c r="N325" t="s">
        <v>683</v>
      </c>
      <c r="O325" t="s">
        <v>684</v>
      </c>
      <c r="P325" t="s">
        <v>685</v>
      </c>
    </row>
    <row r="326" spans="2:16" ht="15">
      <c r="B326" s="11"/>
      <c r="C326" t="s">
        <v>686</v>
      </c>
      <c r="D326" t="s">
        <v>1266</v>
      </c>
      <c r="E326" t="s">
        <v>688</v>
      </c>
      <c r="F326" t="s">
        <v>688</v>
      </c>
      <c r="G326" t="s">
        <v>688</v>
      </c>
      <c r="H326" t="s">
        <v>688</v>
      </c>
      <c r="I326" t="s">
        <v>688</v>
      </c>
      <c r="J326" t="s">
        <v>688</v>
      </c>
      <c r="K326" t="s">
        <v>688</v>
      </c>
      <c r="L326" t="s">
        <v>688</v>
      </c>
      <c r="M326" t="s">
        <v>688</v>
      </c>
      <c r="N326" t="s">
        <v>688</v>
      </c>
      <c r="O326" s="13">
        <v>1</v>
      </c>
      <c r="P326" t="s">
        <v>3350</v>
      </c>
    </row>
    <row r="327" spans="2:16" ht="15">
      <c r="B327" s="9">
        <v>151</v>
      </c>
      <c r="C327" t="str">
        <f ca="1">IFERROR(__xludf.DUMMYFUNCTION((TRANSPOSE(ImportHTML("http://spending.data.al/sq/moneypower/view/id/151/year/2012",  "table", 0)))),"*Emër Subjekti*")</f>
        <v>*Emër Subjekti*</v>
      </c>
      <c r="D327" t="s">
        <v>698</v>
      </c>
      <c r="E327" t="s">
        <v>699</v>
      </c>
      <c r="F327" t="s">
        <v>700</v>
      </c>
      <c r="G327" t="s">
        <v>701</v>
      </c>
      <c r="H327" t="s">
        <v>702</v>
      </c>
    </row>
    <row r="328" spans="2:16" ht="15">
      <c r="B328" s="11"/>
    </row>
    <row r="329" spans="2:16" ht="15">
      <c r="B329" s="11"/>
      <c r="C329" t="s">
        <v>2303</v>
      </c>
      <c r="D329" t="s">
        <v>2304</v>
      </c>
      <c r="E329" s="12">
        <v>41681</v>
      </c>
      <c r="F329" t="s">
        <v>707</v>
      </c>
      <c r="G329" t="s">
        <v>2305</v>
      </c>
      <c r="H329" t="s">
        <v>707</v>
      </c>
    </row>
    <row r="330" spans="2:16" ht="15">
      <c r="B330" s="9">
        <v>152</v>
      </c>
      <c r="C330" t="str">
        <f ca="1">IFERROR(__xludf.DUMMYFUNCTION((TRANSPOSE(ImportHTML("http://spending.data.al/sq/moneypower/view/id/152/year/2012",  "table", 0)))),"*Kategoria*")</f>
        <v>*Kategoria*</v>
      </c>
      <c r="D330" t="s">
        <v>673</v>
      </c>
      <c r="E330" t="s">
        <v>674</v>
      </c>
      <c r="F330" t="s">
        <v>675</v>
      </c>
      <c r="G330" t="s">
        <v>676</v>
      </c>
      <c r="H330" t="s">
        <v>677</v>
      </c>
      <c r="I330" t="s">
        <v>678</v>
      </c>
      <c r="J330" t="s">
        <v>679</v>
      </c>
      <c r="K330" t="s">
        <v>680</v>
      </c>
      <c r="L330" t="s">
        <v>681</v>
      </c>
      <c r="M330" t="s">
        <v>682</v>
      </c>
      <c r="N330" t="s">
        <v>683</v>
      </c>
      <c r="O330" t="s">
        <v>684</v>
      </c>
      <c r="P330" t="s">
        <v>685</v>
      </c>
    </row>
    <row r="331" spans="2:16" ht="15">
      <c r="B331" s="11"/>
      <c r="C331" t="s">
        <v>686</v>
      </c>
      <c r="D331" t="s">
        <v>1268</v>
      </c>
      <c r="E331" t="s">
        <v>3351</v>
      </c>
      <c r="F331" t="s">
        <v>688</v>
      </c>
      <c r="G331" t="s">
        <v>688</v>
      </c>
      <c r="H331" t="s">
        <v>688</v>
      </c>
      <c r="I331" t="s">
        <v>688</v>
      </c>
      <c r="J331" t="s">
        <v>688</v>
      </c>
      <c r="K331" t="s">
        <v>688</v>
      </c>
      <c r="L331" t="s">
        <v>688</v>
      </c>
      <c r="M331" t="s">
        <v>3352</v>
      </c>
      <c r="N331" t="s">
        <v>3353</v>
      </c>
      <c r="O331" s="13">
        <v>4.28</v>
      </c>
      <c r="P331" t="s">
        <v>3354</v>
      </c>
    </row>
    <row r="332" spans="2:16" ht="15">
      <c r="B332" s="9">
        <v>153</v>
      </c>
      <c r="C332" t="str">
        <f ca="1">IFERROR(__xludf.DUMMYFUNCTION((TRANSPOSE(ImportHTML("http://spending.data.al/sq/moneypower/view/id/153/year/2012",  "table", 0)))),"*Kategoria*")</f>
        <v>*Kategoria*</v>
      </c>
      <c r="D332" t="s">
        <v>673</v>
      </c>
      <c r="E332" t="s">
        <v>674</v>
      </c>
      <c r="F332" t="s">
        <v>675</v>
      </c>
      <c r="G332" t="s">
        <v>676</v>
      </c>
      <c r="H332" t="s">
        <v>677</v>
      </c>
      <c r="I332" t="s">
        <v>678</v>
      </c>
      <c r="J332" t="s">
        <v>679</v>
      </c>
      <c r="K332" t="s">
        <v>680</v>
      </c>
      <c r="L332" t="s">
        <v>681</v>
      </c>
      <c r="M332" t="s">
        <v>682</v>
      </c>
      <c r="N332" t="s">
        <v>683</v>
      </c>
      <c r="O332" t="s">
        <v>684</v>
      </c>
      <c r="P332" t="s">
        <v>685</v>
      </c>
    </row>
    <row r="333" spans="2:16" ht="15">
      <c r="B333" s="11"/>
      <c r="C333" t="s">
        <v>686</v>
      </c>
      <c r="D333" t="s">
        <v>3355</v>
      </c>
      <c r="E333" t="s">
        <v>688</v>
      </c>
      <c r="F333" t="s">
        <v>688</v>
      </c>
      <c r="G333" t="s">
        <v>688</v>
      </c>
      <c r="H333" t="s">
        <v>1274</v>
      </c>
      <c r="I333" t="s">
        <v>688</v>
      </c>
      <c r="J333" t="s">
        <v>688</v>
      </c>
      <c r="K333" t="s">
        <v>688</v>
      </c>
      <c r="L333" t="s">
        <v>688</v>
      </c>
      <c r="M333" t="s">
        <v>3356</v>
      </c>
      <c r="N333" t="s">
        <v>688</v>
      </c>
      <c r="O333" s="13">
        <v>1.1100000000000001</v>
      </c>
      <c r="P333" t="s">
        <v>688</v>
      </c>
    </row>
    <row r="334" spans="2:16" ht="15">
      <c r="B334" s="9">
        <v>154</v>
      </c>
      <c r="C334" t="str">
        <f ca="1">IFERROR(__xludf.DUMMYFUNCTION((TRANSPOSE(ImportHTML("http://spending.data.al/sq/moneypower/view/id/154/year/2012",  "table", 0)))),"*Kategoria*")</f>
        <v>*Kategoria*</v>
      </c>
      <c r="D334" t="s">
        <v>673</v>
      </c>
      <c r="E334" t="s">
        <v>674</v>
      </c>
      <c r="F334" t="s">
        <v>675</v>
      </c>
      <c r="G334" t="s">
        <v>676</v>
      </c>
      <c r="H334" t="s">
        <v>677</v>
      </c>
      <c r="I334" t="s">
        <v>678</v>
      </c>
      <c r="J334" t="s">
        <v>679</v>
      </c>
      <c r="K334" t="s">
        <v>680</v>
      </c>
      <c r="L334" t="s">
        <v>681</v>
      </c>
      <c r="M334" t="s">
        <v>682</v>
      </c>
      <c r="N334" t="s">
        <v>683</v>
      </c>
      <c r="O334" t="s">
        <v>684</v>
      </c>
      <c r="P334" t="s">
        <v>685</v>
      </c>
    </row>
    <row r="335" spans="2:16" ht="15">
      <c r="B335" s="11"/>
      <c r="C335" t="s">
        <v>686</v>
      </c>
      <c r="D335" t="s">
        <v>3357</v>
      </c>
      <c r="E335" t="s">
        <v>688</v>
      </c>
      <c r="F335" t="s">
        <v>688</v>
      </c>
      <c r="G335" t="s">
        <v>688</v>
      </c>
      <c r="H335" t="s">
        <v>688</v>
      </c>
      <c r="I335" t="s">
        <v>688</v>
      </c>
      <c r="J335" t="s">
        <v>688</v>
      </c>
      <c r="K335" t="s">
        <v>688</v>
      </c>
      <c r="L335" t="s">
        <v>688</v>
      </c>
      <c r="M335" t="s">
        <v>688</v>
      </c>
      <c r="N335" t="s">
        <v>688</v>
      </c>
      <c r="O335" s="13">
        <v>1</v>
      </c>
      <c r="P335" t="s">
        <v>688</v>
      </c>
    </row>
    <row r="336" spans="2:16" ht="15">
      <c r="B336" s="9">
        <v>155</v>
      </c>
      <c r="C336" t="str">
        <f ca="1">IFERROR(__xludf.DUMMYFUNCTION((TRANSPOSE(ImportHTML("http://spending.data.al/sq/moneypower/view/id/155/year/2012",  "table", 0)))),"*Kategoria*")</f>
        <v>*Kategoria*</v>
      </c>
      <c r="D336" t="s">
        <v>673</v>
      </c>
      <c r="E336" t="s">
        <v>674</v>
      </c>
      <c r="F336" t="s">
        <v>675</v>
      </c>
      <c r="G336" t="s">
        <v>676</v>
      </c>
      <c r="H336" t="s">
        <v>677</v>
      </c>
      <c r="I336" t="s">
        <v>678</v>
      </c>
      <c r="J336" t="s">
        <v>679</v>
      </c>
      <c r="K336" t="s">
        <v>680</v>
      </c>
      <c r="L336" t="s">
        <v>681</v>
      </c>
      <c r="M336" t="s">
        <v>682</v>
      </c>
      <c r="N336" t="s">
        <v>683</v>
      </c>
      <c r="O336" t="s">
        <v>684</v>
      </c>
      <c r="P336" t="s">
        <v>685</v>
      </c>
    </row>
    <row r="337" spans="2:16" ht="15">
      <c r="B337" s="11"/>
      <c r="C337" t="s">
        <v>686</v>
      </c>
      <c r="D337" t="s">
        <v>1278</v>
      </c>
      <c r="E337" t="s">
        <v>688</v>
      </c>
      <c r="F337" t="s">
        <v>688</v>
      </c>
      <c r="G337" t="s">
        <v>688</v>
      </c>
      <c r="H337" t="s">
        <v>688</v>
      </c>
      <c r="I337" t="s">
        <v>688</v>
      </c>
      <c r="J337" t="s">
        <v>688</v>
      </c>
      <c r="K337" t="s">
        <v>688</v>
      </c>
      <c r="L337" t="s">
        <v>688</v>
      </c>
      <c r="M337" t="s">
        <v>688</v>
      </c>
      <c r="N337" t="s">
        <v>688</v>
      </c>
      <c r="O337" s="13">
        <v>1</v>
      </c>
      <c r="P337" t="s">
        <v>688</v>
      </c>
    </row>
    <row r="338" spans="2:16" ht="15">
      <c r="B338" s="9">
        <v>156</v>
      </c>
      <c r="C338" t="str">
        <f ca="1">IFERROR(__xludf.DUMMYFUNCTION((TRANSPOSE(ImportHTML("http://spending.data.al/sq/moneypower/view/id/156/year/2012",  "table", 0)))),"*Kategoria*")</f>
        <v>*Kategoria*</v>
      </c>
      <c r="D338" t="s">
        <v>673</v>
      </c>
      <c r="E338" t="s">
        <v>674</v>
      </c>
      <c r="F338" t="s">
        <v>675</v>
      </c>
      <c r="G338" t="s">
        <v>676</v>
      </c>
      <c r="H338" t="s">
        <v>677</v>
      </c>
      <c r="I338" t="s">
        <v>678</v>
      </c>
      <c r="J338" t="s">
        <v>679</v>
      </c>
      <c r="K338" t="s">
        <v>680</v>
      </c>
      <c r="L338" t="s">
        <v>681</v>
      </c>
      <c r="M338" t="s">
        <v>682</v>
      </c>
      <c r="N338" t="s">
        <v>683</v>
      </c>
      <c r="O338" t="s">
        <v>684</v>
      </c>
      <c r="P338" t="s">
        <v>685</v>
      </c>
    </row>
    <row r="339" spans="2:16" ht="15">
      <c r="B339" s="11"/>
      <c r="C339" t="s">
        <v>686</v>
      </c>
      <c r="D339" t="s">
        <v>3358</v>
      </c>
      <c r="E339" t="s">
        <v>688</v>
      </c>
      <c r="F339" t="s">
        <v>688</v>
      </c>
      <c r="G339" t="s">
        <v>688</v>
      </c>
      <c r="H339" t="s">
        <v>688</v>
      </c>
      <c r="I339" t="s">
        <v>688</v>
      </c>
      <c r="J339" t="s">
        <v>688</v>
      </c>
      <c r="K339" t="s">
        <v>688</v>
      </c>
      <c r="L339" t="s">
        <v>3359</v>
      </c>
      <c r="M339" t="s">
        <v>3360</v>
      </c>
      <c r="N339" t="s">
        <v>688</v>
      </c>
      <c r="O339" s="13">
        <v>1.54</v>
      </c>
      <c r="P339" t="s">
        <v>688</v>
      </c>
    </row>
    <row r="340" spans="2:16" ht="15">
      <c r="B340" s="9">
        <v>157</v>
      </c>
      <c r="C340" t="str">
        <f ca="1">IFERROR(__xludf.DUMMYFUNCTION((TRANSPOSE(ImportHTML("http://spending.data.al/sq/moneypower/view/id/157/year/2012",  "table", 0)))),"*Emër Subjekti*")</f>
        <v>*Emër Subjekti*</v>
      </c>
      <c r="D340" t="s">
        <v>698</v>
      </c>
      <c r="E340" t="s">
        <v>699</v>
      </c>
      <c r="F340" t="s">
        <v>700</v>
      </c>
      <c r="G340" t="s">
        <v>701</v>
      </c>
      <c r="H340" t="s">
        <v>702</v>
      </c>
    </row>
    <row r="341" spans="2:16" ht="15">
      <c r="B341" s="11"/>
    </row>
    <row r="342" spans="2:16" ht="15">
      <c r="B342" s="11"/>
      <c r="C342" t="s">
        <v>2324</v>
      </c>
      <c r="D342" t="s">
        <v>2325</v>
      </c>
      <c r="E342" s="12">
        <v>41359</v>
      </c>
      <c r="F342" t="s">
        <v>707</v>
      </c>
      <c r="G342" t="s">
        <v>2326</v>
      </c>
      <c r="H342" t="s">
        <v>2327</v>
      </c>
    </row>
    <row r="343" spans="2:16" ht="15">
      <c r="B343" s="9">
        <v>158</v>
      </c>
      <c r="C343" t="str">
        <f ca="1">IFERROR(__xludf.DUMMYFUNCTION((TRANSPOSE(ImportHTML("http://spending.data.al/sq/moneypower/view/id/158/year/2012",  "table", 0)))),"*Kategoria*")</f>
        <v>*Kategoria*</v>
      </c>
      <c r="D343" t="s">
        <v>673</v>
      </c>
      <c r="E343" t="s">
        <v>674</v>
      </c>
      <c r="F343" t="s">
        <v>675</v>
      </c>
      <c r="G343" t="s">
        <v>676</v>
      </c>
      <c r="H343" t="s">
        <v>677</v>
      </c>
      <c r="I343" t="s">
        <v>678</v>
      </c>
      <c r="J343" t="s">
        <v>679</v>
      </c>
      <c r="K343" t="s">
        <v>680</v>
      </c>
      <c r="L343" t="s">
        <v>681</v>
      </c>
      <c r="M343" t="s">
        <v>682</v>
      </c>
      <c r="N343" t="s">
        <v>683</v>
      </c>
      <c r="O343" t="s">
        <v>684</v>
      </c>
      <c r="P343" t="s">
        <v>685</v>
      </c>
    </row>
    <row r="344" spans="2:16" ht="15">
      <c r="B344" s="11"/>
      <c r="C344" t="s">
        <v>686</v>
      </c>
      <c r="D344" t="s">
        <v>3361</v>
      </c>
      <c r="E344" t="s">
        <v>688</v>
      </c>
      <c r="F344" t="s">
        <v>688</v>
      </c>
      <c r="G344" t="s">
        <v>688</v>
      </c>
      <c r="H344" t="s">
        <v>1287</v>
      </c>
      <c r="I344" t="s">
        <v>688</v>
      </c>
      <c r="J344" t="s">
        <v>688</v>
      </c>
      <c r="K344" t="s">
        <v>688</v>
      </c>
      <c r="L344" t="s">
        <v>688</v>
      </c>
      <c r="M344" t="s">
        <v>3362</v>
      </c>
      <c r="N344" t="s">
        <v>688</v>
      </c>
      <c r="O344" s="13">
        <v>8.23</v>
      </c>
      <c r="P344" t="s">
        <v>3363</v>
      </c>
    </row>
    <row r="345" spans="2:16" ht="15">
      <c r="B345" s="9">
        <v>159</v>
      </c>
      <c r="C345" t="str">
        <f ca="1">IFERROR(__xludf.DUMMYFUNCTION((TRANSPOSE(ImportHTML("http://spending.data.al/sq/moneypower/view/id/159/year/2012",  "table", 0)))),"*Kategoria*")</f>
        <v>*Kategoria*</v>
      </c>
      <c r="D345" t="s">
        <v>673</v>
      </c>
      <c r="E345" t="s">
        <v>674</v>
      </c>
      <c r="F345" t="s">
        <v>675</v>
      </c>
      <c r="G345" t="s">
        <v>676</v>
      </c>
      <c r="H345" t="s">
        <v>677</v>
      </c>
      <c r="I345" t="s">
        <v>678</v>
      </c>
      <c r="J345" t="s">
        <v>679</v>
      </c>
      <c r="K345" t="s">
        <v>680</v>
      </c>
      <c r="L345" t="s">
        <v>681</v>
      </c>
      <c r="M345" t="s">
        <v>682</v>
      </c>
      <c r="N345" t="s">
        <v>683</v>
      </c>
      <c r="O345" t="s">
        <v>684</v>
      </c>
      <c r="P345" t="s">
        <v>685</v>
      </c>
    </row>
    <row r="346" spans="2:16" ht="15">
      <c r="B346" s="11"/>
      <c r="C346" t="s">
        <v>686</v>
      </c>
      <c r="D346" t="s">
        <v>3364</v>
      </c>
      <c r="E346" t="s">
        <v>688</v>
      </c>
      <c r="F346" t="s">
        <v>688</v>
      </c>
      <c r="G346" t="s">
        <v>688</v>
      </c>
      <c r="H346" t="s">
        <v>688</v>
      </c>
      <c r="I346" t="s">
        <v>688</v>
      </c>
      <c r="J346" t="s">
        <v>688</v>
      </c>
      <c r="K346" t="s">
        <v>688</v>
      </c>
      <c r="L346" t="s">
        <v>688</v>
      </c>
      <c r="M346" t="s">
        <v>688</v>
      </c>
      <c r="N346" t="s">
        <v>688</v>
      </c>
      <c r="O346" s="13">
        <v>1</v>
      </c>
      <c r="P346" t="s">
        <v>3365</v>
      </c>
    </row>
    <row r="347" spans="2:16" ht="15">
      <c r="B347" s="9">
        <v>160</v>
      </c>
      <c r="C347" t="str">
        <f ca="1">IFERROR(__xludf.DUMMYFUNCTION((TRANSPOSE(ImportHTML("http://spending.data.al/sq/moneypower/view/id/160/year/2012",  "table", 0)))),"*Kategoria*")</f>
        <v>*Kategoria*</v>
      </c>
      <c r="D347" t="s">
        <v>673</v>
      </c>
      <c r="E347" t="s">
        <v>674</v>
      </c>
      <c r="F347" t="s">
        <v>675</v>
      </c>
      <c r="G347" t="s">
        <v>676</v>
      </c>
      <c r="H347" t="s">
        <v>677</v>
      </c>
      <c r="I347" t="s">
        <v>678</v>
      </c>
      <c r="J347" t="s">
        <v>679</v>
      </c>
      <c r="K347" t="s">
        <v>680</v>
      </c>
      <c r="L347" t="s">
        <v>681</v>
      </c>
      <c r="M347" t="s">
        <v>682</v>
      </c>
      <c r="N347" t="s">
        <v>683</v>
      </c>
      <c r="O347" t="s">
        <v>684</v>
      </c>
      <c r="P347" t="s">
        <v>685</v>
      </c>
    </row>
    <row r="348" spans="2:16" ht="15">
      <c r="B348" s="11"/>
      <c r="C348" t="s">
        <v>686</v>
      </c>
      <c r="D348" t="s">
        <v>3366</v>
      </c>
      <c r="E348" t="s">
        <v>688</v>
      </c>
      <c r="F348" t="s">
        <v>688</v>
      </c>
      <c r="G348" t="s">
        <v>688</v>
      </c>
      <c r="H348" t="s">
        <v>688</v>
      </c>
      <c r="I348" t="s">
        <v>688</v>
      </c>
      <c r="J348" t="s">
        <v>688</v>
      </c>
      <c r="K348" t="s">
        <v>688</v>
      </c>
      <c r="L348" t="s">
        <v>688</v>
      </c>
      <c r="M348" t="s">
        <v>3367</v>
      </c>
      <c r="N348" t="s">
        <v>688</v>
      </c>
      <c r="O348" t="s">
        <v>707</v>
      </c>
      <c r="P348" t="s">
        <v>688</v>
      </c>
    </row>
    <row r="349" spans="2:16" ht="15">
      <c r="B349" s="9">
        <v>161</v>
      </c>
      <c r="C349" t="str">
        <f ca="1">IFERROR(__xludf.DUMMYFUNCTION((TRANSPOSE(ImportHTML("http://spending.data.al/sq/moneypower/view/id/161/year/2012",  "table", 0)))),"*Kategoria*")</f>
        <v>*Kategoria*</v>
      </c>
      <c r="D349" t="s">
        <v>673</v>
      </c>
      <c r="E349" t="s">
        <v>674</v>
      </c>
      <c r="F349" t="s">
        <v>675</v>
      </c>
      <c r="G349" t="s">
        <v>676</v>
      </c>
      <c r="H349" t="s">
        <v>677</v>
      </c>
      <c r="I349" t="s">
        <v>678</v>
      </c>
      <c r="J349" t="s">
        <v>679</v>
      </c>
      <c r="K349" t="s">
        <v>680</v>
      </c>
      <c r="L349" t="s">
        <v>681</v>
      </c>
      <c r="M349" t="s">
        <v>682</v>
      </c>
      <c r="N349" t="s">
        <v>683</v>
      </c>
      <c r="O349" t="s">
        <v>684</v>
      </c>
      <c r="P349" t="s">
        <v>685</v>
      </c>
    </row>
    <row r="350" spans="2:16" ht="15">
      <c r="B350" s="11"/>
      <c r="C350" t="s">
        <v>686</v>
      </c>
      <c r="D350" t="s">
        <v>3368</v>
      </c>
      <c r="E350" t="s">
        <v>688</v>
      </c>
      <c r="F350" t="s">
        <v>688</v>
      </c>
      <c r="G350" t="s">
        <v>3369</v>
      </c>
      <c r="H350" t="s">
        <v>688</v>
      </c>
      <c r="I350" t="s">
        <v>688</v>
      </c>
      <c r="J350" t="s">
        <v>688</v>
      </c>
      <c r="K350" t="s">
        <v>688</v>
      </c>
      <c r="L350" t="s">
        <v>688</v>
      </c>
      <c r="M350" t="s">
        <v>3370</v>
      </c>
      <c r="N350" t="s">
        <v>3371</v>
      </c>
      <c r="O350" s="13">
        <v>1.01</v>
      </c>
      <c r="P350" t="s">
        <v>688</v>
      </c>
    </row>
    <row r="351" spans="2:16" ht="15">
      <c r="B351" s="9">
        <v>162</v>
      </c>
      <c r="C351" t="str">
        <f ca="1">IFERROR(__xludf.DUMMYFUNCTION((TRANSPOSE(ImportHTML("http://spending.data.al/sq/moneypower/view/id/162/year/2012",  "table", 0)))),"*Kategoria*")</f>
        <v>*Kategoria*</v>
      </c>
      <c r="D351" t="s">
        <v>673</v>
      </c>
      <c r="E351" t="s">
        <v>674</v>
      </c>
      <c r="F351" t="s">
        <v>675</v>
      </c>
      <c r="G351" t="s">
        <v>676</v>
      </c>
      <c r="H351" t="s">
        <v>677</v>
      </c>
      <c r="I351" t="s">
        <v>678</v>
      </c>
      <c r="J351" t="s">
        <v>679</v>
      </c>
      <c r="K351" t="s">
        <v>680</v>
      </c>
      <c r="L351" t="s">
        <v>681</v>
      </c>
      <c r="M351" t="s">
        <v>682</v>
      </c>
      <c r="N351" t="s">
        <v>683</v>
      </c>
      <c r="O351" t="s">
        <v>684</v>
      </c>
      <c r="P351" t="s">
        <v>685</v>
      </c>
    </row>
    <row r="352" spans="2:16" ht="15">
      <c r="B352" s="11"/>
      <c r="C352" t="s">
        <v>686</v>
      </c>
      <c r="D352" t="s">
        <v>1301</v>
      </c>
      <c r="E352" t="s">
        <v>688</v>
      </c>
      <c r="F352" t="s">
        <v>688</v>
      </c>
      <c r="G352" t="s">
        <v>688</v>
      </c>
      <c r="H352" t="s">
        <v>688</v>
      </c>
      <c r="I352" t="s">
        <v>688</v>
      </c>
      <c r="J352" t="s">
        <v>688</v>
      </c>
      <c r="K352" t="s">
        <v>688</v>
      </c>
      <c r="L352" t="s">
        <v>688</v>
      </c>
      <c r="M352" t="s">
        <v>3372</v>
      </c>
      <c r="N352" t="s">
        <v>688</v>
      </c>
      <c r="O352" s="13">
        <v>1</v>
      </c>
      <c r="P352" t="s">
        <v>3373</v>
      </c>
    </row>
    <row r="353" spans="2:16" ht="15">
      <c r="B353" s="9">
        <v>163</v>
      </c>
      <c r="C353" t="str">
        <f ca="1">IFERROR(__xludf.DUMMYFUNCTION((TRANSPOSE(ImportHTML("http://spending.data.al/sq/moneypower/view/id/163/year/2012",  "table", 0)))),"*Kategoria*")</f>
        <v>*Kategoria*</v>
      </c>
      <c r="D353" t="s">
        <v>673</v>
      </c>
      <c r="E353" t="s">
        <v>674</v>
      </c>
      <c r="F353" t="s">
        <v>675</v>
      </c>
      <c r="G353" t="s">
        <v>676</v>
      </c>
      <c r="H353" t="s">
        <v>677</v>
      </c>
      <c r="I353" t="s">
        <v>678</v>
      </c>
      <c r="J353" t="s">
        <v>679</v>
      </c>
      <c r="K353" t="s">
        <v>680</v>
      </c>
      <c r="L353" t="s">
        <v>681</v>
      </c>
      <c r="M353" t="s">
        <v>682</v>
      </c>
      <c r="N353" t="s">
        <v>683</v>
      </c>
      <c r="O353" t="s">
        <v>684</v>
      </c>
      <c r="P353" t="s">
        <v>685</v>
      </c>
    </row>
    <row r="354" spans="2:16" ht="15">
      <c r="B354" s="11"/>
      <c r="C354" t="s">
        <v>686</v>
      </c>
      <c r="D354" t="s">
        <v>3374</v>
      </c>
      <c r="E354" t="s">
        <v>688</v>
      </c>
      <c r="F354" t="s">
        <v>688</v>
      </c>
      <c r="G354" t="s">
        <v>688</v>
      </c>
      <c r="H354" t="s">
        <v>3375</v>
      </c>
      <c r="I354" t="s">
        <v>688</v>
      </c>
      <c r="J354" t="s">
        <v>688</v>
      </c>
      <c r="K354" t="s">
        <v>688</v>
      </c>
      <c r="L354" t="s">
        <v>688</v>
      </c>
      <c r="M354" t="s">
        <v>688</v>
      </c>
      <c r="N354" t="s">
        <v>688</v>
      </c>
      <c r="O354" s="13">
        <v>1.0900000000000001</v>
      </c>
      <c r="P354" t="s">
        <v>3376</v>
      </c>
    </row>
    <row r="355" spans="2:16" ht="15">
      <c r="B355" s="9">
        <v>164</v>
      </c>
      <c r="C355" t="str">
        <f ca="1">IFERROR(__xludf.DUMMYFUNCTION((TRANSPOSE(ImportHTML("http://spending.data.al/sq/moneypower/view/id/164/year/2012",  "table", 0)))),"*Kategoria*")</f>
        <v>*Kategoria*</v>
      </c>
      <c r="D355" t="s">
        <v>673</v>
      </c>
      <c r="E355" t="s">
        <v>674</v>
      </c>
      <c r="F355" t="s">
        <v>675</v>
      </c>
      <c r="G355" t="s">
        <v>676</v>
      </c>
      <c r="H355" t="s">
        <v>677</v>
      </c>
      <c r="I355" t="s">
        <v>678</v>
      </c>
      <c r="J355" t="s">
        <v>679</v>
      </c>
      <c r="K355" t="s">
        <v>680</v>
      </c>
      <c r="L355" t="s">
        <v>681</v>
      </c>
      <c r="M355" t="s">
        <v>682</v>
      </c>
      <c r="N355" t="s">
        <v>683</v>
      </c>
      <c r="O355" t="s">
        <v>684</v>
      </c>
      <c r="P355" t="s">
        <v>685</v>
      </c>
    </row>
    <row r="356" spans="2:16" ht="15">
      <c r="B356" s="11"/>
      <c r="C356" t="s">
        <v>686</v>
      </c>
      <c r="D356" t="s">
        <v>1307</v>
      </c>
      <c r="E356" t="s">
        <v>688</v>
      </c>
      <c r="F356" t="s">
        <v>688</v>
      </c>
      <c r="G356" t="s">
        <v>688</v>
      </c>
      <c r="H356" t="s">
        <v>3377</v>
      </c>
      <c r="I356" t="s">
        <v>3378</v>
      </c>
      <c r="J356" t="s">
        <v>688</v>
      </c>
      <c r="K356" t="s">
        <v>688</v>
      </c>
      <c r="L356" t="s">
        <v>688</v>
      </c>
      <c r="M356" t="s">
        <v>688</v>
      </c>
      <c r="N356" t="s">
        <v>688</v>
      </c>
      <c r="O356" s="13">
        <v>1.38</v>
      </c>
      <c r="P356" t="s">
        <v>688</v>
      </c>
    </row>
    <row r="357" spans="2:16" ht="15">
      <c r="B357" s="9">
        <v>165</v>
      </c>
      <c r="C357" t="str">
        <f ca="1">IFERROR(__xludf.DUMMYFUNCTION((TRANSPOSE(ImportHTML("http://spending.data.al/sq/moneypower/view/id/165/year/2012",  "table", 0)))),"*Kategoria*")</f>
        <v>*Kategoria*</v>
      </c>
      <c r="D357" t="s">
        <v>673</v>
      </c>
      <c r="E357" t="s">
        <v>674</v>
      </c>
      <c r="F357" t="s">
        <v>675</v>
      </c>
      <c r="G357" t="s">
        <v>676</v>
      </c>
      <c r="H357" t="s">
        <v>677</v>
      </c>
      <c r="I357" t="s">
        <v>678</v>
      </c>
      <c r="J357" t="s">
        <v>679</v>
      </c>
      <c r="K357" t="s">
        <v>680</v>
      </c>
      <c r="L357" t="s">
        <v>681</v>
      </c>
      <c r="M357" t="s">
        <v>682</v>
      </c>
      <c r="N357" t="s">
        <v>683</v>
      </c>
      <c r="O357" t="s">
        <v>684</v>
      </c>
      <c r="P357" t="s">
        <v>685</v>
      </c>
    </row>
    <row r="358" spans="2:16" ht="15">
      <c r="B358" s="11"/>
      <c r="C358" t="s">
        <v>686</v>
      </c>
      <c r="D358" t="s">
        <v>1309</v>
      </c>
      <c r="E358" t="s">
        <v>688</v>
      </c>
      <c r="F358" t="s">
        <v>688</v>
      </c>
      <c r="G358" t="s">
        <v>688</v>
      </c>
      <c r="H358" t="s">
        <v>688</v>
      </c>
      <c r="I358" t="s">
        <v>688</v>
      </c>
      <c r="J358" t="s">
        <v>688</v>
      </c>
      <c r="K358" t="s">
        <v>688</v>
      </c>
      <c r="L358" t="s">
        <v>688</v>
      </c>
      <c r="M358" t="s">
        <v>688</v>
      </c>
      <c r="N358" t="s">
        <v>688</v>
      </c>
      <c r="O358" s="13">
        <v>1</v>
      </c>
      <c r="P358" t="s">
        <v>688</v>
      </c>
    </row>
    <row r="359" spans="2:16" ht="15">
      <c r="B359" s="9">
        <v>166</v>
      </c>
      <c r="C359" t="str">
        <f ca="1">IFERROR(__xludf.DUMMYFUNCTION((TRANSPOSE(ImportHTML("http://spending.data.al/sq/moneypower/view/id/166/year/2012",  "table", 0)))),"*Emër Subjekti*")</f>
        <v>*Emër Subjekti*</v>
      </c>
      <c r="D359" t="s">
        <v>698</v>
      </c>
      <c r="E359" t="s">
        <v>699</v>
      </c>
      <c r="F359" t="s">
        <v>700</v>
      </c>
      <c r="G359" t="s">
        <v>701</v>
      </c>
      <c r="H359" t="s">
        <v>702</v>
      </c>
    </row>
    <row r="360" spans="2:16" ht="15">
      <c r="B360" s="11"/>
    </row>
    <row r="361" spans="2:16" ht="15">
      <c r="B361" s="11"/>
      <c r="C361" t="s">
        <v>2358</v>
      </c>
      <c r="D361" t="s">
        <v>2359</v>
      </c>
      <c r="E361" s="12">
        <v>41334</v>
      </c>
      <c r="F361" t="s">
        <v>707</v>
      </c>
      <c r="G361" t="s">
        <v>2360</v>
      </c>
      <c r="H361" t="s">
        <v>1918</v>
      </c>
    </row>
    <row r="362" spans="2:16" ht="15">
      <c r="B362" s="9">
        <v>167</v>
      </c>
      <c r="C362" t="str">
        <f ca="1">IFERROR(__xludf.DUMMYFUNCTION((TRANSPOSE(ImportHTML("http://spending.data.al/sq/moneypower/view/id/167/year/2012",  "table", 0)))),"*Kategoria*")</f>
        <v>*Kategoria*</v>
      </c>
      <c r="D362" t="s">
        <v>673</v>
      </c>
      <c r="E362" t="s">
        <v>674</v>
      </c>
      <c r="F362" t="s">
        <v>675</v>
      </c>
      <c r="G362" t="s">
        <v>676</v>
      </c>
      <c r="H362" t="s">
        <v>677</v>
      </c>
      <c r="I362" t="s">
        <v>678</v>
      </c>
      <c r="J362" t="s">
        <v>679</v>
      </c>
      <c r="K362" t="s">
        <v>680</v>
      </c>
      <c r="L362" t="s">
        <v>681</v>
      </c>
      <c r="M362" t="s">
        <v>682</v>
      </c>
      <c r="N362" t="s">
        <v>683</v>
      </c>
      <c r="O362" t="s">
        <v>684</v>
      </c>
      <c r="P362" t="s">
        <v>685</v>
      </c>
    </row>
    <row r="363" spans="2:16" ht="15">
      <c r="B363" s="11"/>
      <c r="C363" t="s">
        <v>686</v>
      </c>
      <c r="D363" t="s">
        <v>1314</v>
      </c>
      <c r="E363" t="s">
        <v>688</v>
      </c>
      <c r="F363" t="s">
        <v>688</v>
      </c>
      <c r="G363" t="s">
        <v>688</v>
      </c>
      <c r="H363" t="s">
        <v>688</v>
      </c>
      <c r="I363" t="s">
        <v>688</v>
      </c>
      <c r="J363" t="s">
        <v>688</v>
      </c>
      <c r="K363" t="s">
        <v>688</v>
      </c>
      <c r="L363" t="s">
        <v>688</v>
      </c>
      <c r="M363" t="s">
        <v>1315</v>
      </c>
      <c r="N363" t="s">
        <v>688</v>
      </c>
      <c r="O363" s="13">
        <v>1</v>
      </c>
      <c r="P363" t="s">
        <v>688</v>
      </c>
    </row>
    <row r="364" spans="2:16" ht="15">
      <c r="B364" s="9">
        <v>168</v>
      </c>
      <c r="C364" t="str">
        <f ca="1">IFERROR(__xludf.DUMMYFUNCTION((TRANSPOSE(ImportHTML("http://spending.data.al/sq/moneypower/view/id/168/year/2012",  "table", 0)))),"*Kategoria*")</f>
        <v>*Kategoria*</v>
      </c>
      <c r="D364" t="s">
        <v>673</v>
      </c>
      <c r="E364" t="s">
        <v>674</v>
      </c>
      <c r="F364" t="s">
        <v>675</v>
      </c>
      <c r="G364" t="s">
        <v>676</v>
      </c>
      <c r="H364" t="s">
        <v>677</v>
      </c>
      <c r="I364" t="s">
        <v>678</v>
      </c>
      <c r="J364" t="s">
        <v>679</v>
      </c>
      <c r="K364" t="s">
        <v>680</v>
      </c>
      <c r="L364" t="s">
        <v>681</v>
      </c>
      <c r="M364" t="s">
        <v>682</v>
      </c>
      <c r="N364" t="s">
        <v>683</v>
      </c>
      <c r="O364" t="s">
        <v>684</v>
      </c>
      <c r="P364" t="s">
        <v>685</v>
      </c>
    </row>
    <row r="365" spans="2:16" ht="15">
      <c r="B365" s="11"/>
      <c r="C365" t="s">
        <v>686</v>
      </c>
      <c r="D365" t="s">
        <v>1316</v>
      </c>
      <c r="E365" t="s">
        <v>688</v>
      </c>
      <c r="F365" t="s">
        <v>688</v>
      </c>
      <c r="G365" t="s">
        <v>688</v>
      </c>
      <c r="H365" t="s">
        <v>688</v>
      </c>
      <c r="I365" t="s">
        <v>688</v>
      </c>
      <c r="J365" t="s">
        <v>688</v>
      </c>
      <c r="K365" t="s">
        <v>688</v>
      </c>
      <c r="L365" t="s">
        <v>688</v>
      </c>
      <c r="M365" t="s">
        <v>1317</v>
      </c>
      <c r="N365" t="s">
        <v>688</v>
      </c>
      <c r="O365" s="13">
        <v>1</v>
      </c>
      <c r="P365" t="s">
        <v>3379</v>
      </c>
    </row>
    <row r="366" spans="2:16" ht="15">
      <c r="B366" s="9">
        <v>169</v>
      </c>
      <c r="C366" t="str">
        <f ca="1">IFERROR(__xludf.DUMMYFUNCTION((TRANSPOSE(ImportHTML("http://spending.data.al/sq/moneypower/view/id/169/year/2012",  "table", 0)))),"*Emër Subjekti*")</f>
        <v>*Emër Subjekti*</v>
      </c>
      <c r="D366" t="s">
        <v>698</v>
      </c>
      <c r="E366" t="s">
        <v>699</v>
      </c>
      <c r="F366" t="s">
        <v>700</v>
      </c>
      <c r="G366" t="s">
        <v>701</v>
      </c>
      <c r="H366" t="s">
        <v>702</v>
      </c>
    </row>
    <row r="367" spans="2:16" ht="15">
      <c r="B367" s="11"/>
    </row>
    <row r="368" spans="2:16" ht="15">
      <c r="B368" s="11"/>
      <c r="C368" t="s">
        <v>2369</v>
      </c>
      <c r="D368" t="s">
        <v>2370</v>
      </c>
      <c r="F368" t="s">
        <v>707</v>
      </c>
      <c r="G368" t="s">
        <v>2371</v>
      </c>
      <c r="H368" t="s">
        <v>2372</v>
      </c>
    </row>
    <row r="369" spans="2:16" ht="15">
      <c r="B369" s="9">
        <v>170</v>
      </c>
      <c r="C369" t="str">
        <f ca="1">IFERROR(__xludf.DUMMYFUNCTION((TRANSPOSE(ImportHTML("http://spending.data.al/sq/moneypower/view/id/170/year/2012",  "table", 0)))),"*Kategoria*")</f>
        <v>*Kategoria*</v>
      </c>
      <c r="D369" t="s">
        <v>673</v>
      </c>
      <c r="E369" t="s">
        <v>674</v>
      </c>
      <c r="F369" t="s">
        <v>675</v>
      </c>
      <c r="G369" t="s">
        <v>676</v>
      </c>
      <c r="H369" t="s">
        <v>677</v>
      </c>
      <c r="I369" t="s">
        <v>678</v>
      </c>
      <c r="J369" t="s">
        <v>679</v>
      </c>
      <c r="K369" t="s">
        <v>680</v>
      </c>
      <c r="L369" t="s">
        <v>681</v>
      </c>
      <c r="M369" t="s">
        <v>682</v>
      </c>
      <c r="N369" t="s">
        <v>683</v>
      </c>
      <c r="O369" t="s">
        <v>684</v>
      </c>
      <c r="P369" t="s">
        <v>685</v>
      </c>
    </row>
    <row r="370" spans="2:16" ht="15">
      <c r="B370" s="11"/>
      <c r="C370" t="s">
        <v>686</v>
      </c>
      <c r="D370" t="s">
        <v>3380</v>
      </c>
      <c r="E370" t="s">
        <v>688</v>
      </c>
      <c r="F370" t="s">
        <v>688</v>
      </c>
      <c r="G370" t="s">
        <v>688</v>
      </c>
      <c r="H370" t="s">
        <v>688</v>
      </c>
      <c r="I370" t="s">
        <v>688</v>
      </c>
      <c r="J370" t="s">
        <v>688</v>
      </c>
      <c r="K370" t="s">
        <v>688</v>
      </c>
      <c r="L370" t="s">
        <v>688</v>
      </c>
      <c r="M370" t="s">
        <v>3381</v>
      </c>
      <c r="N370" t="s">
        <v>688</v>
      </c>
      <c r="O370" s="13">
        <v>1</v>
      </c>
      <c r="P370" t="s">
        <v>688</v>
      </c>
    </row>
    <row r="371" spans="2:16" ht="15">
      <c r="B371" s="9">
        <v>171</v>
      </c>
      <c r="C371" t="str">
        <f ca="1">IFERROR(__xludf.DUMMYFUNCTION((TRANSPOSE(ImportHTML("http://spending.data.al/sq/moneypower/view/id/171/year/2012",  "table", 0)))),"*Kategoria*")</f>
        <v>*Kategoria*</v>
      </c>
      <c r="D371" t="s">
        <v>673</v>
      </c>
      <c r="E371" t="s">
        <v>674</v>
      </c>
      <c r="F371" t="s">
        <v>675</v>
      </c>
      <c r="G371" t="s">
        <v>676</v>
      </c>
      <c r="H371" t="s">
        <v>677</v>
      </c>
      <c r="I371" t="s">
        <v>678</v>
      </c>
      <c r="J371" t="s">
        <v>679</v>
      </c>
      <c r="K371" t="s">
        <v>680</v>
      </c>
      <c r="L371" t="s">
        <v>681</v>
      </c>
      <c r="M371" t="s">
        <v>682</v>
      </c>
      <c r="N371" t="s">
        <v>683</v>
      </c>
      <c r="O371" t="s">
        <v>684</v>
      </c>
      <c r="P371" t="s">
        <v>685</v>
      </c>
    </row>
    <row r="372" spans="2:16" ht="15">
      <c r="B372" s="11"/>
      <c r="C372" t="s">
        <v>686</v>
      </c>
      <c r="D372" t="s">
        <v>1323</v>
      </c>
      <c r="E372" t="s">
        <v>3382</v>
      </c>
      <c r="F372" t="s">
        <v>688</v>
      </c>
      <c r="G372" t="s">
        <v>688</v>
      </c>
      <c r="H372" t="s">
        <v>3383</v>
      </c>
      <c r="I372" t="s">
        <v>688</v>
      </c>
      <c r="J372" t="s">
        <v>688</v>
      </c>
      <c r="K372" t="s">
        <v>688</v>
      </c>
      <c r="L372" t="s">
        <v>688</v>
      </c>
      <c r="M372" t="s">
        <v>3384</v>
      </c>
      <c r="N372" t="s">
        <v>688</v>
      </c>
      <c r="O372" s="13">
        <v>1.1200000000000001</v>
      </c>
      <c r="P372" t="s">
        <v>3385</v>
      </c>
    </row>
    <row r="373" spans="2:16" ht="15">
      <c r="B373" s="9">
        <v>172</v>
      </c>
      <c r="C373" t="str">
        <f ca="1">IFERROR(__xludf.DUMMYFUNCTION((TRANSPOSE(ImportHTML("http://spending.data.al/sq/moneypower/view/id/172/year/2012",  "table", 0)))),"*Emër Subjekti*")</f>
        <v>*Emër Subjekti*</v>
      </c>
      <c r="D373" t="s">
        <v>698</v>
      </c>
      <c r="E373" t="s">
        <v>699</v>
      </c>
      <c r="F373" t="s">
        <v>700</v>
      </c>
      <c r="G373" t="s">
        <v>701</v>
      </c>
      <c r="H373" t="s">
        <v>702</v>
      </c>
    </row>
    <row r="374" spans="2:16" ht="15">
      <c r="B374" s="11"/>
    </row>
    <row r="375" spans="2:16" ht="15">
      <c r="B375" s="11"/>
      <c r="C375" t="s">
        <v>2381</v>
      </c>
      <c r="D375" t="s">
        <v>2382</v>
      </c>
      <c r="E375" s="12">
        <v>41351</v>
      </c>
      <c r="F375" t="s">
        <v>707</v>
      </c>
      <c r="G375" t="s">
        <v>2383</v>
      </c>
      <c r="H375" t="s">
        <v>2384</v>
      </c>
    </row>
    <row r="376" spans="2:16" ht="15">
      <c r="B376" s="9">
        <v>173</v>
      </c>
      <c r="C376" t="str">
        <f ca="1">IFERROR(__xludf.DUMMYFUNCTION((TRANSPOSE(ImportHTML("http://spending.data.al/sq/moneypower/view/id/173/year/2012",  "table", 0)))),"*Kategoria*")</f>
        <v>*Kategoria*</v>
      </c>
      <c r="D376" t="s">
        <v>673</v>
      </c>
      <c r="E376" t="s">
        <v>674</v>
      </c>
      <c r="F376" t="s">
        <v>675</v>
      </c>
      <c r="G376" t="s">
        <v>676</v>
      </c>
      <c r="H376" t="s">
        <v>677</v>
      </c>
      <c r="I376" t="s">
        <v>678</v>
      </c>
      <c r="J376" t="s">
        <v>679</v>
      </c>
      <c r="K376" t="s">
        <v>680</v>
      </c>
      <c r="L376" t="s">
        <v>681</v>
      </c>
      <c r="M376" t="s">
        <v>682</v>
      </c>
      <c r="N376" t="s">
        <v>683</v>
      </c>
      <c r="O376" t="s">
        <v>684</v>
      </c>
      <c r="P376" t="s">
        <v>685</v>
      </c>
    </row>
    <row r="377" spans="2:16" ht="15">
      <c r="B377" s="11"/>
      <c r="C377" t="s">
        <v>686</v>
      </c>
      <c r="D377" t="s">
        <v>3386</v>
      </c>
      <c r="E377" t="s">
        <v>688</v>
      </c>
      <c r="F377" t="s">
        <v>688</v>
      </c>
      <c r="G377" t="s">
        <v>688</v>
      </c>
      <c r="H377" t="s">
        <v>688</v>
      </c>
      <c r="I377" t="s">
        <v>688</v>
      </c>
      <c r="J377" t="s">
        <v>688</v>
      </c>
      <c r="K377" t="s">
        <v>688</v>
      </c>
      <c r="L377" t="s">
        <v>688</v>
      </c>
      <c r="M377" t="s">
        <v>3387</v>
      </c>
      <c r="N377" t="s">
        <v>688</v>
      </c>
      <c r="O377" s="13">
        <v>1</v>
      </c>
      <c r="P377" t="s">
        <v>3388</v>
      </c>
    </row>
    <row r="378" spans="2:16" ht="15">
      <c r="B378" s="9">
        <v>174</v>
      </c>
      <c r="C378" t="str">
        <f ca="1">IFERROR(__xludf.DUMMYFUNCTION((TRANSPOSE(ImportHTML("http://spending.data.al/sq/moneypower/view/id/174/year/2012",  "table", 0)))),"*Kategoria*")</f>
        <v>*Kategoria*</v>
      </c>
      <c r="D378" t="s">
        <v>673</v>
      </c>
      <c r="E378" t="s">
        <v>674</v>
      </c>
      <c r="F378" t="s">
        <v>675</v>
      </c>
      <c r="G378" t="s">
        <v>676</v>
      </c>
      <c r="H378" t="s">
        <v>677</v>
      </c>
      <c r="I378" t="s">
        <v>678</v>
      </c>
      <c r="J378" t="s">
        <v>679</v>
      </c>
      <c r="K378" t="s">
        <v>680</v>
      </c>
      <c r="L378" t="s">
        <v>681</v>
      </c>
      <c r="M378" t="s">
        <v>682</v>
      </c>
      <c r="N378" t="s">
        <v>683</v>
      </c>
      <c r="O378" t="s">
        <v>684</v>
      </c>
      <c r="P378" t="s">
        <v>685</v>
      </c>
    </row>
    <row r="379" spans="2:16" ht="15">
      <c r="B379" s="11"/>
      <c r="C379" t="s">
        <v>686</v>
      </c>
      <c r="D379" t="s">
        <v>3389</v>
      </c>
      <c r="E379" t="s">
        <v>688</v>
      </c>
      <c r="F379" t="s">
        <v>688</v>
      </c>
      <c r="G379" t="s">
        <v>688</v>
      </c>
      <c r="H379" t="s">
        <v>688</v>
      </c>
      <c r="I379" t="s">
        <v>688</v>
      </c>
      <c r="J379" t="s">
        <v>688</v>
      </c>
      <c r="K379" t="s">
        <v>688</v>
      </c>
      <c r="L379" t="s">
        <v>688</v>
      </c>
      <c r="M379" t="s">
        <v>3390</v>
      </c>
      <c r="N379" t="s">
        <v>688</v>
      </c>
      <c r="O379" s="13">
        <v>1</v>
      </c>
      <c r="P379" t="s">
        <v>3391</v>
      </c>
    </row>
    <row r="380" spans="2:16" ht="15">
      <c r="B380" s="9">
        <v>175</v>
      </c>
      <c r="C380" t="str">
        <f ca="1">IFERROR(__xludf.DUMMYFUNCTION((TRANSPOSE(ImportHTML("http://spending.data.al/sq/moneypower/view/id/175/year/2012",  "table", 0)))),"*Kategoria*")</f>
        <v>*Kategoria*</v>
      </c>
      <c r="D380" t="s">
        <v>673</v>
      </c>
      <c r="E380" t="s">
        <v>674</v>
      </c>
      <c r="F380" t="s">
        <v>675</v>
      </c>
      <c r="G380" t="s">
        <v>676</v>
      </c>
      <c r="H380" t="s">
        <v>677</v>
      </c>
      <c r="I380" t="s">
        <v>678</v>
      </c>
      <c r="J380" t="s">
        <v>679</v>
      </c>
      <c r="K380" t="s">
        <v>680</v>
      </c>
      <c r="L380" t="s">
        <v>681</v>
      </c>
      <c r="M380" t="s">
        <v>682</v>
      </c>
      <c r="N380" t="s">
        <v>683</v>
      </c>
      <c r="O380" t="s">
        <v>684</v>
      </c>
      <c r="P380" t="s">
        <v>685</v>
      </c>
    </row>
    <row r="381" spans="2:16" ht="15">
      <c r="B381" s="11"/>
      <c r="C381" t="s">
        <v>686</v>
      </c>
      <c r="D381" t="s">
        <v>3392</v>
      </c>
      <c r="E381" t="s">
        <v>688</v>
      </c>
      <c r="F381" t="s">
        <v>688</v>
      </c>
      <c r="G381" t="s">
        <v>688</v>
      </c>
      <c r="H381" t="s">
        <v>688</v>
      </c>
      <c r="I381" t="s">
        <v>688</v>
      </c>
      <c r="J381" t="s">
        <v>688</v>
      </c>
      <c r="K381" t="s">
        <v>688</v>
      </c>
      <c r="L381" t="s">
        <v>688</v>
      </c>
      <c r="M381" t="s">
        <v>3393</v>
      </c>
      <c r="N381" t="s">
        <v>688</v>
      </c>
      <c r="O381" s="13">
        <v>1.53</v>
      </c>
      <c r="P381" t="s">
        <v>3394</v>
      </c>
    </row>
    <row r="382" spans="2:16" ht="15">
      <c r="B382" s="9">
        <v>176</v>
      </c>
      <c r="C382" t="str">
        <f ca="1">IFERROR(__xludf.DUMMYFUNCTION((TRANSPOSE(ImportHTML("http://spending.data.al/sq/moneypower/view/id/176/year/2012",  "table", 0)))),"*Kategoria*")</f>
        <v>*Kategoria*</v>
      </c>
      <c r="D382" t="s">
        <v>673</v>
      </c>
      <c r="E382" t="s">
        <v>674</v>
      </c>
      <c r="F382" t="s">
        <v>675</v>
      </c>
      <c r="G382" t="s">
        <v>676</v>
      </c>
      <c r="H382" t="s">
        <v>677</v>
      </c>
      <c r="I382" t="s">
        <v>678</v>
      </c>
      <c r="J382" t="s">
        <v>679</v>
      </c>
      <c r="K382" t="s">
        <v>680</v>
      </c>
      <c r="L382" t="s">
        <v>681</v>
      </c>
      <c r="M382" t="s">
        <v>682</v>
      </c>
      <c r="N382" t="s">
        <v>683</v>
      </c>
      <c r="O382" t="s">
        <v>684</v>
      </c>
      <c r="P382" t="s">
        <v>685</v>
      </c>
    </row>
    <row r="383" spans="2:16" ht="15">
      <c r="B383" s="11"/>
      <c r="C383" t="s">
        <v>686</v>
      </c>
      <c r="D383" t="s">
        <v>688</v>
      </c>
      <c r="E383" t="s">
        <v>688</v>
      </c>
      <c r="F383" t="s">
        <v>688</v>
      </c>
      <c r="G383" t="s">
        <v>688</v>
      </c>
      <c r="H383" t="s">
        <v>688</v>
      </c>
      <c r="I383" t="s">
        <v>688</v>
      </c>
      <c r="J383" t="s">
        <v>688</v>
      </c>
      <c r="K383" t="s">
        <v>688</v>
      </c>
      <c r="L383" t="s">
        <v>688</v>
      </c>
      <c r="M383" t="s">
        <v>3395</v>
      </c>
      <c r="N383" t="s">
        <v>688</v>
      </c>
      <c r="O383" t="s">
        <v>707</v>
      </c>
      <c r="P383" t="s">
        <v>3396</v>
      </c>
    </row>
    <row r="384" spans="2:16" ht="15">
      <c r="B384" s="9">
        <v>177</v>
      </c>
      <c r="C384" t="str">
        <f ca="1">IFERROR(__xludf.DUMMYFUNCTION((TRANSPOSE(ImportHTML("http://spending.data.al/sq/moneypower/view/id/177/year/2012",  "table", 0)))),"*Kategoria*")</f>
        <v>*Kategoria*</v>
      </c>
      <c r="D384" t="s">
        <v>673</v>
      </c>
      <c r="E384" t="s">
        <v>674</v>
      </c>
      <c r="F384" t="s">
        <v>675</v>
      </c>
      <c r="G384" t="s">
        <v>676</v>
      </c>
      <c r="H384" t="s">
        <v>677</v>
      </c>
      <c r="I384" t="s">
        <v>678</v>
      </c>
      <c r="J384" t="s">
        <v>679</v>
      </c>
      <c r="K384" t="s">
        <v>680</v>
      </c>
      <c r="L384" t="s">
        <v>681</v>
      </c>
      <c r="M384" t="s">
        <v>682</v>
      </c>
      <c r="N384" t="s">
        <v>683</v>
      </c>
      <c r="O384" t="s">
        <v>684</v>
      </c>
      <c r="P384" t="s">
        <v>685</v>
      </c>
    </row>
    <row r="385" spans="2:16" ht="15">
      <c r="B385" s="11"/>
      <c r="C385" t="s">
        <v>686</v>
      </c>
      <c r="D385" t="s">
        <v>1340</v>
      </c>
      <c r="E385" t="s">
        <v>688</v>
      </c>
      <c r="F385" t="s">
        <v>688</v>
      </c>
      <c r="G385" t="s">
        <v>688</v>
      </c>
      <c r="H385" t="s">
        <v>688</v>
      </c>
      <c r="I385" t="s">
        <v>688</v>
      </c>
      <c r="J385" t="s">
        <v>688</v>
      </c>
      <c r="K385" t="s">
        <v>688</v>
      </c>
      <c r="L385" t="s">
        <v>688</v>
      </c>
      <c r="M385" t="s">
        <v>688</v>
      </c>
      <c r="N385" t="s">
        <v>688</v>
      </c>
      <c r="O385" s="13">
        <v>1</v>
      </c>
      <c r="P385" t="s">
        <v>688</v>
      </c>
    </row>
    <row r="386" spans="2:16" ht="15">
      <c r="B386" s="9">
        <v>178</v>
      </c>
      <c r="C386" t="str">
        <f ca="1">IFERROR(__xludf.DUMMYFUNCTION((TRANSPOSE(ImportHTML("http://spending.data.al/sq/moneypower/view/id/178/year/2012",  "table", 0)))),"*Kategoria*")</f>
        <v>*Kategoria*</v>
      </c>
      <c r="D386" t="s">
        <v>673</v>
      </c>
      <c r="E386" t="s">
        <v>674</v>
      </c>
      <c r="F386" t="s">
        <v>675</v>
      </c>
      <c r="G386" t="s">
        <v>676</v>
      </c>
      <c r="H386" t="s">
        <v>677</v>
      </c>
      <c r="I386" t="s">
        <v>678</v>
      </c>
      <c r="J386" t="s">
        <v>679</v>
      </c>
      <c r="K386" t="s">
        <v>680</v>
      </c>
      <c r="L386" t="s">
        <v>681</v>
      </c>
      <c r="M386" t="s">
        <v>682</v>
      </c>
      <c r="N386" t="s">
        <v>683</v>
      </c>
      <c r="O386" t="s">
        <v>684</v>
      </c>
      <c r="P386" t="s">
        <v>685</v>
      </c>
    </row>
    <row r="387" spans="2:16" ht="15">
      <c r="B387" s="11"/>
      <c r="C387" t="s">
        <v>686</v>
      </c>
      <c r="D387" t="s">
        <v>3397</v>
      </c>
      <c r="E387" t="s">
        <v>688</v>
      </c>
      <c r="F387" t="s">
        <v>688</v>
      </c>
      <c r="G387" t="s">
        <v>688</v>
      </c>
      <c r="H387" t="s">
        <v>3398</v>
      </c>
      <c r="I387" t="s">
        <v>688</v>
      </c>
      <c r="J387" t="s">
        <v>688</v>
      </c>
      <c r="K387" t="s">
        <v>688</v>
      </c>
      <c r="L387" t="s">
        <v>688</v>
      </c>
      <c r="M387" t="s">
        <v>3399</v>
      </c>
      <c r="N387" t="s">
        <v>688</v>
      </c>
      <c r="O387" s="13">
        <v>3.4</v>
      </c>
      <c r="P387" t="s">
        <v>688</v>
      </c>
    </row>
    <row r="388" spans="2:16" ht="15">
      <c r="B388" s="9">
        <v>179</v>
      </c>
      <c r="C388" t="str">
        <f ca="1">IFERROR(__xludf.DUMMYFUNCTION((TRANSPOSE(ImportHTML("http://spending.data.al/sq/moneypower/view/id/179/year/2012",  "table", 0)))),"*Kategoria*")</f>
        <v>*Kategoria*</v>
      </c>
      <c r="D388" t="s">
        <v>673</v>
      </c>
      <c r="E388" t="s">
        <v>674</v>
      </c>
      <c r="F388" t="s">
        <v>675</v>
      </c>
      <c r="G388" t="s">
        <v>676</v>
      </c>
      <c r="H388" t="s">
        <v>677</v>
      </c>
      <c r="I388" t="s">
        <v>678</v>
      </c>
      <c r="J388" t="s">
        <v>679</v>
      </c>
      <c r="K388" t="s">
        <v>680</v>
      </c>
      <c r="L388" t="s">
        <v>681</v>
      </c>
      <c r="M388" t="s">
        <v>682</v>
      </c>
      <c r="N388" t="s">
        <v>683</v>
      </c>
      <c r="O388" t="s">
        <v>684</v>
      </c>
      <c r="P388" t="s">
        <v>685</v>
      </c>
    </row>
    <row r="389" spans="2:16" ht="15">
      <c r="B389" s="11"/>
      <c r="C389" t="s">
        <v>686</v>
      </c>
      <c r="D389" t="s">
        <v>3400</v>
      </c>
      <c r="E389" t="s">
        <v>688</v>
      </c>
      <c r="F389" t="s">
        <v>688</v>
      </c>
      <c r="G389" t="s">
        <v>688</v>
      </c>
      <c r="H389" t="s">
        <v>3401</v>
      </c>
      <c r="I389" t="s">
        <v>688</v>
      </c>
      <c r="J389" t="s">
        <v>688</v>
      </c>
      <c r="K389" t="s">
        <v>688</v>
      </c>
      <c r="L389" t="s">
        <v>688</v>
      </c>
      <c r="M389" t="s">
        <v>688</v>
      </c>
      <c r="N389" t="s">
        <v>688</v>
      </c>
      <c r="O389" s="13">
        <v>1.65</v>
      </c>
      <c r="P389" t="s">
        <v>688</v>
      </c>
    </row>
    <row r="390" spans="2:16" ht="15">
      <c r="B390" s="9">
        <v>180</v>
      </c>
      <c r="C390" t="str">
        <f ca="1">IFERROR(__xludf.DUMMYFUNCTION((TRANSPOSE(ImportHTML("http://spending.data.al/sq/moneypower/view/id/180/year/2012",  "table", 0)))),"*Kategoria*")</f>
        <v>*Kategoria*</v>
      </c>
      <c r="D390" t="s">
        <v>673</v>
      </c>
      <c r="E390" t="s">
        <v>674</v>
      </c>
      <c r="F390" t="s">
        <v>675</v>
      </c>
      <c r="G390" t="s">
        <v>676</v>
      </c>
      <c r="H390" t="s">
        <v>677</v>
      </c>
      <c r="I390" t="s">
        <v>678</v>
      </c>
      <c r="J390" t="s">
        <v>679</v>
      </c>
      <c r="K390" t="s">
        <v>680</v>
      </c>
      <c r="L390" t="s">
        <v>681</v>
      </c>
      <c r="M390" t="s">
        <v>682</v>
      </c>
      <c r="N390" t="s">
        <v>683</v>
      </c>
      <c r="O390" t="s">
        <v>684</v>
      </c>
      <c r="P390" t="s">
        <v>685</v>
      </c>
    </row>
    <row r="391" spans="2:16" ht="15">
      <c r="B391" s="11"/>
      <c r="C391" t="s">
        <v>686</v>
      </c>
      <c r="D391" t="s">
        <v>3402</v>
      </c>
      <c r="E391" t="s">
        <v>688</v>
      </c>
      <c r="F391" t="s">
        <v>688</v>
      </c>
      <c r="G391" t="s">
        <v>688</v>
      </c>
      <c r="H391" t="s">
        <v>688</v>
      </c>
      <c r="I391" t="s">
        <v>688</v>
      </c>
      <c r="J391" t="s">
        <v>688</v>
      </c>
      <c r="K391" t="s">
        <v>688</v>
      </c>
      <c r="L391" t="s">
        <v>688</v>
      </c>
      <c r="M391" t="s">
        <v>3403</v>
      </c>
      <c r="N391" t="s">
        <v>688</v>
      </c>
      <c r="O391" s="13">
        <v>1</v>
      </c>
      <c r="P391" t="s">
        <v>707</v>
      </c>
    </row>
    <row r="392" spans="2:16" ht="15">
      <c r="B392" s="9">
        <v>181</v>
      </c>
      <c r="C392" t="str">
        <f ca="1">IFERROR(__xludf.DUMMYFUNCTION((TRANSPOSE(ImportHTML("http://spending.data.al/sq/moneypower/view/id/181/year/2012",  "table", 0)))),"*Emër Subjekti*")</f>
        <v>*Emër Subjekti*</v>
      </c>
      <c r="D392" t="s">
        <v>698</v>
      </c>
      <c r="E392" t="s">
        <v>699</v>
      </c>
      <c r="F392" t="s">
        <v>700</v>
      </c>
      <c r="G392" t="s">
        <v>701</v>
      </c>
      <c r="H392" t="s">
        <v>702</v>
      </c>
    </row>
    <row r="393" spans="2:16" ht="15">
      <c r="B393" s="11"/>
    </row>
    <row r="394" spans="2:16" ht="15">
      <c r="B394" s="11"/>
      <c r="C394" t="s">
        <v>2413</v>
      </c>
      <c r="D394" t="s">
        <v>2414</v>
      </c>
      <c r="E394" s="12">
        <v>41711</v>
      </c>
      <c r="F394" t="s">
        <v>707</v>
      </c>
      <c r="G394" t="s">
        <v>2415</v>
      </c>
      <c r="H394" t="s">
        <v>2416</v>
      </c>
    </row>
    <row r="395" spans="2:16" ht="15">
      <c r="B395" s="9">
        <v>182</v>
      </c>
      <c r="C395" t="str">
        <f ca="1">IFERROR(__xludf.DUMMYFUNCTION((TRANSPOSE(ImportHTML("http://spending.data.al/sq/moneypower/view/id/182/year/2012",  "table", 0)))),"*Kategoria*")</f>
        <v>*Kategoria*</v>
      </c>
      <c r="D395" t="s">
        <v>673</v>
      </c>
      <c r="E395" t="s">
        <v>674</v>
      </c>
      <c r="F395" t="s">
        <v>675</v>
      </c>
      <c r="G395" t="s">
        <v>676</v>
      </c>
      <c r="H395" t="s">
        <v>677</v>
      </c>
      <c r="I395" t="s">
        <v>678</v>
      </c>
      <c r="J395" t="s">
        <v>679</v>
      </c>
      <c r="K395" t="s">
        <v>680</v>
      </c>
      <c r="L395" t="s">
        <v>681</v>
      </c>
      <c r="M395" t="s">
        <v>682</v>
      </c>
      <c r="N395" t="s">
        <v>683</v>
      </c>
      <c r="O395" t="s">
        <v>684</v>
      </c>
      <c r="P395" t="s">
        <v>685</v>
      </c>
    </row>
    <row r="396" spans="2:16" ht="15">
      <c r="B396" s="11"/>
      <c r="C396" t="s">
        <v>686</v>
      </c>
      <c r="D396" t="s">
        <v>1353</v>
      </c>
      <c r="E396" t="s">
        <v>688</v>
      </c>
      <c r="F396" t="s">
        <v>688</v>
      </c>
      <c r="G396" t="s">
        <v>688</v>
      </c>
      <c r="H396" t="s">
        <v>3404</v>
      </c>
      <c r="I396" t="s">
        <v>688</v>
      </c>
      <c r="J396" t="s">
        <v>688</v>
      </c>
      <c r="K396" t="s">
        <v>688</v>
      </c>
      <c r="L396" t="s">
        <v>688</v>
      </c>
      <c r="M396" t="s">
        <v>3405</v>
      </c>
      <c r="N396" t="s">
        <v>688</v>
      </c>
      <c r="O396" s="13">
        <v>1.19</v>
      </c>
      <c r="P396" t="s">
        <v>3406</v>
      </c>
    </row>
    <row r="397" spans="2:16" ht="15">
      <c r="B397" s="9">
        <v>183</v>
      </c>
      <c r="C397" t="str">
        <f ca="1">IFERROR(__xludf.DUMMYFUNCTION((TRANSPOSE(ImportHTML("http://spending.data.al/sq/moneypower/view/id/183/year/2012",  "table", 0)))),"*Emër Subjekti*")</f>
        <v>*Emër Subjekti*</v>
      </c>
      <c r="D397" t="s">
        <v>698</v>
      </c>
      <c r="E397" t="s">
        <v>699</v>
      </c>
      <c r="F397" t="s">
        <v>700</v>
      </c>
      <c r="G397" t="s">
        <v>701</v>
      </c>
      <c r="H397" t="s">
        <v>702</v>
      </c>
    </row>
    <row r="398" spans="2:16" ht="15">
      <c r="B398" s="11"/>
    </row>
    <row r="399" spans="2:16" ht="15">
      <c r="B399" s="11"/>
      <c r="C399" t="s">
        <v>2421</v>
      </c>
      <c r="D399" t="s">
        <v>2422</v>
      </c>
      <c r="E399" s="12">
        <v>41631</v>
      </c>
      <c r="F399" t="s">
        <v>707</v>
      </c>
      <c r="G399" t="s">
        <v>2423</v>
      </c>
      <c r="H399" t="s">
        <v>2424</v>
      </c>
    </row>
    <row r="400" spans="2:16" ht="15">
      <c r="B400" s="9">
        <v>184</v>
      </c>
      <c r="C400" t="str">
        <f ca="1">IFERROR(__xludf.DUMMYFUNCTION((TRANSPOSE(ImportHTML("http://spending.data.al/sq/moneypower/view/id/184/year/2012",  "table", 0)))),"*Kategoria*")</f>
        <v>*Kategoria*</v>
      </c>
      <c r="D400" t="s">
        <v>673</v>
      </c>
      <c r="E400" t="s">
        <v>674</v>
      </c>
      <c r="F400" t="s">
        <v>675</v>
      </c>
      <c r="G400" t="s">
        <v>676</v>
      </c>
      <c r="H400" t="s">
        <v>677</v>
      </c>
      <c r="I400" t="s">
        <v>678</v>
      </c>
      <c r="J400" t="s">
        <v>679</v>
      </c>
      <c r="K400" t="s">
        <v>680</v>
      </c>
      <c r="L400" t="s">
        <v>681</v>
      </c>
      <c r="M400" t="s">
        <v>682</v>
      </c>
      <c r="N400" t="s">
        <v>683</v>
      </c>
      <c r="O400" t="s">
        <v>684</v>
      </c>
      <c r="P400" t="s">
        <v>685</v>
      </c>
    </row>
    <row r="401" spans="2:16" ht="15">
      <c r="B401" s="11"/>
      <c r="C401" t="s">
        <v>686</v>
      </c>
      <c r="D401" t="s">
        <v>3407</v>
      </c>
      <c r="E401" t="s">
        <v>688</v>
      </c>
      <c r="F401" t="s">
        <v>688</v>
      </c>
      <c r="G401" t="s">
        <v>688</v>
      </c>
      <c r="H401" t="s">
        <v>688</v>
      </c>
      <c r="I401" t="s">
        <v>688</v>
      </c>
      <c r="J401" t="s">
        <v>688</v>
      </c>
      <c r="K401" t="s">
        <v>688</v>
      </c>
      <c r="L401" t="s">
        <v>688</v>
      </c>
      <c r="M401" t="s">
        <v>688</v>
      </c>
      <c r="N401" t="s">
        <v>3408</v>
      </c>
      <c r="O401" s="13">
        <v>1.33</v>
      </c>
      <c r="P401" t="s">
        <v>1361</v>
      </c>
    </row>
    <row r="402" spans="2:16" ht="15">
      <c r="B402" s="9">
        <v>185</v>
      </c>
      <c r="C402" t="str">
        <f ca="1">IFERROR(__xludf.DUMMYFUNCTION((TRANSPOSE(ImportHTML("http://spending.data.al/sq/moneypower/view/id/185/year/2012",  "table", 0)))),"*Kategoria*")</f>
        <v>*Kategoria*</v>
      </c>
      <c r="D402" t="s">
        <v>673</v>
      </c>
      <c r="E402" t="s">
        <v>674</v>
      </c>
      <c r="F402" t="s">
        <v>675</v>
      </c>
      <c r="G402" t="s">
        <v>676</v>
      </c>
      <c r="H402" t="s">
        <v>677</v>
      </c>
      <c r="I402" t="s">
        <v>678</v>
      </c>
      <c r="J402" t="s">
        <v>679</v>
      </c>
      <c r="K402" t="s">
        <v>680</v>
      </c>
      <c r="L402" t="s">
        <v>681</v>
      </c>
      <c r="M402" t="s">
        <v>682</v>
      </c>
      <c r="N402" t="s">
        <v>683</v>
      </c>
      <c r="O402" t="s">
        <v>684</v>
      </c>
      <c r="P402" t="s">
        <v>685</v>
      </c>
    </row>
    <row r="403" spans="2:16" ht="15">
      <c r="B403" s="11"/>
      <c r="C403" t="s">
        <v>686</v>
      </c>
      <c r="D403" t="s">
        <v>1362</v>
      </c>
      <c r="E403" t="s">
        <v>688</v>
      </c>
      <c r="F403" t="s">
        <v>688</v>
      </c>
      <c r="G403" t="s">
        <v>688</v>
      </c>
      <c r="H403" t="s">
        <v>1363</v>
      </c>
      <c r="I403" t="s">
        <v>688</v>
      </c>
      <c r="J403" t="s">
        <v>688</v>
      </c>
      <c r="K403" t="s">
        <v>688</v>
      </c>
      <c r="L403" t="s">
        <v>688</v>
      </c>
      <c r="M403" t="s">
        <v>688</v>
      </c>
      <c r="N403" t="s">
        <v>688</v>
      </c>
      <c r="O403" s="13">
        <v>1.03</v>
      </c>
      <c r="P403" t="s">
        <v>688</v>
      </c>
    </row>
    <row r="404" spans="2:16" ht="15">
      <c r="B404" s="9">
        <v>186</v>
      </c>
      <c r="C404" t="str">
        <f ca="1">IFERROR(__xludf.DUMMYFUNCTION((TRANSPOSE(ImportHTML("http://spending.data.al/sq/moneypower/view/id/186/year/2012",  "table", 0)))),"*Kategoria*")</f>
        <v>*Kategoria*</v>
      </c>
      <c r="D404" t="s">
        <v>673</v>
      </c>
      <c r="E404" t="s">
        <v>674</v>
      </c>
      <c r="F404" t="s">
        <v>675</v>
      </c>
      <c r="G404" t="s">
        <v>676</v>
      </c>
      <c r="H404" t="s">
        <v>677</v>
      </c>
      <c r="I404" t="s">
        <v>678</v>
      </c>
      <c r="J404" t="s">
        <v>679</v>
      </c>
      <c r="K404" t="s">
        <v>680</v>
      </c>
      <c r="L404" t="s">
        <v>681</v>
      </c>
      <c r="M404" t="s">
        <v>682</v>
      </c>
      <c r="N404" t="s">
        <v>683</v>
      </c>
      <c r="O404" t="s">
        <v>684</v>
      </c>
      <c r="P404" t="s">
        <v>685</v>
      </c>
    </row>
    <row r="405" spans="2:16" ht="15">
      <c r="B405" s="11"/>
      <c r="C405" t="s">
        <v>686</v>
      </c>
      <c r="D405" t="s">
        <v>3409</v>
      </c>
      <c r="E405" t="s">
        <v>688</v>
      </c>
      <c r="F405" t="s">
        <v>688</v>
      </c>
      <c r="G405" t="s">
        <v>688</v>
      </c>
      <c r="H405" t="s">
        <v>688</v>
      </c>
      <c r="I405" t="s">
        <v>688</v>
      </c>
      <c r="J405" t="s">
        <v>688</v>
      </c>
      <c r="K405" t="s">
        <v>688</v>
      </c>
      <c r="L405" t="s">
        <v>688</v>
      </c>
      <c r="M405" t="s">
        <v>3410</v>
      </c>
      <c r="N405" t="s">
        <v>688</v>
      </c>
      <c r="O405" s="13">
        <v>1</v>
      </c>
      <c r="P405" t="s">
        <v>688</v>
      </c>
    </row>
    <row r="406" spans="2:16" ht="15">
      <c r="B406" s="9">
        <v>187</v>
      </c>
      <c r="C406" t="str">
        <f ca="1">IFERROR(__xludf.DUMMYFUNCTION((TRANSPOSE(ImportHTML("http://spending.data.al/sq/moneypower/view/id/187/year/2012",  "table", 0)))),"*Kategoria*")</f>
        <v>*Kategoria*</v>
      </c>
      <c r="D406" t="s">
        <v>673</v>
      </c>
      <c r="E406" t="s">
        <v>674</v>
      </c>
      <c r="F406" t="s">
        <v>675</v>
      </c>
      <c r="G406" t="s">
        <v>676</v>
      </c>
      <c r="H406" t="s">
        <v>677</v>
      </c>
      <c r="I406" t="s">
        <v>678</v>
      </c>
      <c r="J406" t="s">
        <v>679</v>
      </c>
      <c r="K406" t="s">
        <v>680</v>
      </c>
      <c r="L406" t="s">
        <v>681</v>
      </c>
      <c r="M406" t="s">
        <v>682</v>
      </c>
      <c r="N406" t="s">
        <v>683</v>
      </c>
      <c r="O406" t="s">
        <v>684</v>
      </c>
      <c r="P406" t="s">
        <v>685</v>
      </c>
    </row>
    <row r="407" spans="2:16" ht="15">
      <c r="B407" s="11"/>
      <c r="C407" t="s">
        <v>686</v>
      </c>
      <c r="D407" t="s">
        <v>3411</v>
      </c>
      <c r="E407" t="s">
        <v>688</v>
      </c>
      <c r="F407" t="s">
        <v>688</v>
      </c>
      <c r="G407" t="s">
        <v>3412</v>
      </c>
      <c r="H407" t="s">
        <v>1369</v>
      </c>
      <c r="I407" t="s">
        <v>688</v>
      </c>
      <c r="J407" t="s">
        <v>688</v>
      </c>
      <c r="K407" t="s">
        <v>688</v>
      </c>
      <c r="L407" t="s">
        <v>688</v>
      </c>
      <c r="M407" t="s">
        <v>688</v>
      </c>
      <c r="N407" t="s">
        <v>688</v>
      </c>
      <c r="O407" s="13">
        <v>1.53</v>
      </c>
      <c r="P407" t="s">
        <v>707</v>
      </c>
    </row>
    <row r="408" spans="2:16" ht="15">
      <c r="B408" s="9">
        <v>188</v>
      </c>
      <c r="C408" t="str">
        <f ca="1">IFERROR(__xludf.DUMMYFUNCTION((TRANSPOSE(ImportHTML("http://spending.data.al/sq/moneypower/view/id/188/year/2012",  "table", 0)))),"*Kategoria*")</f>
        <v>*Kategoria*</v>
      </c>
      <c r="D408" t="s">
        <v>673</v>
      </c>
      <c r="E408" t="s">
        <v>674</v>
      </c>
      <c r="F408" t="s">
        <v>675</v>
      </c>
      <c r="G408" t="s">
        <v>676</v>
      </c>
      <c r="H408" t="s">
        <v>677</v>
      </c>
      <c r="I408" t="s">
        <v>678</v>
      </c>
      <c r="J408" t="s">
        <v>679</v>
      </c>
      <c r="K408" t="s">
        <v>680</v>
      </c>
      <c r="L408" t="s">
        <v>681</v>
      </c>
      <c r="M408" t="s">
        <v>682</v>
      </c>
      <c r="N408" t="s">
        <v>683</v>
      </c>
      <c r="O408" t="s">
        <v>684</v>
      </c>
      <c r="P408" t="s">
        <v>685</v>
      </c>
    </row>
    <row r="409" spans="2:16" ht="15">
      <c r="B409" s="11"/>
      <c r="C409" t="s">
        <v>686</v>
      </c>
      <c r="D409" t="s">
        <v>1370</v>
      </c>
      <c r="E409" t="s">
        <v>688</v>
      </c>
      <c r="F409" t="s">
        <v>688</v>
      </c>
      <c r="G409" t="s">
        <v>3413</v>
      </c>
      <c r="H409" t="s">
        <v>688</v>
      </c>
      <c r="I409" t="s">
        <v>688</v>
      </c>
      <c r="J409" t="s">
        <v>688</v>
      </c>
      <c r="K409" t="s">
        <v>688</v>
      </c>
      <c r="L409" t="s">
        <v>688</v>
      </c>
      <c r="M409" t="s">
        <v>3414</v>
      </c>
      <c r="N409" t="s">
        <v>688</v>
      </c>
      <c r="O409" s="13">
        <v>1.0900000000000001</v>
      </c>
      <c r="P409" t="s">
        <v>3415</v>
      </c>
    </row>
    <row r="410" spans="2:16" ht="15">
      <c r="B410" s="9">
        <v>189</v>
      </c>
      <c r="C410" t="str">
        <f ca="1">IFERROR(__xludf.DUMMYFUNCTION((TRANSPOSE(ImportHTML("http://spending.data.al/sq/moneypower/view/id/189/year/2012",  "table", 0)))),"*Kategoria*")</f>
        <v>*Kategoria*</v>
      </c>
      <c r="D410" t="s">
        <v>673</v>
      </c>
      <c r="E410" t="s">
        <v>674</v>
      </c>
      <c r="F410" t="s">
        <v>675</v>
      </c>
      <c r="G410" t="s">
        <v>676</v>
      </c>
      <c r="H410" t="s">
        <v>677</v>
      </c>
      <c r="I410" t="s">
        <v>678</v>
      </c>
      <c r="J410" t="s">
        <v>679</v>
      </c>
      <c r="K410" t="s">
        <v>680</v>
      </c>
      <c r="L410" t="s">
        <v>681</v>
      </c>
      <c r="M410" t="s">
        <v>682</v>
      </c>
      <c r="N410" t="s">
        <v>683</v>
      </c>
      <c r="O410" t="s">
        <v>684</v>
      </c>
      <c r="P410" t="s">
        <v>685</v>
      </c>
    </row>
    <row r="411" spans="2:16" ht="15">
      <c r="B411" s="11"/>
      <c r="C411" t="s">
        <v>686</v>
      </c>
      <c r="D411" t="s">
        <v>1374</v>
      </c>
      <c r="E411" t="s">
        <v>688</v>
      </c>
      <c r="F411" t="s">
        <v>688</v>
      </c>
      <c r="G411" t="s">
        <v>688</v>
      </c>
      <c r="H411" t="s">
        <v>688</v>
      </c>
      <c r="I411" t="s">
        <v>688</v>
      </c>
      <c r="J411" t="s">
        <v>688</v>
      </c>
      <c r="K411" t="s">
        <v>688</v>
      </c>
      <c r="L411" t="s">
        <v>688</v>
      </c>
      <c r="M411" t="s">
        <v>1375</v>
      </c>
      <c r="N411" t="s">
        <v>688</v>
      </c>
      <c r="O411" s="13">
        <v>1</v>
      </c>
      <c r="P411" t="s">
        <v>688</v>
      </c>
    </row>
    <row r="412" spans="2:16" ht="15">
      <c r="B412" s="9">
        <v>190</v>
      </c>
      <c r="C412" t="str">
        <f ca="1">IFERROR(__xludf.DUMMYFUNCTION((TRANSPOSE(ImportHTML("http://spending.data.al/sq/moneypower/view/id/190/year/2012",  "table", 0)))),"*Kategoria*")</f>
        <v>*Kategoria*</v>
      </c>
      <c r="D412" t="s">
        <v>673</v>
      </c>
      <c r="E412" t="s">
        <v>674</v>
      </c>
      <c r="F412" t="s">
        <v>675</v>
      </c>
      <c r="G412" t="s">
        <v>676</v>
      </c>
      <c r="H412" t="s">
        <v>677</v>
      </c>
      <c r="I412" t="s">
        <v>678</v>
      </c>
      <c r="J412" t="s">
        <v>679</v>
      </c>
      <c r="K412" t="s">
        <v>680</v>
      </c>
      <c r="L412" t="s">
        <v>681</v>
      </c>
      <c r="M412" t="s">
        <v>682</v>
      </c>
      <c r="N412" t="s">
        <v>683</v>
      </c>
      <c r="O412" t="s">
        <v>684</v>
      </c>
      <c r="P412" t="s">
        <v>685</v>
      </c>
    </row>
    <row r="413" spans="2:16" ht="15">
      <c r="B413" s="11"/>
      <c r="C413" t="s">
        <v>686</v>
      </c>
      <c r="D413" t="s">
        <v>688</v>
      </c>
      <c r="E413" t="s">
        <v>688</v>
      </c>
      <c r="F413" t="s">
        <v>688</v>
      </c>
      <c r="G413" t="s">
        <v>3416</v>
      </c>
      <c r="H413" t="s">
        <v>688</v>
      </c>
      <c r="I413" t="s">
        <v>688</v>
      </c>
      <c r="J413" t="s">
        <v>688</v>
      </c>
      <c r="K413" t="s">
        <v>688</v>
      </c>
      <c r="L413" t="s">
        <v>688</v>
      </c>
      <c r="M413" t="s">
        <v>688</v>
      </c>
      <c r="N413" t="s">
        <v>688</v>
      </c>
      <c r="O413" t="s">
        <v>707</v>
      </c>
      <c r="P413" t="s">
        <v>688</v>
      </c>
    </row>
    <row r="414" spans="2:16" ht="15">
      <c r="B414" s="9">
        <v>191</v>
      </c>
      <c r="C414" t="str">
        <f ca="1">IFERROR(__xludf.DUMMYFUNCTION((TRANSPOSE(ImportHTML("http://spending.data.al/sq/moneypower/view/id/191/year/2012",  "table", 0)))),"*Kategoria*")</f>
        <v>*Kategoria*</v>
      </c>
      <c r="D414" t="s">
        <v>673</v>
      </c>
      <c r="E414" t="s">
        <v>674</v>
      </c>
      <c r="F414" t="s">
        <v>675</v>
      </c>
      <c r="G414" t="s">
        <v>676</v>
      </c>
      <c r="H414" t="s">
        <v>677</v>
      </c>
      <c r="I414" t="s">
        <v>678</v>
      </c>
      <c r="J414" t="s">
        <v>679</v>
      </c>
      <c r="K414" t="s">
        <v>680</v>
      </c>
      <c r="L414" t="s">
        <v>681</v>
      </c>
      <c r="M414" t="s">
        <v>682</v>
      </c>
      <c r="N414" t="s">
        <v>683</v>
      </c>
      <c r="O414" t="s">
        <v>684</v>
      </c>
      <c r="P414" t="s">
        <v>685</v>
      </c>
    </row>
    <row r="415" spans="2:16" ht="15">
      <c r="B415" s="11"/>
      <c r="C415" t="s">
        <v>686</v>
      </c>
      <c r="D415" t="s">
        <v>1379</v>
      </c>
      <c r="E415" t="s">
        <v>688</v>
      </c>
      <c r="F415" t="s">
        <v>688</v>
      </c>
      <c r="G415" t="s">
        <v>688</v>
      </c>
      <c r="H415" t="s">
        <v>688</v>
      </c>
      <c r="I415" t="s">
        <v>688</v>
      </c>
      <c r="J415" t="s">
        <v>688</v>
      </c>
      <c r="K415" t="s">
        <v>688</v>
      </c>
      <c r="L415" t="s">
        <v>688</v>
      </c>
      <c r="M415" t="s">
        <v>688</v>
      </c>
      <c r="N415" t="s">
        <v>688</v>
      </c>
      <c r="O415" s="13">
        <v>1</v>
      </c>
      <c r="P415" t="s">
        <v>3417</v>
      </c>
    </row>
    <row r="416" spans="2:16" ht="15">
      <c r="B416" s="9">
        <v>192</v>
      </c>
      <c r="C416" t="str">
        <f ca="1">IFERROR(__xludf.DUMMYFUNCTION((TRANSPOSE(ImportHTML("http://spending.data.al/sq/moneypower/view/id/192/year/2012",  "table", 0)))),"*Emër Subjekti*")</f>
        <v>*Emër Subjekti*</v>
      </c>
      <c r="D416" t="s">
        <v>698</v>
      </c>
      <c r="E416" t="s">
        <v>699</v>
      </c>
      <c r="F416" t="s">
        <v>700</v>
      </c>
      <c r="G416" t="s">
        <v>701</v>
      </c>
      <c r="H416" t="s">
        <v>702</v>
      </c>
    </row>
    <row r="417" spans="2:16" ht="15">
      <c r="B417" s="11"/>
    </row>
    <row r="418" spans="2:16" ht="15">
      <c r="B418" s="11"/>
      <c r="C418" t="s">
        <v>2454</v>
      </c>
      <c r="D418" t="s">
        <v>711</v>
      </c>
      <c r="E418" t="s">
        <v>2178</v>
      </c>
      <c r="F418" t="s">
        <v>2455</v>
      </c>
      <c r="G418" t="s">
        <v>2456</v>
      </c>
      <c r="H418" t="s">
        <v>2457</v>
      </c>
    </row>
    <row r="419" spans="2:16" ht="15">
      <c r="B419" s="9">
        <v>193</v>
      </c>
      <c r="C419" t="str">
        <f ca="1">IFERROR(__xludf.DUMMYFUNCTION((TRANSPOSE(ImportHTML("http://spending.data.al/sq/moneypower/view/id/193/year/2012",  "table", 0)))),"*Kategoria*")</f>
        <v>*Kategoria*</v>
      </c>
      <c r="D419" t="s">
        <v>673</v>
      </c>
      <c r="E419" t="s">
        <v>674</v>
      </c>
      <c r="F419" t="s">
        <v>675</v>
      </c>
      <c r="G419" t="s">
        <v>676</v>
      </c>
      <c r="H419" t="s">
        <v>677</v>
      </c>
      <c r="I419" t="s">
        <v>678</v>
      </c>
      <c r="J419" t="s">
        <v>679</v>
      </c>
      <c r="K419" t="s">
        <v>680</v>
      </c>
      <c r="L419" t="s">
        <v>681</v>
      </c>
      <c r="M419" t="s">
        <v>682</v>
      </c>
      <c r="N419" t="s">
        <v>683</v>
      </c>
      <c r="O419" t="s">
        <v>684</v>
      </c>
      <c r="P419" t="s">
        <v>685</v>
      </c>
    </row>
    <row r="420" spans="2:16" ht="15">
      <c r="B420" s="11"/>
      <c r="C420" t="s">
        <v>686</v>
      </c>
      <c r="D420" t="s">
        <v>3418</v>
      </c>
      <c r="E420" t="s">
        <v>688</v>
      </c>
      <c r="F420" t="s">
        <v>688</v>
      </c>
      <c r="G420" t="s">
        <v>688</v>
      </c>
      <c r="H420" t="s">
        <v>688</v>
      </c>
      <c r="I420" t="s">
        <v>688</v>
      </c>
      <c r="J420" t="s">
        <v>688</v>
      </c>
      <c r="K420" t="s">
        <v>688</v>
      </c>
      <c r="L420" t="s">
        <v>688</v>
      </c>
      <c r="M420" t="s">
        <v>3419</v>
      </c>
      <c r="N420" t="s">
        <v>3420</v>
      </c>
      <c r="O420" t="s">
        <v>707</v>
      </c>
      <c r="P420" t="s">
        <v>3421</v>
      </c>
    </row>
    <row r="421" spans="2:16" ht="15">
      <c r="B421" s="9">
        <v>194</v>
      </c>
      <c r="C421" t="str">
        <f ca="1">IFERROR(__xludf.DUMMYFUNCTION((TRANSPOSE(ImportHTML("http://spending.data.al/sq/moneypower/view/id/194/year/2012",  "table", 0)))),"*Emër Subjekti*")</f>
        <v>*Emër Subjekti*</v>
      </c>
      <c r="D421" t="s">
        <v>698</v>
      </c>
      <c r="E421" t="s">
        <v>699</v>
      </c>
      <c r="F421" t="s">
        <v>700</v>
      </c>
      <c r="G421" t="s">
        <v>701</v>
      </c>
      <c r="H421" t="s">
        <v>702</v>
      </c>
    </row>
    <row r="422" spans="2:16" ht="15">
      <c r="B422" s="11"/>
    </row>
    <row r="423" spans="2:16" ht="15">
      <c r="B423" s="11"/>
      <c r="C423" t="s">
        <v>2461</v>
      </c>
      <c r="D423" t="s">
        <v>711</v>
      </c>
      <c r="E423" t="s">
        <v>2178</v>
      </c>
      <c r="F423" t="s">
        <v>2181</v>
      </c>
      <c r="G423" t="s">
        <v>2462</v>
      </c>
      <c r="H423" t="s">
        <v>2463</v>
      </c>
    </row>
    <row r="424" spans="2:16" ht="15">
      <c r="B424" s="9">
        <v>195</v>
      </c>
      <c r="C424" t="str">
        <f ca="1">IFERROR(__xludf.DUMMYFUNCTION((TRANSPOSE(ImportHTML("http://spending.data.al/sq/moneypower/view/id/195/year/2012",  "table", 0)))),"*Kategoria*")</f>
        <v>*Kategoria*</v>
      </c>
      <c r="D424" t="s">
        <v>673</v>
      </c>
      <c r="E424" t="s">
        <v>674</v>
      </c>
      <c r="F424" t="s">
        <v>675</v>
      </c>
      <c r="G424" t="s">
        <v>676</v>
      </c>
      <c r="H424" t="s">
        <v>677</v>
      </c>
      <c r="I424" t="s">
        <v>678</v>
      </c>
      <c r="J424" t="s">
        <v>679</v>
      </c>
      <c r="K424" t="s">
        <v>680</v>
      </c>
      <c r="L424" t="s">
        <v>681</v>
      </c>
      <c r="M424" t="s">
        <v>682</v>
      </c>
      <c r="N424" t="s">
        <v>683</v>
      </c>
      <c r="O424" t="s">
        <v>684</v>
      </c>
      <c r="P424" t="s">
        <v>685</v>
      </c>
    </row>
    <row r="425" spans="2:16" ht="15">
      <c r="B425" s="11"/>
      <c r="C425" t="s">
        <v>686</v>
      </c>
      <c r="D425" t="s">
        <v>3422</v>
      </c>
      <c r="E425" t="s">
        <v>688</v>
      </c>
      <c r="F425" t="s">
        <v>688</v>
      </c>
      <c r="G425" t="s">
        <v>688</v>
      </c>
      <c r="H425" t="s">
        <v>688</v>
      </c>
      <c r="I425" t="s">
        <v>688</v>
      </c>
      <c r="J425" t="s">
        <v>688</v>
      </c>
      <c r="K425" t="s">
        <v>688</v>
      </c>
      <c r="L425" t="s">
        <v>688</v>
      </c>
      <c r="M425" t="s">
        <v>688</v>
      </c>
      <c r="N425" t="s">
        <v>688</v>
      </c>
      <c r="O425" t="s">
        <v>707</v>
      </c>
      <c r="P425" t="s">
        <v>688</v>
      </c>
    </row>
    <row r="426" spans="2:16" ht="15">
      <c r="B426" s="9">
        <v>196</v>
      </c>
      <c r="C426" t="str">
        <f ca="1">IFERROR(__xludf.DUMMYFUNCTION((TRANSPOSE(ImportHTML("http://spending.data.al/sq/moneypower/view/id/196/year/2012",  "table", 0)))),"*Emër Subjekti*")</f>
        <v>*Emër Subjekti*</v>
      </c>
      <c r="D426" t="s">
        <v>698</v>
      </c>
      <c r="E426" t="s">
        <v>699</v>
      </c>
      <c r="F426" t="s">
        <v>700</v>
      </c>
      <c r="G426" t="s">
        <v>701</v>
      </c>
      <c r="H426" t="s">
        <v>702</v>
      </c>
    </row>
    <row r="427" spans="2:16" ht="15">
      <c r="B427" s="11"/>
    </row>
    <row r="428" spans="2:16" ht="15">
      <c r="B428" s="11"/>
      <c r="C428" t="s">
        <v>2466</v>
      </c>
      <c r="D428" t="s">
        <v>711</v>
      </c>
      <c r="E428" t="s">
        <v>2178</v>
      </c>
      <c r="F428" t="s">
        <v>2181</v>
      </c>
      <c r="G428" t="s">
        <v>2467</v>
      </c>
      <c r="H428" t="s">
        <v>2468</v>
      </c>
    </row>
    <row r="429" spans="2:16" ht="15">
      <c r="B429" s="9">
        <v>197</v>
      </c>
      <c r="C429" t="str">
        <f ca="1">IFERROR(__xludf.DUMMYFUNCTION((TRANSPOSE(ImportHTML("http://spending.data.al/sq/moneypower/view/id/197/year/2012",  "table", 0)))),"*Kategoria*")</f>
        <v>*Kategoria*</v>
      </c>
      <c r="D429" t="s">
        <v>673</v>
      </c>
      <c r="E429" t="s">
        <v>674</v>
      </c>
      <c r="F429" t="s">
        <v>675</v>
      </c>
      <c r="G429" t="s">
        <v>676</v>
      </c>
      <c r="H429" t="s">
        <v>677</v>
      </c>
      <c r="I429" t="s">
        <v>678</v>
      </c>
      <c r="J429" t="s">
        <v>679</v>
      </c>
      <c r="K429" t="s">
        <v>680</v>
      </c>
      <c r="L429" t="s">
        <v>681</v>
      </c>
      <c r="M429" t="s">
        <v>682</v>
      </c>
      <c r="N429" t="s">
        <v>683</v>
      </c>
      <c r="O429" t="s">
        <v>684</v>
      </c>
      <c r="P429" t="s">
        <v>685</v>
      </c>
    </row>
    <row r="430" spans="2:16" ht="15">
      <c r="B430" s="11"/>
      <c r="C430" t="s">
        <v>686</v>
      </c>
      <c r="D430" t="s">
        <v>3423</v>
      </c>
      <c r="E430" t="s">
        <v>688</v>
      </c>
      <c r="F430" t="s">
        <v>3424</v>
      </c>
      <c r="G430" t="s">
        <v>688</v>
      </c>
      <c r="H430" t="s">
        <v>688</v>
      </c>
      <c r="I430" t="s">
        <v>688</v>
      </c>
      <c r="J430" t="s">
        <v>688</v>
      </c>
      <c r="K430" t="s">
        <v>688</v>
      </c>
      <c r="L430" t="s">
        <v>688</v>
      </c>
      <c r="M430" t="s">
        <v>3425</v>
      </c>
      <c r="N430" t="s">
        <v>688</v>
      </c>
      <c r="O430" t="s">
        <v>688</v>
      </c>
      <c r="P430" t="s">
        <v>688</v>
      </c>
    </row>
    <row r="431" spans="2:16" ht="15">
      <c r="B431" s="9">
        <v>198</v>
      </c>
      <c r="C431" t="str">
        <f ca="1">IFERROR(__xludf.DUMMYFUNCTION((TRANSPOSE(ImportHTML("http://spending.data.al/sq/moneypower/view/id/198/year/2012",  "table", 0)))),"*Emër Subjekti*")</f>
        <v>*Emër Subjekti*</v>
      </c>
      <c r="D431" t="s">
        <v>698</v>
      </c>
      <c r="E431" t="s">
        <v>699</v>
      </c>
      <c r="F431" t="s">
        <v>700</v>
      </c>
      <c r="G431" t="s">
        <v>701</v>
      </c>
      <c r="H431" t="s">
        <v>702</v>
      </c>
    </row>
    <row r="432" spans="2:16" ht="15">
      <c r="B432" s="11"/>
    </row>
    <row r="433" spans="2:16" ht="15">
      <c r="B433" s="11"/>
      <c r="C433" t="s">
        <v>2473</v>
      </c>
      <c r="D433" t="s">
        <v>711</v>
      </c>
      <c r="E433" t="s">
        <v>2178</v>
      </c>
      <c r="F433" t="s">
        <v>712</v>
      </c>
      <c r="G433" t="s">
        <v>2474</v>
      </c>
      <c r="H433" t="s">
        <v>2475</v>
      </c>
    </row>
    <row r="434" spans="2:16" ht="15">
      <c r="B434" s="9">
        <v>199</v>
      </c>
      <c r="C434" t="str">
        <f ca="1">IFERROR(__xludf.DUMMYFUNCTION((TRANSPOSE(ImportHTML("http://spending.data.al/sq/moneypower/view/id/199/year/2012",  "table", 0)))),"*Emër Subjekti*")</f>
        <v>*Emër Subjekti*</v>
      </c>
      <c r="D434" t="s">
        <v>698</v>
      </c>
      <c r="E434" t="s">
        <v>699</v>
      </c>
      <c r="F434" t="s">
        <v>700</v>
      </c>
      <c r="G434" t="s">
        <v>701</v>
      </c>
      <c r="H434" t="s">
        <v>702</v>
      </c>
    </row>
    <row r="435" spans="2:16" ht="15">
      <c r="B435" s="11"/>
    </row>
    <row r="436" spans="2:16" ht="15">
      <c r="B436" s="11"/>
      <c r="C436" t="s">
        <v>2476</v>
      </c>
      <c r="D436" t="s">
        <v>711</v>
      </c>
      <c r="E436" t="s">
        <v>2178</v>
      </c>
      <c r="F436" t="s">
        <v>2191</v>
      </c>
      <c r="G436" t="s">
        <v>2477</v>
      </c>
      <c r="H436" t="s">
        <v>2478</v>
      </c>
    </row>
    <row r="437" spans="2:16" ht="15">
      <c r="B437" s="9">
        <v>200</v>
      </c>
      <c r="C437" t="str">
        <f ca="1">IFERROR(__xludf.DUMMYFUNCTION((TRANSPOSE(ImportHTML("http://spending.data.al/sq/moneypower/view/id/200/year/2012",  "table", 0)))),"*Emër Subjekti*")</f>
        <v>*Emër Subjekti*</v>
      </c>
      <c r="D437" t="s">
        <v>698</v>
      </c>
      <c r="E437" t="s">
        <v>699</v>
      </c>
      <c r="F437" t="s">
        <v>700</v>
      </c>
      <c r="G437" t="s">
        <v>701</v>
      </c>
      <c r="H437" t="s">
        <v>702</v>
      </c>
    </row>
    <row r="438" spans="2:16" ht="15">
      <c r="B438" s="11"/>
    </row>
    <row r="439" spans="2:16" ht="15">
      <c r="B439" s="11"/>
      <c r="C439" t="s">
        <v>2479</v>
      </c>
      <c r="D439" t="s">
        <v>711</v>
      </c>
      <c r="E439" t="s">
        <v>2178</v>
      </c>
      <c r="F439" t="s">
        <v>2191</v>
      </c>
      <c r="G439" t="s">
        <v>2480</v>
      </c>
      <c r="H439" t="s">
        <v>2481</v>
      </c>
    </row>
    <row r="440" spans="2:16" ht="15">
      <c r="B440" s="9">
        <v>201</v>
      </c>
      <c r="C440" t="str">
        <f ca="1">IFERROR(__xludf.DUMMYFUNCTION((TRANSPOSE(ImportHTML("http://spending.data.al/sq/moneypower/view/id/201/year/2012",  "table", 0)))),"*Kategoria*")</f>
        <v>*Kategoria*</v>
      </c>
      <c r="D440" t="s">
        <v>673</v>
      </c>
      <c r="E440" t="s">
        <v>674</v>
      </c>
      <c r="F440" t="s">
        <v>675</v>
      </c>
      <c r="G440" t="s">
        <v>676</v>
      </c>
      <c r="H440" t="s">
        <v>677</v>
      </c>
      <c r="I440" t="s">
        <v>678</v>
      </c>
      <c r="J440" t="s">
        <v>679</v>
      </c>
      <c r="K440" t="s">
        <v>680</v>
      </c>
      <c r="L440" t="s">
        <v>681</v>
      </c>
      <c r="M440" t="s">
        <v>682</v>
      </c>
      <c r="N440" t="s">
        <v>683</v>
      </c>
      <c r="O440" t="s">
        <v>684</v>
      </c>
      <c r="P440" t="s">
        <v>685</v>
      </c>
    </row>
    <row r="441" spans="2:16" ht="15">
      <c r="B441" s="11"/>
      <c r="C441" t="s">
        <v>686</v>
      </c>
      <c r="D441" t="s">
        <v>3426</v>
      </c>
      <c r="E441" t="s">
        <v>688</v>
      </c>
      <c r="F441" t="s">
        <v>688</v>
      </c>
      <c r="G441" t="s">
        <v>688</v>
      </c>
      <c r="H441" t="s">
        <v>688</v>
      </c>
      <c r="I441" t="s">
        <v>688</v>
      </c>
      <c r="J441" t="s">
        <v>688</v>
      </c>
      <c r="K441" t="s">
        <v>688</v>
      </c>
      <c r="L441" t="s">
        <v>688</v>
      </c>
      <c r="M441" t="s">
        <v>3427</v>
      </c>
      <c r="N441" t="s">
        <v>688</v>
      </c>
      <c r="O441" t="s">
        <v>707</v>
      </c>
      <c r="P441" t="s">
        <v>688</v>
      </c>
    </row>
    <row r="442" spans="2:16" ht="15">
      <c r="B442" s="9">
        <v>202</v>
      </c>
      <c r="C442" t="str">
        <f ca="1">IFERROR(__xludf.DUMMYFUNCTION((TRANSPOSE(ImportHTML("http://spending.data.al/sq/moneypower/view/id/202/year/2012",  "table", 0)))),"*Kategoria*")</f>
        <v>*Kategoria*</v>
      </c>
      <c r="D442" t="s">
        <v>673</v>
      </c>
      <c r="E442" t="s">
        <v>674</v>
      </c>
      <c r="F442" t="s">
        <v>675</v>
      </c>
      <c r="G442" t="s">
        <v>676</v>
      </c>
      <c r="H442" t="s">
        <v>677</v>
      </c>
      <c r="I442" t="s">
        <v>678</v>
      </c>
      <c r="J442" t="s">
        <v>679</v>
      </c>
      <c r="K442" t="s">
        <v>680</v>
      </c>
      <c r="L442" t="s">
        <v>681</v>
      </c>
      <c r="M442" t="s">
        <v>682</v>
      </c>
      <c r="N442" t="s">
        <v>683</v>
      </c>
      <c r="O442" t="s">
        <v>684</v>
      </c>
      <c r="P442" t="s">
        <v>685</v>
      </c>
    </row>
    <row r="443" spans="2:16" ht="15">
      <c r="B443" s="11"/>
      <c r="C443" t="s">
        <v>686</v>
      </c>
      <c r="D443" t="s">
        <v>3428</v>
      </c>
      <c r="E443" t="s">
        <v>688</v>
      </c>
      <c r="F443" t="s">
        <v>688</v>
      </c>
      <c r="G443" t="s">
        <v>688</v>
      </c>
      <c r="H443" t="s">
        <v>688</v>
      </c>
      <c r="I443" t="s">
        <v>688</v>
      </c>
      <c r="J443" t="s">
        <v>688</v>
      </c>
      <c r="K443" t="s">
        <v>688</v>
      </c>
      <c r="L443" t="s">
        <v>688</v>
      </c>
      <c r="M443" t="s">
        <v>3429</v>
      </c>
      <c r="N443" t="s">
        <v>688</v>
      </c>
      <c r="O443" t="s">
        <v>707</v>
      </c>
      <c r="P443" t="s">
        <v>3430</v>
      </c>
    </row>
    <row r="444" spans="2:16" ht="15">
      <c r="B444" s="9">
        <v>203</v>
      </c>
      <c r="C444" t="str">
        <f ca="1">IFERROR(__xludf.DUMMYFUNCTION((TRANSPOSE(ImportHTML("http://spending.data.al/sq/moneypower/view/id/203/year/2012",  "table", 0)))),"*Emër Subjekti*")</f>
        <v>*Emër Subjekti*</v>
      </c>
      <c r="D444" t="s">
        <v>698</v>
      </c>
      <c r="E444" t="s">
        <v>699</v>
      </c>
      <c r="F444" t="s">
        <v>700</v>
      </c>
      <c r="G444" t="s">
        <v>701</v>
      </c>
      <c r="H444" t="s">
        <v>702</v>
      </c>
    </row>
    <row r="445" spans="2:16" ht="15">
      <c r="B445" s="11"/>
    </row>
    <row r="446" spans="2:16" ht="15">
      <c r="B446" s="11"/>
      <c r="C446" t="s">
        <v>2487</v>
      </c>
      <c r="D446" t="s">
        <v>711</v>
      </c>
      <c r="E446" t="s">
        <v>2178</v>
      </c>
      <c r="F446" t="s">
        <v>2181</v>
      </c>
      <c r="G446" t="s">
        <v>2488</v>
      </c>
      <c r="H446" t="s">
        <v>2489</v>
      </c>
    </row>
    <row r="447" spans="2:16" ht="15">
      <c r="B447" s="9">
        <v>204</v>
      </c>
      <c r="C447" t="str">
        <f ca="1">IFERROR(__xludf.DUMMYFUNCTION((TRANSPOSE(ImportHTML("http://spending.data.al/sq/moneypower/view/id/204/year/2012",  "table", 0)))),"*Emër Subjekti*")</f>
        <v>*Emër Subjekti*</v>
      </c>
      <c r="D447" t="s">
        <v>698</v>
      </c>
      <c r="E447" t="s">
        <v>699</v>
      </c>
      <c r="F447" t="s">
        <v>700</v>
      </c>
      <c r="G447" t="s">
        <v>701</v>
      </c>
      <c r="H447" t="s">
        <v>702</v>
      </c>
    </row>
    <row r="448" spans="2:16" ht="15">
      <c r="B448" s="11"/>
    </row>
    <row r="449" spans="2:16" ht="15">
      <c r="B449" s="11"/>
      <c r="C449" t="s">
        <v>2490</v>
      </c>
      <c r="D449" t="s">
        <v>711</v>
      </c>
      <c r="E449" s="12">
        <v>41526</v>
      </c>
      <c r="F449" t="s">
        <v>707</v>
      </c>
      <c r="G449" t="s">
        <v>2491</v>
      </c>
      <c r="H449" t="s">
        <v>707</v>
      </c>
    </row>
    <row r="450" spans="2:16" ht="15">
      <c r="B450" s="9">
        <v>205</v>
      </c>
      <c r="C450" t="str">
        <f ca="1">IFERROR(__xludf.DUMMYFUNCTION((TRANSPOSE(ImportHTML("http://spending.data.al/sq/moneypower/view/id/205/year/2012",  "table", 0)))),"*Emër Subjekti*")</f>
        <v>*Emër Subjekti*</v>
      </c>
      <c r="D450" t="s">
        <v>698</v>
      </c>
      <c r="E450" t="s">
        <v>699</v>
      </c>
      <c r="F450" t="s">
        <v>700</v>
      </c>
      <c r="G450" t="s">
        <v>701</v>
      </c>
      <c r="H450" t="s">
        <v>702</v>
      </c>
    </row>
    <row r="451" spans="2:16" ht="15">
      <c r="B451" s="11"/>
    </row>
    <row r="452" spans="2:16" ht="15">
      <c r="B452" s="11"/>
      <c r="C452" t="s">
        <v>2492</v>
      </c>
      <c r="D452" t="s">
        <v>711</v>
      </c>
      <c r="E452" s="12">
        <v>41526</v>
      </c>
      <c r="F452" t="s">
        <v>707</v>
      </c>
      <c r="G452" t="s">
        <v>2493</v>
      </c>
      <c r="H452" t="s">
        <v>2494</v>
      </c>
    </row>
    <row r="453" spans="2:16" ht="15">
      <c r="B453" s="9">
        <v>206</v>
      </c>
      <c r="C453" t="str">
        <f ca="1">IFERROR(__xludf.DUMMYFUNCTION((TRANSPOSE(ImportHTML("http://spending.data.al/sq/moneypower/view/id/206/year/2012",  "table", 0)))),"*Kategoria*")</f>
        <v>*Kategoria*</v>
      </c>
      <c r="D453" t="s">
        <v>673</v>
      </c>
      <c r="E453" t="s">
        <v>674</v>
      </c>
      <c r="F453" t="s">
        <v>675</v>
      </c>
      <c r="G453" t="s">
        <v>676</v>
      </c>
      <c r="H453" t="s">
        <v>677</v>
      </c>
      <c r="I453" t="s">
        <v>678</v>
      </c>
      <c r="J453" t="s">
        <v>679</v>
      </c>
      <c r="K453" t="s">
        <v>680</v>
      </c>
      <c r="L453" t="s">
        <v>681</v>
      </c>
      <c r="M453" t="s">
        <v>682</v>
      </c>
      <c r="N453" t="s">
        <v>683</v>
      </c>
      <c r="O453" t="s">
        <v>684</v>
      </c>
      <c r="P453" t="s">
        <v>685</v>
      </c>
    </row>
    <row r="454" spans="2:16" ht="15">
      <c r="B454" s="11"/>
      <c r="C454" t="s">
        <v>686</v>
      </c>
      <c r="D454" t="s">
        <v>3431</v>
      </c>
      <c r="E454" t="s">
        <v>688</v>
      </c>
      <c r="F454" t="s">
        <v>688</v>
      </c>
      <c r="G454" t="s">
        <v>688</v>
      </c>
      <c r="H454" t="s">
        <v>3432</v>
      </c>
      <c r="I454" t="s">
        <v>688</v>
      </c>
      <c r="J454" t="s">
        <v>688</v>
      </c>
      <c r="K454" t="s">
        <v>688</v>
      </c>
      <c r="L454" t="s">
        <v>688</v>
      </c>
      <c r="M454" t="s">
        <v>3433</v>
      </c>
      <c r="N454" t="s">
        <v>688</v>
      </c>
      <c r="O454" s="13">
        <v>1.17</v>
      </c>
      <c r="P454" t="s">
        <v>3434</v>
      </c>
    </row>
    <row r="455" spans="2:16" ht="15">
      <c r="B455" s="9">
        <v>207</v>
      </c>
      <c r="C455" t="str">
        <f ca="1">IFERROR(__xludf.DUMMYFUNCTION((TRANSPOSE(ImportHTML("http://spending.data.al/sq/moneypower/view/id/207/year/2012",  "table", 0)))),"*Kategoria*")</f>
        <v>*Kategoria*</v>
      </c>
      <c r="D455" t="s">
        <v>673</v>
      </c>
      <c r="E455" t="s">
        <v>674</v>
      </c>
      <c r="F455" t="s">
        <v>675</v>
      </c>
      <c r="G455" t="s">
        <v>676</v>
      </c>
      <c r="H455" t="s">
        <v>677</v>
      </c>
      <c r="I455" t="s">
        <v>678</v>
      </c>
      <c r="J455" t="s">
        <v>679</v>
      </c>
      <c r="K455" t="s">
        <v>680</v>
      </c>
      <c r="L455" t="s">
        <v>681</v>
      </c>
      <c r="M455" t="s">
        <v>682</v>
      </c>
      <c r="N455" t="s">
        <v>683</v>
      </c>
      <c r="O455" t="s">
        <v>684</v>
      </c>
      <c r="P455" t="s">
        <v>685</v>
      </c>
    </row>
    <row r="456" spans="2:16" ht="15">
      <c r="B456" s="11"/>
      <c r="C456" t="s">
        <v>686</v>
      </c>
      <c r="D456" t="s">
        <v>3435</v>
      </c>
      <c r="E456" t="s">
        <v>688</v>
      </c>
      <c r="F456" t="s">
        <v>688</v>
      </c>
      <c r="G456" t="s">
        <v>688</v>
      </c>
      <c r="H456" t="s">
        <v>3436</v>
      </c>
      <c r="I456" t="s">
        <v>688</v>
      </c>
      <c r="J456" t="s">
        <v>688</v>
      </c>
      <c r="K456" t="s">
        <v>688</v>
      </c>
      <c r="L456" t="s">
        <v>688</v>
      </c>
      <c r="M456" t="s">
        <v>688</v>
      </c>
      <c r="N456" t="s">
        <v>688</v>
      </c>
      <c r="O456" s="13">
        <v>1.43</v>
      </c>
      <c r="P456" t="s">
        <v>3437</v>
      </c>
    </row>
    <row r="457" spans="2:16" ht="15">
      <c r="B457" s="9">
        <v>208</v>
      </c>
      <c r="C457" t="str">
        <f ca="1">IFERROR(__xludf.DUMMYFUNCTION((TRANSPOSE(ImportHTML("http://spending.data.al/sq/moneypower/view/id/208/year/2012",  "table", 0)))),"*Emër Subjekti*")</f>
        <v>*Emër Subjekti*</v>
      </c>
      <c r="D457" t="s">
        <v>698</v>
      </c>
      <c r="E457" t="s">
        <v>699</v>
      </c>
      <c r="F457" t="s">
        <v>700</v>
      </c>
      <c r="G457" t="s">
        <v>701</v>
      </c>
      <c r="H457" t="s">
        <v>702</v>
      </c>
    </row>
    <row r="458" spans="2:16" ht="15">
      <c r="B458" s="11"/>
    </row>
    <row r="459" spans="2:16" ht="15">
      <c r="B459" s="11"/>
      <c r="C459" t="s">
        <v>2501</v>
      </c>
      <c r="D459" t="s">
        <v>711</v>
      </c>
      <c r="E459" s="12">
        <v>41630</v>
      </c>
      <c r="F459" t="s">
        <v>707</v>
      </c>
      <c r="G459" t="s">
        <v>2502</v>
      </c>
      <c r="H459" t="s">
        <v>2503</v>
      </c>
    </row>
    <row r="460" spans="2:16" ht="15">
      <c r="B460" s="9">
        <v>209</v>
      </c>
      <c r="C460" t="str">
        <f ca="1">IFERROR(__xludf.DUMMYFUNCTION((TRANSPOSE(ImportHTML("http://spending.data.al/sq/moneypower/view/id/209/year/2012",  "table", 0)))),"*Emër Subjekti*")</f>
        <v>*Emër Subjekti*</v>
      </c>
      <c r="D460" t="s">
        <v>698</v>
      </c>
      <c r="E460" t="s">
        <v>699</v>
      </c>
      <c r="F460" t="s">
        <v>700</v>
      </c>
      <c r="G460" t="s">
        <v>701</v>
      </c>
      <c r="H460" t="s">
        <v>702</v>
      </c>
    </row>
    <row r="461" spans="2:16" ht="15">
      <c r="B461" s="11"/>
    </row>
    <row r="462" spans="2:16" ht="15">
      <c r="B462" s="11"/>
      <c r="C462" t="s">
        <v>2504</v>
      </c>
      <c r="D462" t="s">
        <v>711</v>
      </c>
      <c r="E462" t="s">
        <v>2505</v>
      </c>
      <c r="F462" t="s">
        <v>707</v>
      </c>
      <c r="G462" t="s">
        <v>2506</v>
      </c>
      <c r="H462" t="s">
        <v>2507</v>
      </c>
    </row>
    <row r="463" spans="2:16" ht="15">
      <c r="B463" s="9">
        <v>210</v>
      </c>
      <c r="C463" t="str">
        <f ca="1">IFERROR(__xludf.DUMMYFUNCTION((TRANSPOSE(ImportHTML("http://spending.data.al/sq/moneypower/view/id/210/year/2012",  "table", 0)))),"*Kategoria*")</f>
        <v>*Kategoria*</v>
      </c>
      <c r="D463" t="s">
        <v>673</v>
      </c>
      <c r="E463" t="s">
        <v>674</v>
      </c>
      <c r="F463" t="s">
        <v>675</v>
      </c>
      <c r="G463" t="s">
        <v>676</v>
      </c>
      <c r="H463" t="s">
        <v>677</v>
      </c>
      <c r="I463" t="s">
        <v>678</v>
      </c>
      <c r="J463" t="s">
        <v>679</v>
      </c>
      <c r="K463" t="s">
        <v>680</v>
      </c>
      <c r="L463" t="s">
        <v>681</v>
      </c>
      <c r="M463" t="s">
        <v>682</v>
      </c>
      <c r="N463" t="s">
        <v>683</v>
      </c>
      <c r="O463" t="s">
        <v>684</v>
      </c>
      <c r="P463" t="s">
        <v>685</v>
      </c>
    </row>
    <row r="464" spans="2:16" ht="15">
      <c r="B464" s="11"/>
      <c r="C464" t="s">
        <v>686</v>
      </c>
      <c r="D464" t="s">
        <v>3438</v>
      </c>
      <c r="E464" t="s">
        <v>688</v>
      </c>
      <c r="F464" t="s">
        <v>688</v>
      </c>
      <c r="G464" t="s">
        <v>688</v>
      </c>
      <c r="H464" t="s">
        <v>688</v>
      </c>
      <c r="I464" t="s">
        <v>688</v>
      </c>
      <c r="J464" t="s">
        <v>688</v>
      </c>
      <c r="K464" t="s">
        <v>688</v>
      </c>
      <c r="L464" t="s">
        <v>688</v>
      </c>
      <c r="M464" t="s">
        <v>3439</v>
      </c>
      <c r="N464" t="s">
        <v>688</v>
      </c>
      <c r="O464" s="13">
        <v>1</v>
      </c>
      <c r="P464" t="s">
        <v>3440</v>
      </c>
    </row>
    <row r="465" spans="2:16" ht="15">
      <c r="B465" s="9">
        <v>211</v>
      </c>
      <c r="C465" t="str">
        <f ca="1">IFERROR(__xludf.DUMMYFUNCTION((TRANSPOSE(ImportHTML("http://spending.data.al/sq/moneypower/view/id/211/year/2012",  "table", 0)))),"*Kategoria*")</f>
        <v>*Kategoria*</v>
      </c>
      <c r="D465" t="s">
        <v>673</v>
      </c>
      <c r="E465" t="s">
        <v>674</v>
      </c>
      <c r="F465" t="s">
        <v>675</v>
      </c>
      <c r="G465" t="s">
        <v>676</v>
      </c>
      <c r="H465" t="s">
        <v>677</v>
      </c>
      <c r="I465" t="s">
        <v>678</v>
      </c>
      <c r="J465" t="s">
        <v>679</v>
      </c>
      <c r="K465" t="s">
        <v>680</v>
      </c>
      <c r="L465" t="s">
        <v>681</v>
      </c>
      <c r="M465" t="s">
        <v>682</v>
      </c>
      <c r="N465" t="s">
        <v>683</v>
      </c>
      <c r="O465" t="s">
        <v>684</v>
      </c>
      <c r="P465" t="s">
        <v>685</v>
      </c>
    </row>
    <row r="466" spans="2:16" ht="15">
      <c r="B466" s="11"/>
      <c r="C466" t="s">
        <v>686</v>
      </c>
      <c r="D466" t="s">
        <v>3441</v>
      </c>
      <c r="E466" t="s">
        <v>688</v>
      </c>
      <c r="F466" t="s">
        <v>688</v>
      </c>
      <c r="G466" t="s">
        <v>688</v>
      </c>
      <c r="H466" t="s">
        <v>3442</v>
      </c>
      <c r="I466" t="s">
        <v>688</v>
      </c>
      <c r="J466" t="s">
        <v>688</v>
      </c>
      <c r="K466" t="s">
        <v>688</v>
      </c>
      <c r="L466" t="s">
        <v>688</v>
      </c>
      <c r="M466" t="s">
        <v>3443</v>
      </c>
      <c r="N466" t="s">
        <v>688</v>
      </c>
      <c r="O466" s="13">
        <v>1.49</v>
      </c>
      <c r="P466" t="s">
        <v>3444</v>
      </c>
    </row>
    <row r="467" spans="2:16" ht="15">
      <c r="B467" s="9">
        <v>212</v>
      </c>
      <c r="C467" t="str">
        <f ca="1">IFERROR(__xludf.DUMMYFUNCTION((TRANSPOSE(ImportHTML("http://spending.data.al/sq/moneypower/view/id/212/year/2012",  "table", 0)))),"*Emër Subjekti*")</f>
        <v>*Emër Subjekti*</v>
      </c>
      <c r="D467" t="s">
        <v>698</v>
      </c>
      <c r="E467" t="s">
        <v>699</v>
      </c>
      <c r="F467" t="s">
        <v>700</v>
      </c>
      <c r="G467" t="s">
        <v>701</v>
      </c>
      <c r="H467" t="s">
        <v>702</v>
      </c>
    </row>
    <row r="468" spans="2:16" ht="15">
      <c r="B468" s="11"/>
    </row>
    <row r="469" spans="2:16" ht="15">
      <c r="B469" s="11"/>
      <c r="C469" t="s">
        <v>2516</v>
      </c>
      <c r="D469" t="s">
        <v>2517</v>
      </c>
      <c r="E469" s="12">
        <v>41696</v>
      </c>
      <c r="F469" t="s">
        <v>707</v>
      </c>
      <c r="G469" t="s">
        <v>2518</v>
      </c>
      <c r="H469" t="s">
        <v>2519</v>
      </c>
    </row>
    <row r="470" spans="2:16" ht="15">
      <c r="B470" s="9">
        <v>213</v>
      </c>
      <c r="C470" t="str">
        <f ca="1">IFERROR(__xludf.DUMMYFUNCTION((TRANSPOSE(ImportHTML("http://spending.data.al/sq/moneypower/view/id/213/year/2012",  "table", 0)))),"*Kategoria*")</f>
        <v>*Kategoria*</v>
      </c>
      <c r="D470" t="s">
        <v>673</v>
      </c>
      <c r="E470" t="s">
        <v>674</v>
      </c>
      <c r="F470" t="s">
        <v>675</v>
      </c>
      <c r="G470" t="s">
        <v>676</v>
      </c>
      <c r="H470" t="s">
        <v>677</v>
      </c>
      <c r="I470" t="s">
        <v>678</v>
      </c>
      <c r="J470" t="s">
        <v>679</v>
      </c>
      <c r="K470" t="s">
        <v>680</v>
      </c>
      <c r="L470" t="s">
        <v>681</v>
      </c>
      <c r="M470" t="s">
        <v>682</v>
      </c>
      <c r="N470" t="s">
        <v>683</v>
      </c>
      <c r="O470" t="s">
        <v>684</v>
      </c>
      <c r="P470" t="s">
        <v>685</v>
      </c>
    </row>
    <row r="471" spans="2:16" ht="15">
      <c r="B471" s="11"/>
      <c r="C471" t="s">
        <v>686</v>
      </c>
      <c r="D471" t="s">
        <v>3445</v>
      </c>
      <c r="E471" t="s">
        <v>688</v>
      </c>
      <c r="F471" t="s">
        <v>1450</v>
      </c>
      <c r="G471" t="s">
        <v>688</v>
      </c>
      <c r="H471" t="s">
        <v>688</v>
      </c>
      <c r="I471" t="s">
        <v>688</v>
      </c>
      <c r="J471" t="s">
        <v>688</v>
      </c>
      <c r="K471" t="s">
        <v>688</v>
      </c>
      <c r="L471" t="s">
        <v>688</v>
      </c>
      <c r="M471" t="s">
        <v>688</v>
      </c>
      <c r="N471" t="s">
        <v>688</v>
      </c>
      <c r="O471" s="13">
        <v>1.1100000000000001</v>
      </c>
      <c r="P471" t="s">
        <v>688</v>
      </c>
    </row>
    <row r="472" spans="2:16" ht="15">
      <c r="B472" s="9">
        <v>214</v>
      </c>
      <c r="C472" t="str">
        <f ca="1">IFERROR(__xludf.DUMMYFUNCTION((TRANSPOSE(ImportHTML("http://spending.data.al/sq/moneypower/view/id/214/year/2012",  "table", 0)))),"*Emër Subjekti*")</f>
        <v>*Emër Subjekti*</v>
      </c>
      <c r="D472" t="s">
        <v>698</v>
      </c>
      <c r="E472" t="s">
        <v>699</v>
      </c>
      <c r="F472" t="s">
        <v>700</v>
      </c>
      <c r="G472" t="s">
        <v>701</v>
      </c>
      <c r="H472" t="s">
        <v>702</v>
      </c>
    </row>
    <row r="473" spans="2:16" ht="15">
      <c r="B473" s="11"/>
    </row>
    <row r="474" spans="2:16" ht="15">
      <c r="B474" s="11"/>
      <c r="C474" t="s">
        <v>3446</v>
      </c>
      <c r="D474" t="s">
        <v>3447</v>
      </c>
      <c r="E474" s="12">
        <v>40725</v>
      </c>
      <c r="F474" t="s">
        <v>706</v>
      </c>
      <c r="G474" t="s">
        <v>3448</v>
      </c>
      <c r="H474" t="s">
        <v>3449</v>
      </c>
    </row>
    <row r="475" spans="2:16" ht="15">
      <c r="B475" s="9">
        <v>215</v>
      </c>
      <c r="C475" t="str">
        <f ca="1">IFERROR(__xludf.DUMMYFUNCTION((TRANSPOSE(ImportHTML("http://spending.data.al/sq/moneypower/view/id/215/year/2012",  "table", 0)))),"*Kategoria*")</f>
        <v>*Kategoria*</v>
      </c>
      <c r="D475" t="s">
        <v>673</v>
      </c>
      <c r="E475" t="s">
        <v>674</v>
      </c>
      <c r="F475" t="s">
        <v>675</v>
      </c>
      <c r="G475" t="s">
        <v>676</v>
      </c>
      <c r="H475" t="s">
        <v>677</v>
      </c>
      <c r="I475" t="s">
        <v>678</v>
      </c>
      <c r="J475" t="s">
        <v>679</v>
      </c>
      <c r="K475" t="s">
        <v>680</v>
      </c>
      <c r="L475" t="s">
        <v>681</v>
      </c>
      <c r="M475" t="s">
        <v>682</v>
      </c>
      <c r="N475" t="s">
        <v>683</v>
      </c>
      <c r="O475" t="s">
        <v>684</v>
      </c>
      <c r="P475" t="s">
        <v>685</v>
      </c>
    </row>
    <row r="476" spans="2:16" ht="15">
      <c r="B476" s="11"/>
      <c r="C476" t="s">
        <v>686</v>
      </c>
      <c r="D476" t="s">
        <v>3450</v>
      </c>
      <c r="E476" t="s">
        <v>688</v>
      </c>
      <c r="F476" t="s">
        <v>3451</v>
      </c>
      <c r="G476" t="s">
        <v>688</v>
      </c>
      <c r="H476" t="s">
        <v>688</v>
      </c>
      <c r="I476" t="s">
        <v>688</v>
      </c>
      <c r="J476" t="s">
        <v>688</v>
      </c>
      <c r="K476" t="s">
        <v>688</v>
      </c>
      <c r="L476" t="s">
        <v>688</v>
      </c>
      <c r="M476" t="s">
        <v>3452</v>
      </c>
      <c r="N476" t="s">
        <v>688</v>
      </c>
      <c r="O476" s="13">
        <v>1.1299999999999999</v>
      </c>
      <c r="P476" t="s">
        <v>688</v>
      </c>
    </row>
    <row r="477" spans="2:16" ht="15">
      <c r="B477" s="9">
        <v>216</v>
      </c>
      <c r="C477" t="str">
        <f ca="1">IFERROR(__xludf.DUMMYFUNCTION((TRANSPOSE(ImportHTML("http://spending.data.al/sq/moneypower/view/id/216/year/2012",  "table", 0)))),"*Emër Subjekti*")</f>
        <v>*Emër Subjekti*</v>
      </c>
      <c r="D477" t="s">
        <v>698</v>
      </c>
      <c r="E477" t="s">
        <v>699</v>
      </c>
      <c r="F477" t="s">
        <v>700</v>
      </c>
      <c r="G477" t="s">
        <v>701</v>
      </c>
      <c r="H477" t="s">
        <v>702</v>
      </c>
    </row>
    <row r="478" spans="2:16" ht="15">
      <c r="B478" s="11"/>
    </row>
    <row r="479" spans="2:16" ht="15">
      <c r="B479" s="11"/>
      <c r="C479" t="s">
        <v>3453</v>
      </c>
      <c r="D479" t="s">
        <v>3454</v>
      </c>
      <c r="E479" s="12">
        <v>40732</v>
      </c>
      <c r="F479" t="s">
        <v>1914</v>
      </c>
      <c r="G479" t="s">
        <v>3455</v>
      </c>
      <c r="H479" t="s">
        <v>707</v>
      </c>
    </row>
    <row r="480" spans="2:16" ht="15">
      <c r="B480" s="9">
        <v>217</v>
      </c>
      <c r="C480" t="str">
        <f ca="1">IFERROR(__xludf.DUMMYFUNCTION((TRANSPOSE(ImportHTML("http://spending.data.al/sq/moneypower/view/id/217/year/2012",  "table", 0)))),"*Kategoria*")</f>
        <v>*Kategoria*</v>
      </c>
      <c r="D480" t="s">
        <v>673</v>
      </c>
      <c r="E480" t="s">
        <v>674</v>
      </c>
      <c r="F480" t="s">
        <v>675</v>
      </c>
      <c r="G480" t="s">
        <v>676</v>
      </c>
      <c r="H480" t="s">
        <v>677</v>
      </c>
      <c r="I480" t="s">
        <v>678</v>
      </c>
      <c r="J480" t="s">
        <v>679</v>
      </c>
      <c r="K480" t="s">
        <v>680</v>
      </c>
      <c r="L480" t="s">
        <v>681</v>
      </c>
      <c r="M480" t="s">
        <v>682</v>
      </c>
      <c r="N480" t="s">
        <v>683</v>
      </c>
      <c r="O480" t="s">
        <v>684</v>
      </c>
      <c r="P480" t="s">
        <v>685</v>
      </c>
    </row>
    <row r="481" spans="2:16" ht="15">
      <c r="B481" s="11"/>
      <c r="C481" t="s">
        <v>686</v>
      </c>
      <c r="D481" t="s">
        <v>3456</v>
      </c>
      <c r="E481" t="s">
        <v>688</v>
      </c>
      <c r="F481" t="s">
        <v>688</v>
      </c>
      <c r="G481" t="s">
        <v>688</v>
      </c>
      <c r="H481" t="s">
        <v>688</v>
      </c>
      <c r="I481" t="s">
        <v>688</v>
      </c>
      <c r="J481" t="s">
        <v>688</v>
      </c>
      <c r="K481" t="s">
        <v>688</v>
      </c>
      <c r="L481" t="s">
        <v>688</v>
      </c>
      <c r="M481" t="s">
        <v>3457</v>
      </c>
      <c r="N481" t="s">
        <v>688</v>
      </c>
      <c r="O481" s="13">
        <v>1</v>
      </c>
      <c r="P481" t="s">
        <v>688</v>
      </c>
    </row>
    <row r="482" spans="2:16" ht="15">
      <c r="B482" s="9">
        <v>218</v>
      </c>
      <c r="C482" t="str">
        <f ca="1">IFERROR(__xludf.DUMMYFUNCTION((TRANSPOSE(ImportHTML("http://spending.data.al/sq/moneypower/view/id/218/year/2012",  "table", 0)))),"*Kategoria*")</f>
        <v>*Kategoria*</v>
      </c>
      <c r="D482" t="s">
        <v>673</v>
      </c>
      <c r="E482" t="s">
        <v>674</v>
      </c>
      <c r="F482" t="s">
        <v>675</v>
      </c>
      <c r="G482" t="s">
        <v>676</v>
      </c>
      <c r="H482" t="s">
        <v>677</v>
      </c>
      <c r="I482" t="s">
        <v>678</v>
      </c>
      <c r="J482" t="s">
        <v>679</v>
      </c>
      <c r="K482" t="s">
        <v>680</v>
      </c>
      <c r="L482" t="s">
        <v>681</v>
      </c>
      <c r="M482" t="s">
        <v>682</v>
      </c>
      <c r="N482" t="s">
        <v>683</v>
      </c>
      <c r="O482" t="s">
        <v>684</v>
      </c>
      <c r="P482" t="s">
        <v>685</v>
      </c>
    </row>
    <row r="483" spans="2:16" ht="15">
      <c r="B483" s="11"/>
      <c r="C483" t="s">
        <v>686</v>
      </c>
      <c r="D483" t="s">
        <v>3458</v>
      </c>
      <c r="E483" t="s">
        <v>688</v>
      </c>
      <c r="F483" t="s">
        <v>1465</v>
      </c>
      <c r="G483" t="s">
        <v>688</v>
      </c>
      <c r="H483" t="s">
        <v>688</v>
      </c>
      <c r="I483" t="s">
        <v>688</v>
      </c>
      <c r="J483" t="s">
        <v>688</v>
      </c>
      <c r="K483" t="s">
        <v>688</v>
      </c>
      <c r="L483" t="s">
        <v>688</v>
      </c>
      <c r="M483" t="s">
        <v>3459</v>
      </c>
      <c r="N483" t="s">
        <v>688</v>
      </c>
      <c r="O483" s="13">
        <v>1.22</v>
      </c>
      <c r="P483" t="s">
        <v>688</v>
      </c>
    </row>
    <row r="484" spans="2:16" ht="15">
      <c r="B484" s="9">
        <v>219</v>
      </c>
      <c r="C484" t="str">
        <f ca="1">IFERROR(__xludf.DUMMYFUNCTION((TRANSPOSE(ImportHTML("http://spending.data.al/sq/moneypower/view/id/219/year/2012",  "table", 0)))),"*Kategoria*")</f>
        <v>*Kategoria*</v>
      </c>
      <c r="D484" t="s">
        <v>673</v>
      </c>
      <c r="E484" t="s">
        <v>674</v>
      </c>
      <c r="F484" t="s">
        <v>675</v>
      </c>
      <c r="G484" t="s">
        <v>676</v>
      </c>
      <c r="H484" t="s">
        <v>677</v>
      </c>
      <c r="I484" t="s">
        <v>678</v>
      </c>
      <c r="J484" t="s">
        <v>679</v>
      </c>
      <c r="K484" t="s">
        <v>680</v>
      </c>
      <c r="L484" t="s">
        <v>681</v>
      </c>
      <c r="M484" t="s">
        <v>682</v>
      </c>
      <c r="N484" t="s">
        <v>683</v>
      </c>
      <c r="O484" t="s">
        <v>684</v>
      </c>
      <c r="P484" t="s">
        <v>685</v>
      </c>
    </row>
    <row r="485" spans="2:16" ht="15">
      <c r="B485" s="11"/>
      <c r="C485" t="s">
        <v>686</v>
      </c>
      <c r="D485" t="s">
        <v>2534</v>
      </c>
      <c r="E485" t="s">
        <v>1469</v>
      </c>
      <c r="F485" t="s">
        <v>3460</v>
      </c>
      <c r="G485" t="s">
        <v>688</v>
      </c>
      <c r="H485" t="s">
        <v>688</v>
      </c>
      <c r="I485" t="s">
        <v>688</v>
      </c>
      <c r="J485" t="s">
        <v>688</v>
      </c>
      <c r="K485" t="s">
        <v>688</v>
      </c>
      <c r="L485" t="s">
        <v>688</v>
      </c>
      <c r="M485" t="s">
        <v>688</v>
      </c>
      <c r="N485" t="s">
        <v>688</v>
      </c>
      <c r="O485" s="13">
        <v>1.1399999999999999</v>
      </c>
      <c r="P485" t="s">
        <v>688</v>
      </c>
    </row>
    <row r="486" spans="2:16" ht="15">
      <c r="B486" s="9">
        <v>220</v>
      </c>
      <c r="C486" t="str">
        <f ca="1">IFERROR(__xludf.DUMMYFUNCTION((TRANSPOSE(ImportHTML("http://spending.data.al/sq/moneypower/view/id/220/year/2012",  "table", 0)))),"*Kategoria*")</f>
        <v>*Kategoria*</v>
      </c>
      <c r="D486" t="s">
        <v>673</v>
      </c>
      <c r="E486" t="s">
        <v>674</v>
      </c>
      <c r="F486" t="s">
        <v>675</v>
      </c>
      <c r="G486" t="s">
        <v>676</v>
      </c>
      <c r="H486" t="s">
        <v>677</v>
      </c>
      <c r="I486" t="s">
        <v>678</v>
      </c>
      <c r="J486" t="s">
        <v>679</v>
      </c>
      <c r="K486" t="s">
        <v>680</v>
      </c>
      <c r="L486" t="s">
        <v>681</v>
      </c>
      <c r="M486" t="s">
        <v>682</v>
      </c>
      <c r="N486" t="s">
        <v>683</v>
      </c>
      <c r="O486" t="s">
        <v>684</v>
      </c>
      <c r="P486" t="s">
        <v>685</v>
      </c>
    </row>
    <row r="487" spans="2:16" ht="15">
      <c r="B487" s="11"/>
      <c r="C487" t="s">
        <v>686</v>
      </c>
      <c r="D487" t="s">
        <v>3461</v>
      </c>
      <c r="E487" t="s">
        <v>688</v>
      </c>
      <c r="F487" t="s">
        <v>1472</v>
      </c>
      <c r="G487" t="s">
        <v>688</v>
      </c>
      <c r="H487" t="s">
        <v>688</v>
      </c>
      <c r="I487" t="s">
        <v>688</v>
      </c>
      <c r="J487" t="s">
        <v>688</v>
      </c>
      <c r="K487" t="s">
        <v>688</v>
      </c>
      <c r="L487" t="s">
        <v>688</v>
      </c>
      <c r="M487" t="s">
        <v>688</v>
      </c>
      <c r="N487" t="s">
        <v>688</v>
      </c>
      <c r="O487" s="13">
        <v>1.22</v>
      </c>
      <c r="P487" t="s">
        <v>3462</v>
      </c>
    </row>
    <row r="488" spans="2:16" ht="15">
      <c r="B488" s="9">
        <v>221</v>
      </c>
      <c r="C488" t="str">
        <f ca="1">IFERROR(__xludf.DUMMYFUNCTION((TRANSPOSE(ImportHTML("http://spending.data.al/sq/moneypower/view/id/221/year/2012",  "table", 0)))),"*Kategoria*")</f>
        <v>*Kategoria*</v>
      </c>
      <c r="D488" t="s">
        <v>673</v>
      </c>
      <c r="E488" t="s">
        <v>674</v>
      </c>
      <c r="F488" t="s">
        <v>675</v>
      </c>
      <c r="G488" t="s">
        <v>676</v>
      </c>
      <c r="H488" t="s">
        <v>677</v>
      </c>
      <c r="I488" t="s">
        <v>678</v>
      </c>
      <c r="J488" t="s">
        <v>679</v>
      </c>
      <c r="K488" t="s">
        <v>680</v>
      </c>
      <c r="L488" t="s">
        <v>681</v>
      </c>
      <c r="M488" t="s">
        <v>682</v>
      </c>
      <c r="N488" t="s">
        <v>683</v>
      </c>
      <c r="O488" t="s">
        <v>684</v>
      </c>
      <c r="P488" t="s">
        <v>685</v>
      </c>
    </row>
    <row r="489" spans="2:16" ht="15">
      <c r="B489" s="11"/>
      <c r="C489" t="s">
        <v>686</v>
      </c>
      <c r="D489" t="s">
        <v>688</v>
      </c>
      <c r="E489" t="s">
        <v>688</v>
      </c>
      <c r="F489" t="s">
        <v>688</v>
      </c>
      <c r="G489" t="s">
        <v>688</v>
      </c>
      <c r="H489" t="s">
        <v>688</v>
      </c>
      <c r="I489" t="s">
        <v>688</v>
      </c>
      <c r="J489" t="s">
        <v>688</v>
      </c>
      <c r="K489" t="s">
        <v>688</v>
      </c>
      <c r="L489" t="s">
        <v>688</v>
      </c>
      <c r="M489" t="s">
        <v>1475</v>
      </c>
      <c r="N489" t="s">
        <v>688</v>
      </c>
      <c r="O489" t="s">
        <v>707</v>
      </c>
      <c r="P489" t="s">
        <v>688</v>
      </c>
    </row>
    <row r="490" spans="2:16" ht="15">
      <c r="B490" s="9">
        <v>222</v>
      </c>
      <c r="C490" t="str">
        <f ca="1">IFERROR(__xludf.DUMMYFUNCTION((TRANSPOSE(ImportHTML("http://spending.data.al/sq/moneypower/view/id/222/year/2012",  "table", 0)))),"*Kategoria*")</f>
        <v>*Kategoria*</v>
      </c>
      <c r="D490" t="s">
        <v>673</v>
      </c>
      <c r="E490" t="s">
        <v>674</v>
      </c>
      <c r="F490" t="s">
        <v>675</v>
      </c>
      <c r="G490" t="s">
        <v>676</v>
      </c>
      <c r="H490" t="s">
        <v>677</v>
      </c>
      <c r="I490" t="s">
        <v>678</v>
      </c>
      <c r="J490" t="s">
        <v>679</v>
      </c>
      <c r="K490" t="s">
        <v>680</v>
      </c>
      <c r="L490" t="s">
        <v>681</v>
      </c>
      <c r="M490" t="s">
        <v>682</v>
      </c>
      <c r="N490" t="s">
        <v>683</v>
      </c>
      <c r="O490" t="s">
        <v>684</v>
      </c>
      <c r="P490" t="s">
        <v>685</v>
      </c>
    </row>
    <row r="491" spans="2:16" ht="15">
      <c r="B491" s="11"/>
      <c r="C491" t="s">
        <v>686</v>
      </c>
      <c r="D491" t="s">
        <v>1477</v>
      </c>
      <c r="E491" t="s">
        <v>688</v>
      </c>
      <c r="F491" t="s">
        <v>3463</v>
      </c>
      <c r="G491" t="s">
        <v>688</v>
      </c>
      <c r="H491" t="s">
        <v>688</v>
      </c>
      <c r="I491" t="s">
        <v>3464</v>
      </c>
      <c r="J491" t="s">
        <v>688</v>
      </c>
      <c r="K491" t="s">
        <v>688</v>
      </c>
      <c r="L491" t="s">
        <v>688</v>
      </c>
      <c r="M491" t="s">
        <v>3465</v>
      </c>
      <c r="N491" t="s">
        <v>3466</v>
      </c>
      <c r="O491" s="13">
        <v>2.0699999999999998</v>
      </c>
      <c r="P491" t="s">
        <v>3467</v>
      </c>
    </row>
    <row r="492" spans="2:16" ht="15">
      <c r="B492" s="9">
        <v>223</v>
      </c>
      <c r="C492" t="str">
        <f ca="1">IFERROR(__xludf.DUMMYFUNCTION((TRANSPOSE(ImportHTML("http://spending.data.al/sq/moneypower/view/id/223/year/2012",  "table", 0)))),"*Kategoria*")</f>
        <v>*Kategoria*</v>
      </c>
      <c r="D492" t="s">
        <v>673</v>
      </c>
      <c r="E492" t="s">
        <v>674</v>
      </c>
      <c r="F492" t="s">
        <v>675</v>
      </c>
      <c r="G492" t="s">
        <v>676</v>
      </c>
      <c r="H492" t="s">
        <v>677</v>
      </c>
      <c r="I492" t="s">
        <v>678</v>
      </c>
      <c r="J492" t="s">
        <v>679</v>
      </c>
      <c r="K492" t="s">
        <v>680</v>
      </c>
      <c r="L492" t="s">
        <v>681</v>
      </c>
      <c r="M492" t="s">
        <v>682</v>
      </c>
      <c r="N492" t="s">
        <v>683</v>
      </c>
      <c r="O492" t="s">
        <v>684</v>
      </c>
      <c r="P492" t="s">
        <v>685</v>
      </c>
    </row>
    <row r="493" spans="2:16" ht="15">
      <c r="B493" s="11"/>
      <c r="C493" t="s">
        <v>686</v>
      </c>
      <c r="D493" t="s">
        <v>3468</v>
      </c>
      <c r="E493" t="s">
        <v>688</v>
      </c>
      <c r="F493" t="s">
        <v>3469</v>
      </c>
      <c r="G493" t="s">
        <v>688</v>
      </c>
      <c r="H493" t="s">
        <v>688</v>
      </c>
      <c r="I493" t="s">
        <v>688</v>
      </c>
      <c r="J493" t="s">
        <v>688</v>
      </c>
      <c r="K493" t="s">
        <v>688</v>
      </c>
      <c r="L493" t="s">
        <v>688</v>
      </c>
      <c r="M493" t="s">
        <v>3470</v>
      </c>
      <c r="N493" t="s">
        <v>688</v>
      </c>
      <c r="O493" s="13">
        <v>1.1399999999999999</v>
      </c>
      <c r="P493" t="s">
        <v>2546</v>
      </c>
    </row>
    <row r="494" spans="2:16" ht="15">
      <c r="B494" s="9">
        <v>224</v>
      </c>
      <c r="C494" t="str">
        <f ca="1">IFERROR(__xludf.DUMMYFUNCTION((TRANSPOSE(ImportHTML("http://spending.data.al/sq/moneypower/view/id/224/year/2012",  "table", 0)))),"*Kategoria*")</f>
        <v>*Kategoria*</v>
      </c>
      <c r="D494" t="s">
        <v>673</v>
      </c>
      <c r="E494" t="s">
        <v>674</v>
      </c>
      <c r="F494" t="s">
        <v>675</v>
      </c>
      <c r="G494" t="s">
        <v>676</v>
      </c>
      <c r="H494" t="s">
        <v>677</v>
      </c>
      <c r="I494" t="s">
        <v>678</v>
      </c>
      <c r="J494" t="s">
        <v>679</v>
      </c>
      <c r="K494" t="s">
        <v>680</v>
      </c>
      <c r="L494" t="s">
        <v>681</v>
      </c>
      <c r="M494" t="s">
        <v>682</v>
      </c>
      <c r="N494" t="s">
        <v>683</v>
      </c>
      <c r="O494" t="s">
        <v>684</v>
      </c>
      <c r="P494" t="s">
        <v>685</v>
      </c>
    </row>
    <row r="495" spans="2:16" ht="15">
      <c r="B495" s="11"/>
      <c r="C495" t="s">
        <v>686</v>
      </c>
      <c r="D495" t="s">
        <v>2547</v>
      </c>
      <c r="E495" t="s">
        <v>1486</v>
      </c>
      <c r="F495" t="s">
        <v>1487</v>
      </c>
      <c r="G495" t="s">
        <v>688</v>
      </c>
      <c r="H495" t="s">
        <v>688</v>
      </c>
      <c r="I495" t="s">
        <v>688</v>
      </c>
      <c r="J495" t="s">
        <v>688</v>
      </c>
      <c r="K495" t="s">
        <v>688</v>
      </c>
      <c r="L495" t="s">
        <v>688</v>
      </c>
      <c r="M495" t="s">
        <v>3471</v>
      </c>
      <c r="N495" t="s">
        <v>3472</v>
      </c>
      <c r="O495" s="13">
        <v>2.7</v>
      </c>
      <c r="P495" t="s">
        <v>688</v>
      </c>
    </row>
    <row r="496" spans="2:16" ht="15">
      <c r="B496" s="9">
        <v>225</v>
      </c>
      <c r="C496" t="str">
        <f ca="1">IFERROR(__xludf.DUMMYFUNCTION((TRANSPOSE(ImportHTML("http://spending.data.al/sq/moneypower/view/id/225/year/2012",  "table", 0)))),"*Kategoria*")</f>
        <v>*Kategoria*</v>
      </c>
      <c r="D496" t="s">
        <v>673</v>
      </c>
      <c r="E496" t="s">
        <v>674</v>
      </c>
      <c r="F496" t="s">
        <v>675</v>
      </c>
      <c r="G496" t="s">
        <v>676</v>
      </c>
      <c r="H496" t="s">
        <v>677</v>
      </c>
      <c r="I496" t="s">
        <v>678</v>
      </c>
      <c r="J496" t="s">
        <v>679</v>
      </c>
      <c r="K496" t="s">
        <v>680</v>
      </c>
      <c r="L496" t="s">
        <v>681</v>
      </c>
      <c r="M496" t="s">
        <v>682</v>
      </c>
      <c r="N496" t="s">
        <v>683</v>
      </c>
      <c r="O496" t="s">
        <v>684</v>
      </c>
      <c r="P496" t="s">
        <v>685</v>
      </c>
    </row>
    <row r="497" spans="2:16" ht="15">
      <c r="B497" s="11"/>
      <c r="C497" t="s">
        <v>686</v>
      </c>
      <c r="D497" t="s">
        <v>3473</v>
      </c>
      <c r="E497" t="s">
        <v>688</v>
      </c>
      <c r="F497" t="s">
        <v>688</v>
      </c>
      <c r="G497" t="s">
        <v>688</v>
      </c>
      <c r="H497" t="s">
        <v>688</v>
      </c>
      <c r="I497" t="s">
        <v>688</v>
      </c>
      <c r="J497" t="s">
        <v>688</v>
      </c>
      <c r="K497" t="s">
        <v>688</v>
      </c>
      <c r="L497" t="s">
        <v>688</v>
      </c>
      <c r="M497" t="s">
        <v>1490</v>
      </c>
      <c r="N497" t="s">
        <v>3474</v>
      </c>
      <c r="O497" s="13">
        <v>4.28</v>
      </c>
      <c r="P497" t="s">
        <v>3475</v>
      </c>
    </row>
    <row r="498" spans="2:16" ht="15">
      <c r="B498" s="9">
        <v>226</v>
      </c>
      <c r="C498" t="str">
        <f ca="1">IFERROR(__xludf.DUMMYFUNCTION((TRANSPOSE(ImportHTML("http://spending.data.al/sq/moneypower/view/id/226/year/2012",  "table", 0)))),"*Kategoria*")</f>
        <v>*Kategoria*</v>
      </c>
      <c r="D498" t="s">
        <v>673</v>
      </c>
      <c r="E498" t="s">
        <v>674</v>
      </c>
      <c r="F498" t="s">
        <v>675</v>
      </c>
      <c r="G498" t="s">
        <v>676</v>
      </c>
      <c r="H498" t="s">
        <v>677</v>
      </c>
      <c r="I498" t="s">
        <v>678</v>
      </c>
      <c r="J498" t="s">
        <v>679</v>
      </c>
      <c r="K498" t="s">
        <v>680</v>
      </c>
      <c r="L498" t="s">
        <v>681</v>
      </c>
      <c r="M498" t="s">
        <v>682</v>
      </c>
      <c r="N498" t="s">
        <v>683</v>
      </c>
      <c r="O498" t="s">
        <v>684</v>
      </c>
      <c r="P498" t="s">
        <v>685</v>
      </c>
    </row>
    <row r="499" spans="2:16" ht="15">
      <c r="B499" s="11"/>
      <c r="C499" t="s">
        <v>686</v>
      </c>
      <c r="D499" t="s">
        <v>3476</v>
      </c>
      <c r="E499" t="s">
        <v>688</v>
      </c>
      <c r="F499" t="s">
        <v>3477</v>
      </c>
      <c r="G499" t="s">
        <v>3478</v>
      </c>
      <c r="H499" t="s">
        <v>688</v>
      </c>
      <c r="I499" t="s">
        <v>688</v>
      </c>
      <c r="J499" t="s">
        <v>688</v>
      </c>
      <c r="K499" t="s">
        <v>688</v>
      </c>
      <c r="L499" t="s">
        <v>688</v>
      </c>
      <c r="M499" t="s">
        <v>3479</v>
      </c>
      <c r="N499" t="s">
        <v>688</v>
      </c>
      <c r="O499" s="13">
        <v>1.22</v>
      </c>
      <c r="P499" t="s">
        <v>3480</v>
      </c>
    </row>
    <row r="500" spans="2:16" ht="15">
      <c r="B500" s="9">
        <v>227</v>
      </c>
      <c r="C500" t="str">
        <f ca="1">IFERROR(__xludf.DUMMYFUNCTION((TRANSPOSE(ImportHTML("http://spending.data.al/sq/moneypower/view/id/227/year/2012",  "table", 0)))),"*Kategoria*")</f>
        <v>*Kategoria*</v>
      </c>
      <c r="D500" t="s">
        <v>673</v>
      </c>
      <c r="E500" t="s">
        <v>674</v>
      </c>
      <c r="F500" t="s">
        <v>675</v>
      </c>
      <c r="G500" t="s">
        <v>676</v>
      </c>
      <c r="H500" t="s">
        <v>677</v>
      </c>
      <c r="I500" t="s">
        <v>678</v>
      </c>
      <c r="J500" t="s">
        <v>679</v>
      </c>
      <c r="K500" t="s">
        <v>680</v>
      </c>
      <c r="L500" t="s">
        <v>681</v>
      </c>
      <c r="M500" t="s">
        <v>682</v>
      </c>
      <c r="N500" t="s">
        <v>683</v>
      </c>
      <c r="O500" t="s">
        <v>684</v>
      </c>
      <c r="P500" t="s">
        <v>685</v>
      </c>
    </row>
    <row r="501" spans="2:16" ht="15">
      <c r="B501" s="11"/>
      <c r="C501" t="s">
        <v>686</v>
      </c>
      <c r="D501" t="s">
        <v>3481</v>
      </c>
      <c r="E501" t="s">
        <v>688</v>
      </c>
      <c r="F501" t="s">
        <v>688</v>
      </c>
      <c r="G501" t="s">
        <v>688</v>
      </c>
      <c r="H501" t="s">
        <v>688</v>
      </c>
      <c r="I501" t="s">
        <v>688</v>
      </c>
      <c r="J501" t="s">
        <v>688</v>
      </c>
      <c r="K501" t="s">
        <v>688</v>
      </c>
      <c r="L501" t="s">
        <v>688</v>
      </c>
      <c r="M501" t="s">
        <v>1498</v>
      </c>
      <c r="N501" t="s">
        <v>688</v>
      </c>
      <c r="O501" s="13">
        <v>1</v>
      </c>
      <c r="P501" t="s">
        <v>707</v>
      </c>
    </row>
    <row r="502" spans="2:16" ht="15">
      <c r="B502" s="9">
        <v>228</v>
      </c>
      <c r="C502" t="str">
        <f ca="1">IFERROR(__xludf.DUMMYFUNCTION((TRANSPOSE(ImportHTML("http://spending.data.al/sq/moneypower/view/id/228/year/2012",  "table", 0)))),"*Kategoria*")</f>
        <v>*Kategoria*</v>
      </c>
      <c r="D502" t="s">
        <v>673</v>
      </c>
      <c r="E502" t="s">
        <v>674</v>
      </c>
      <c r="F502" t="s">
        <v>675</v>
      </c>
      <c r="G502" t="s">
        <v>676</v>
      </c>
      <c r="H502" t="s">
        <v>677</v>
      </c>
      <c r="I502" t="s">
        <v>678</v>
      </c>
      <c r="J502" t="s">
        <v>679</v>
      </c>
      <c r="K502" t="s">
        <v>680</v>
      </c>
      <c r="L502" t="s">
        <v>681</v>
      </c>
      <c r="M502" t="s">
        <v>682</v>
      </c>
      <c r="N502" t="s">
        <v>683</v>
      </c>
      <c r="O502" t="s">
        <v>684</v>
      </c>
      <c r="P502" t="s">
        <v>685</v>
      </c>
    </row>
    <row r="503" spans="2:16" ht="15">
      <c r="B503" s="11"/>
      <c r="C503" t="s">
        <v>686</v>
      </c>
      <c r="D503" t="s">
        <v>3482</v>
      </c>
      <c r="E503" t="s">
        <v>1486</v>
      </c>
      <c r="F503" t="s">
        <v>3483</v>
      </c>
      <c r="G503" t="s">
        <v>688</v>
      </c>
      <c r="H503" t="s">
        <v>688</v>
      </c>
      <c r="I503" t="s">
        <v>688</v>
      </c>
      <c r="J503" t="s">
        <v>688</v>
      </c>
      <c r="K503" t="s">
        <v>688</v>
      </c>
      <c r="L503" t="s">
        <v>688</v>
      </c>
      <c r="M503" t="s">
        <v>3484</v>
      </c>
      <c r="N503" t="s">
        <v>688</v>
      </c>
      <c r="O503" s="13">
        <v>1.66</v>
      </c>
      <c r="P503" t="s">
        <v>3485</v>
      </c>
    </row>
    <row r="504" spans="2:16" ht="15">
      <c r="B504" s="9">
        <v>229</v>
      </c>
      <c r="C504" t="str">
        <f ca="1">IFERROR(__xludf.DUMMYFUNCTION((TRANSPOSE(ImportHTML("http://spending.data.al/sq/moneypower/view/id/229/year/2012",  "table", 0)))),"*Kategoria*")</f>
        <v>*Kategoria*</v>
      </c>
      <c r="D504" t="s">
        <v>673</v>
      </c>
      <c r="E504" t="s">
        <v>674</v>
      </c>
      <c r="F504" t="s">
        <v>675</v>
      </c>
      <c r="G504" t="s">
        <v>676</v>
      </c>
      <c r="H504" t="s">
        <v>677</v>
      </c>
      <c r="I504" t="s">
        <v>678</v>
      </c>
      <c r="J504" t="s">
        <v>679</v>
      </c>
      <c r="K504" t="s">
        <v>680</v>
      </c>
      <c r="L504" t="s">
        <v>681</v>
      </c>
      <c r="M504" t="s">
        <v>682</v>
      </c>
      <c r="N504" t="s">
        <v>683</v>
      </c>
      <c r="O504" t="s">
        <v>684</v>
      </c>
      <c r="P504" t="s">
        <v>685</v>
      </c>
    </row>
    <row r="505" spans="2:16" ht="15">
      <c r="B505" s="11"/>
      <c r="C505" t="s">
        <v>686</v>
      </c>
      <c r="D505" t="s">
        <v>1503</v>
      </c>
      <c r="E505" t="s">
        <v>688</v>
      </c>
      <c r="F505" t="s">
        <v>688</v>
      </c>
      <c r="G505" t="s">
        <v>688</v>
      </c>
      <c r="H505" t="s">
        <v>688</v>
      </c>
      <c r="I505" t="s">
        <v>688</v>
      </c>
      <c r="J505" t="s">
        <v>688</v>
      </c>
      <c r="K505" t="s">
        <v>688</v>
      </c>
      <c r="L505" t="s">
        <v>688</v>
      </c>
      <c r="M505" t="s">
        <v>688</v>
      </c>
      <c r="N505" t="s">
        <v>688</v>
      </c>
      <c r="O505" s="13">
        <v>1</v>
      </c>
      <c r="P505" t="s">
        <v>688</v>
      </c>
    </row>
    <row r="506" spans="2:16" ht="15">
      <c r="B506" s="9">
        <v>230</v>
      </c>
      <c r="C506" t="str">
        <f ca="1">IFERROR(__xludf.DUMMYFUNCTION((TRANSPOSE(ImportHTML("http://spending.data.al/sq/moneypower/view/id/230/year/2012",  "table", 0)))),"*Kategoria*")</f>
        <v>*Kategoria*</v>
      </c>
      <c r="D506" t="s">
        <v>673</v>
      </c>
      <c r="E506" t="s">
        <v>674</v>
      </c>
      <c r="F506" t="s">
        <v>675</v>
      </c>
      <c r="G506" t="s">
        <v>676</v>
      </c>
      <c r="H506" t="s">
        <v>677</v>
      </c>
      <c r="I506" t="s">
        <v>678</v>
      </c>
      <c r="J506" t="s">
        <v>679</v>
      </c>
      <c r="K506" t="s">
        <v>680</v>
      </c>
      <c r="L506" t="s">
        <v>681</v>
      </c>
      <c r="M506" t="s">
        <v>682</v>
      </c>
      <c r="N506" t="s">
        <v>683</v>
      </c>
      <c r="O506" t="s">
        <v>684</v>
      </c>
      <c r="P506" t="s">
        <v>685</v>
      </c>
    </row>
    <row r="507" spans="2:16" ht="15">
      <c r="B507" s="11"/>
      <c r="C507" t="s">
        <v>686</v>
      </c>
      <c r="D507" t="s">
        <v>3486</v>
      </c>
      <c r="E507" t="s">
        <v>688</v>
      </c>
      <c r="F507" t="s">
        <v>688</v>
      </c>
      <c r="G507" t="s">
        <v>688</v>
      </c>
      <c r="H507" t="s">
        <v>688</v>
      </c>
      <c r="I507" t="s">
        <v>688</v>
      </c>
      <c r="J507" t="s">
        <v>688</v>
      </c>
      <c r="K507" t="s">
        <v>688</v>
      </c>
      <c r="L507" t="s">
        <v>688</v>
      </c>
      <c r="M507" t="s">
        <v>1505</v>
      </c>
      <c r="N507" t="s">
        <v>688</v>
      </c>
      <c r="O507" s="13">
        <v>1</v>
      </c>
      <c r="P507" t="s">
        <v>688</v>
      </c>
    </row>
    <row r="508" spans="2:16" ht="15">
      <c r="B508" s="9">
        <v>231</v>
      </c>
      <c r="C508" t="str">
        <f ca="1">IFERROR(__xludf.DUMMYFUNCTION((TRANSPOSE(ImportHTML("http://spending.data.al/sq/moneypower/view/id/231/year/2012",  "table", 0)))),"*Kategoria*")</f>
        <v>*Kategoria*</v>
      </c>
      <c r="D508" t="s">
        <v>673</v>
      </c>
      <c r="E508" t="s">
        <v>674</v>
      </c>
      <c r="F508" t="s">
        <v>675</v>
      </c>
      <c r="G508" t="s">
        <v>676</v>
      </c>
      <c r="H508" t="s">
        <v>677</v>
      </c>
      <c r="I508" t="s">
        <v>678</v>
      </c>
      <c r="J508" t="s">
        <v>679</v>
      </c>
      <c r="K508" t="s">
        <v>680</v>
      </c>
      <c r="L508" t="s">
        <v>681</v>
      </c>
      <c r="M508" t="s">
        <v>682</v>
      </c>
      <c r="N508" t="s">
        <v>683</v>
      </c>
      <c r="O508" t="s">
        <v>684</v>
      </c>
      <c r="P508" t="s">
        <v>685</v>
      </c>
    </row>
    <row r="509" spans="2:16" ht="15">
      <c r="B509" s="11"/>
      <c r="C509" t="s">
        <v>686</v>
      </c>
      <c r="D509" t="s">
        <v>3487</v>
      </c>
      <c r="E509" t="s">
        <v>1486</v>
      </c>
      <c r="F509" t="s">
        <v>1507</v>
      </c>
      <c r="G509" t="s">
        <v>688</v>
      </c>
      <c r="H509" t="s">
        <v>688</v>
      </c>
      <c r="I509" t="s">
        <v>688</v>
      </c>
      <c r="J509" t="s">
        <v>688</v>
      </c>
      <c r="K509" t="s">
        <v>688</v>
      </c>
      <c r="L509" t="s">
        <v>688</v>
      </c>
      <c r="M509" t="s">
        <v>688</v>
      </c>
      <c r="N509" t="s">
        <v>688</v>
      </c>
      <c r="O509" s="13">
        <v>1.1299999999999999</v>
      </c>
      <c r="P509" t="s">
        <v>688</v>
      </c>
    </row>
    <row r="510" spans="2:16" ht="15">
      <c r="B510" s="9">
        <v>232</v>
      </c>
      <c r="C510" t="str">
        <f ca="1">IFERROR(__xludf.DUMMYFUNCTION((TRANSPOSE(ImportHTML("http://spending.data.al/sq/moneypower/view/id/232/year/2012",  "table", 0)))),"*Kategoria*")</f>
        <v>*Kategoria*</v>
      </c>
      <c r="D510" t="s">
        <v>673</v>
      </c>
      <c r="E510" t="s">
        <v>674</v>
      </c>
      <c r="F510" t="s">
        <v>675</v>
      </c>
      <c r="G510" t="s">
        <v>676</v>
      </c>
      <c r="H510" t="s">
        <v>677</v>
      </c>
      <c r="I510" t="s">
        <v>678</v>
      </c>
      <c r="J510" t="s">
        <v>679</v>
      </c>
      <c r="K510" t="s">
        <v>680</v>
      </c>
      <c r="L510" t="s">
        <v>681</v>
      </c>
      <c r="M510" t="s">
        <v>682</v>
      </c>
      <c r="N510" t="s">
        <v>683</v>
      </c>
      <c r="O510" t="s">
        <v>684</v>
      </c>
      <c r="P510" t="s">
        <v>685</v>
      </c>
    </row>
    <row r="511" spans="2:16" ht="15">
      <c r="B511" s="11"/>
      <c r="C511" t="s">
        <v>686</v>
      </c>
      <c r="D511" t="s">
        <v>3488</v>
      </c>
      <c r="E511" t="s">
        <v>688</v>
      </c>
      <c r="F511" t="s">
        <v>3489</v>
      </c>
      <c r="G511" t="s">
        <v>688</v>
      </c>
      <c r="H511" t="s">
        <v>688</v>
      </c>
      <c r="I511" t="s">
        <v>688</v>
      </c>
      <c r="J511" t="s">
        <v>688</v>
      </c>
      <c r="K511" t="s">
        <v>688</v>
      </c>
      <c r="L511" t="s">
        <v>688</v>
      </c>
      <c r="M511" t="s">
        <v>3490</v>
      </c>
      <c r="N511" t="s">
        <v>688</v>
      </c>
      <c r="O511" s="13">
        <v>1.21</v>
      </c>
      <c r="P511" t="s">
        <v>3491</v>
      </c>
    </row>
    <row r="512" spans="2:16" ht="15">
      <c r="B512" s="9">
        <v>233</v>
      </c>
      <c r="C512" t="str">
        <f ca="1">IFERROR(__xludf.DUMMYFUNCTION((TRANSPOSE(ImportHTML("http://spending.data.al/sq/moneypower/view/id/233/year/2012",  "table", 0)))),"*Kategoria*")</f>
        <v>*Kategoria*</v>
      </c>
      <c r="D512" t="s">
        <v>673</v>
      </c>
      <c r="E512" t="s">
        <v>674</v>
      </c>
      <c r="F512" t="s">
        <v>675</v>
      </c>
      <c r="G512" t="s">
        <v>676</v>
      </c>
      <c r="H512" t="s">
        <v>677</v>
      </c>
      <c r="I512" t="s">
        <v>678</v>
      </c>
      <c r="J512" t="s">
        <v>679</v>
      </c>
      <c r="K512" t="s">
        <v>680</v>
      </c>
      <c r="L512" t="s">
        <v>681</v>
      </c>
      <c r="M512" t="s">
        <v>682</v>
      </c>
      <c r="N512" t="s">
        <v>683</v>
      </c>
      <c r="O512" t="s">
        <v>684</v>
      </c>
      <c r="P512" t="s">
        <v>685</v>
      </c>
    </row>
    <row r="513" spans="2:16" ht="15">
      <c r="B513" s="11"/>
      <c r="C513" t="s">
        <v>686</v>
      </c>
      <c r="D513" t="s">
        <v>3492</v>
      </c>
      <c r="E513" t="s">
        <v>1486</v>
      </c>
      <c r="F513" t="s">
        <v>1512</v>
      </c>
      <c r="G513" t="s">
        <v>3493</v>
      </c>
      <c r="H513" t="s">
        <v>688</v>
      </c>
      <c r="I513" t="s">
        <v>688</v>
      </c>
      <c r="J513" t="s">
        <v>688</v>
      </c>
      <c r="K513" t="s">
        <v>688</v>
      </c>
      <c r="L513" t="s">
        <v>688</v>
      </c>
      <c r="M513" t="s">
        <v>3494</v>
      </c>
      <c r="N513" t="s">
        <v>688</v>
      </c>
      <c r="O513" s="13">
        <v>1.1499999999999999</v>
      </c>
      <c r="P513" t="s">
        <v>688</v>
      </c>
    </row>
    <row r="514" spans="2:16" ht="15">
      <c r="B514" s="9">
        <v>234</v>
      </c>
      <c r="C514" t="str">
        <f ca="1">IFERROR(__xludf.DUMMYFUNCTION((TRANSPOSE(ImportHTML("http://spending.data.al/sq/moneypower/view/id/234/year/2012",  "table", 0)))),"*Kategoria*")</f>
        <v>*Kategoria*</v>
      </c>
      <c r="D514" t="s">
        <v>673</v>
      </c>
      <c r="E514" t="s">
        <v>674</v>
      </c>
      <c r="F514" t="s">
        <v>675</v>
      </c>
      <c r="G514" t="s">
        <v>676</v>
      </c>
      <c r="H514" t="s">
        <v>677</v>
      </c>
      <c r="I514" t="s">
        <v>678</v>
      </c>
      <c r="J514" t="s">
        <v>679</v>
      </c>
      <c r="K514" t="s">
        <v>680</v>
      </c>
      <c r="L514" t="s">
        <v>681</v>
      </c>
      <c r="M514" t="s">
        <v>682</v>
      </c>
      <c r="N514" t="s">
        <v>683</v>
      </c>
      <c r="O514" t="s">
        <v>684</v>
      </c>
      <c r="P514" t="s">
        <v>685</v>
      </c>
    </row>
    <row r="515" spans="2:16" ht="15">
      <c r="B515" s="11"/>
      <c r="C515" t="s">
        <v>686</v>
      </c>
      <c r="D515" t="s">
        <v>3495</v>
      </c>
      <c r="E515" t="s">
        <v>688</v>
      </c>
      <c r="F515" t="s">
        <v>3496</v>
      </c>
      <c r="G515" t="s">
        <v>688</v>
      </c>
      <c r="H515" t="s">
        <v>688</v>
      </c>
      <c r="I515" t="s">
        <v>688</v>
      </c>
      <c r="J515" t="s">
        <v>688</v>
      </c>
      <c r="K515" t="s">
        <v>688</v>
      </c>
      <c r="L515" t="s">
        <v>688</v>
      </c>
      <c r="M515" t="s">
        <v>2576</v>
      </c>
      <c r="N515" t="s">
        <v>688</v>
      </c>
      <c r="O515" s="13">
        <v>1.1100000000000001</v>
      </c>
      <c r="P515" t="s">
        <v>688</v>
      </c>
    </row>
    <row r="516" spans="2:16" ht="15">
      <c r="B516" s="9">
        <v>235</v>
      </c>
      <c r="C516" t="str">
        <f ca="1">IFERROR(__xludf.DUMMYFUNCTION((TRANSPOSE(ImportHTML("http://spending.data.al/sq/moneypower/view/id/235/year/2012",  "table", 0)))),"*Kategoria*")</f>
        <v>*Kategoria*</v>
      </c>
      <c r="D516" t="s">
        <v>673</v>
      </c>
      <c r="E516" t="s">
        <v>674</v>
      </c>
      <c r="F516" t="s">
        <v>675</v>
      </c>
      <c r="G516" t="s">
        <v>676</v>
      </c>
      <c r="H516" t="s">
        <v>677</v>
      </c>
      <c r="I516" t="s">
        <v>678</v>
      </c>
      <c r="J516" t="s">
        <v>679</v>
      </c>
      <c r="K516" t="s">
        <v>680</v>
      </c>
      <c r="L516" t="s">
        <v>681</v>
      </c>
      <c r="M516" t="s">
        <v>682</v>
      </c>
      <c r="N516" t="s">
        <v>683</v>
      </c>
      <c r="O516" t="s">
        <v>684</v>
      </c>
      <c r="P516" t="s">
        <v>685</v>
      </c>
    </row>
    <row r="517" spans="2:16" ht="15">
      <c r="B517" s="11"/>
      <c r="C517" t="s">
        <v>686</v>
      </c>
      <c r="D517" t="s">
        <v>3497</v>
      </c>
      <c r="E517" t="s">
        <v>3498</v>
      </c>
      <c r="F517" t="s">
        <v>3499</v>
      </c>
      <c r="G517" t="s">
        <v>3500</v>
      </c>
      <c r="H517" t="s">
        <v>688</v>
      </c>
      <c r="I517" t="s">
        <v>688</v>
      </c>
      <c r="J517" t="s">
        <v>688</v>
      </c>
      <c r="K517" t="s">
        <v>688</v>
      </c>
      <c r="L517" t="s">
        <v>688</v>
      </c>
      <c r="M517" t="s">
        <v>3501</v>
      </c>
      <c r="N517" t="s">
        <v>688</v>
      </c>
      <c r="O517" s="13">
        <v>1.23</v>
      </c>
      <c r="P517" t="s">
        <v>688</v>
      </c>
    </row>
    <row r="518" spans="2:16" ht="15">
      <c r="B518" s="9">
        <v>236</v>
      </c>
      <c r="C518" t="str">
        <f ca="1">IFERROR(__xludf.DUMMYFUNCTION((TRANSPOSE(ImportHTML("http://spending.data.al/sq/moneypower/view/id/236/year/2012",  "table", 0)))),"*Kategoria*")</f>
        <v>*Kategoria*</v>
      </c>
      <c r="D518" t="s">
        <v>673</v>
      </c>
      <c r="E518" t="s">
        <v>674</v>
      </c>
      <c r="F518" t="s">
        <v>675</v>
      </c>
      <c r="G518" t="s">
        <v>676</v>
      </c>
      <c r="H518" t="s">
        <v>677</v>
      </c>
      <c r="I518" t="s">
        <v>678</v>
      </c>
      <c r="J518" t="s">
        <v>679</v>
      </c>
      <c r="K518" t="s">
        <v>680</v>
      </c>
      <c r="L518" t="s">
        <v>681</v>
      </c>
      <c r="M518" t="s">
        <v>682</v>
      </c>
      <c r="N518" t="s">
        <v>683</v>
      </c>
      <c r="O518" t="s">
        <v>684</v>
      </c>
      <c r="P518" t="s">
        <v>685</v>
      </c>
    </row>
    <row r="519" spans="2:16" ht="15">
      <c r="B519" s="11"/>
      <c r="C519" t="s">
        <v>686</v>
      </c>
      <c r="D519" t="s">
        <v>3502</v>
      </c>
      <c r="E519" t="s">
        <v>688</v>
      </c>
      <c r="F519" t="s">
        <v>688</v>
      </c>
      <c r="G519" t="s">
        <v>688</v>
      </c>
      <c r="H519" t="s">
        <v>688</v>
      </c>
      <c r="I519" t="s">
        <v>3503</v>
      </c>
      <c r="J519" t="s">
        <v>688</v>
      </c>
      <c r="K519" t="s">
        <v>688</v>
      </c>
      <c r="L519" t="s">
        <v>688</v>
      </c>
      <c r="M519" t="s">
        <v>3504</v>
      </c>
      <c r="N519" t="s">
        <v>688</v>
      </c>
      <c r="P519" t="s">
        <v>3505</v>
      </c>
    </row>
    <row r="520" spans="2:16" ht="15">
      <c r="B520" s="9">
        <v>237</v>
      </c>
      <c r="C520" t="str">
        <f ca="1">IFERROR(__xludf.DUMMYFUNCTION((TRANSPOSE(ImportHTML("http://spending.data.al/sq/moneypower/view/id/237/year/2012",  "table", 0)))),"*Emër Subjekti*")</f>
        <v>*Emër Subjekti*</v>
      </c>
      <c r="D520" t="s">
        <v>698</v>
      </c>
      <c r="E520" t="s">
        <v>699</v>
      </c>
      <c r="F520" t="s">
        <v>700</v>
      </c>
      <c r="G520" t="s">
        <v>701</v>
      </c>
      <c r="H520" t="s">
        <v>702</v>
      </c>
    </row>
    <row r="521" spans="2:16" ht="15">
      <c r="B521" s="11"/>
    </row>
    <row r="522" spans="2:16" ht="15">
      <c r="B522" s="11"/>
      <c r="C522" t="s">
        <v>3506</v>
      </c>
      <c r="D522" t="s">
        <v>711</v>
      </c>
      <c r="E522" s="12">
        <v>41526</v>
      </c>
      <c r="F522" t="s">
        <v>712</v>
      </c>
      <c r="G522" t="s">
        <v>3507</v>
      </c>
      <c r="H522" t="s">
        <v>3508</v>
      </c>
    </row>
    <row r="523" spans="2:16" ht="15">
      <c r="B523" s="9">
        <v>238</v>
      </c>
      <c r="C523" t="str">
        <f ca="1">IFERROR(__xludf.DUMMYFUNCTION((TRANSPOSE(ImportHTML("http://spending.data.al/sq/moneypower/view/id/238/year/2012",  "table", 0)))),"*Emër Subjekti*")</f>
        <v>*Emër Subjekti*</v>
      </c>
      <c r="D523" t="s">
        <v>698</v>
      </c>
      <c r="E523" t="s">
        <v>699</v>
      </c>
      <c r="F523" t="s">
        <v>700</v>
      </c>
      <c r="G523" t="s">
        <v>701</v>
      </c>
      <c r="H523" t="s">
        <v>702</v>
      </c>
    </row>
    <row r="524" spans="2:16" ht="15">
      <c r="B524" s="11"/>
    </row>
    <row r="525" spans="2:16" ht="15">
      <c r="B525" s="11"/>
      <c r="C525" t="s">
        <v>3509</v>
      </c>
      <c r="D525" t="s">
        <v>711</v>
      </c>
      <c r="E525" s="12">
        <v>41631</v>
      </c>
      <c r="F525" t="s">
        <v>707</v>
      </c>
      <c r="G525" t="s">
        <v>3510</v>
      </c>
      <c r="H525" t="s">
        <v>3511</v>
      </c>
    </row>
    <row r="526" spans="2:16" ht="15">
      <c r="B526" s="9">
        <v>239</v>
      </c>
      <c r="C526" t="str">
        <f ca="1">IFERROR(__xludf.DUMMYFUNCTION((TRANSPOSE(ImportHTML("http://spending.data.al/sq/moneypower/view/id/239/year/2012",  "table", 0)))),"*Emër Subjekti*")</f>
        <v>*Emër Subjekti*</v>
      </c>
      <c r="D526" t="s">
        <v>698</v>
      </c>
      <c r="E526" t="s">
        <v>699</v>
      </c>
      <c r="F526" t="s">
        <v>700</v>
      </c>
      <c r="G526" t="s">
        <v>701</v>
      </c>
      <c r="H526" t="s">
        <v>702</v>
      </c>
    </row>
    <row r="527" spans="2:16" ht="15">
      <c r="B527" s="11"/>
    </row>
    <row r="528" spans="2:16" ht="15">
      <c r="B528" s="11"/>
      <c r="C528" t="s">
        <v>3512</v>
      </c>
      <c r="D528" t="s">
        <v>3513</v>
      </c>
      <c r="E528" s="12">
        <v>40323</v>
      </c>
      <c r="F528" t="s">
        <v>707</v>
      </c>
      <c r="G528" t="s">
        <v>3514</v>
      </c>
      <c r="H528" t="s">
        <v>3515</v>
      </c>
    </row>
    <row r="529" spans="2:8" ht="15">
      <c r="B529" s="9">
        <v>240</v>
      </c>
      <c r="C529" t="str">
        <f ca="1">IFERROR(__xludf.DUMMYFUNCTION((TRANSPOSE(ImportHTML("http://spending.data.al/sq/moneypower/view/id/240/year/2012",  "table", 0)))),"*Emër Subjekti*")</f>
        <v>*Emër Subjekti*</v>
      </c>
      <c r="D529" t="s">
        <v>698</v>
      </c>
      <c r="E529" t="s">
        <v>699</v>
      </c>
      <c r="F529" t="s">
        <v>700</v>
      </c>
      <c r="G529" t="s">
        <v>701</v>
      </c>
      <c r="H529" t="s">
        <v>702</v>
      </c>
    </row>
    <row r="530" spans="2:8" ht="15">
      <c r="B530" s="11"/>
    </row>
    <row r="531" spans="2:8" ht="15">
      <c r="B531" s="11"/>
      <c r="C531" t="s">
        <v>3516</v>
      </c>
      <c r="D531" t="s">
        <v>3513</v>
      </c>
      <c r="E531" s="12">
        <v>40323</v>
      </c>
      <c r="F531" t="s">
        <v>707</v>
      </c>
      <c r="G531" t="s">
        <v>3517</v>
      </c>
      <c r="H531" t="s">
        <v>3518</v>
      </c>
    </row>
    <row r="532" spans="2:8" ht="15">
      <c r="B532" s="9">
        <v>241</v>
      </c>
      <c r="C532" t="str">
        <f ca="1">IFERROR(__xludf.DUMMYFUNCTION((TRANSPOSE(ImportHTML("http://spending.data.al/sq/moneypower/view/id/241/year/2012",  "table", 0)))),"*Emër Subjekti*")</f>
        <v>*Emër Subjekti*</v>
      </c>
      <c r="D532" t="s">
        <v>698</v>
      </c>
      <c r="E532" t="s">
        <v>699</v>
      </c>
      <c r="F532" t="s">
        <v>700</v>
      </c>
      <c r="G532" t="s">
        <v>701</v>
      </c>
      <c r="H532" t="s">
        <v>702</v>
      </c>
    </row>
    <row r="533" spans="2:8" ht="15">
      <c r="B533" s="11"/>
    </row>
    <row r="534" spans="2:8" ht="15">
      <c r="B534" s="11"/>
      <c r="C534" t="s">
        <v>3519</v>
      </c>
      <c r="D534" t="s">
        <v>3513</v>
      </c>
      <c r="E534" s="12">
        <v>41372</v>
      </c>
      <c r="F534" t="s">
        <v>707</v>
      </c>
      <c r="G534" t="s">
        <v>3520</v>
      </c>
      <c r="H534" t="s">
        <v>3521</v>
      </c>
    </row>
    <row r="535" spans="2:8" ht="15">
      <c r="B535" s="9">
        <v>242</v>
      </c>
      <c r="C535" t="str">
        <f ca="1">IFERROR(__xludf.DUMMYFUNCTION((TRANSPOSE(ImportHTML("http://spending.data.al/sq/moneypower/view/id/242/year/2012",  "table", 0)))),"*Emër Subjekti*")</f>
        <v>*Emër Subjekti*</v>
      </c>
      <c r="D535" t="s">
        <v>698</v>
      </c>
      <c r="E535" t="s">
        <v>699</v>
      </c>
      <c r="F535" t="s">
        <v>700</v>
      </c>
      <c r="G535" t="s">
        <v>701</v>
      </c>
      <c r="H535" t="s">
        <v>702</v>
      </c>
    </row>
    <row r="536" spans="2:8" ht="15">
      <c r="B536" s="11"/>
    </row>
    <row r="537" spans="2:8" ht="15">
      <c r="B537" s="11"/>
      <c r="C537" t="s">
        <v>3522</v>
      </c>
      <c r="D537" t="s">
        <v>3513</v>
      </c>
      <c r="E537" s="12">
        <v>40728</v>
      </c>
      <c r="F537" t="s">
        <v>707</v>
      </c>
      <c r="G537" t="s">
        <v>3523</v>
      </c>
      <c r="H537" t="s">
        <v>3524</v>
      </c>
    </row>
    <row r="538" spans="2:8" ht="15">
      <c r="B538" s="9">
        <v>243</v>
      </c>
      <c r="C538" t="str">
        <f ca="1">IFERROR(__xludf.DUMMYFUNCTION((TRANSPOSE(ImportHTML("http://spending.data.al/sq/moneypower/view/id/243/year/2012",  "table", 0)))),"*Emër Subjekti*")</f>
        <v>*Emër Subjekti*</v>
      </c>
      <c r="D538" t="s">
        <v>698</v>
      </c>
      <c r="E538" t="s">
        <v>699</v>
      </c>
      <c r="F538" t="s">
        <v>700</v>
      </c>
      <c r="G538" t="s">
        <v>701</v>
      </c>
      <c r="H538" t="s">
        <v>702</v>
      </c>
    </row>
    <row r="539" spans="2:8" ht="15">
      <c r="B539" s="11"/>
    </row>
    <row r="540" spans="2:8" ht="15">
      <c r="B540" s="11"/>
      <c r="C540" t="s">
        <v>3525</v>
      </c>
      <c r="D540" t="s">
        <v>3513</v>
      </c>
      <c r="E540" s="12">
        <v>41396</v>
      </c>
      <c r="F540" t="s">
        <v>707</v>
      </c>
      <c r="G540" t="s">
        <v>3526</v>
      </c>
      <c r="H540" t="s">
        <v>3527</v>
      </c>
    </row>
    <row r="541" spans="2:8" ht="15">
      <c r="B541" s="9">
        <v>244</v>
      </c>
      <c r="C541" t="str">
        <f ca="1">IFERROR(__xludf.DUMMYFUNCTION((TRANSPOSE(ImportHTML("http://spending.data.al/sq/moneypower/view/id/244/year/2012",  "table", 0)))),"*Emër Subjekti*")</f>
        <v>*Emër Subjekti*</v>
      </c>
      <c r="D541" t="s">
        <v>698</v>
      </c>
      <c r="E541" t="s">
        <v>699</v>
      </c>
      <c r="F541" t="s">
        <v>700</v>
      </c>
      <c r="G541" t="s">
        <v>701</v>
      </c>
      <c r="H541" t="s">
        <v>702</v>
      </c>
    </row>
    <row r="542" spans="2:8" ht="15">
      <c r="B542" s="11"/>
    </row>
    <row r="543" spans="2:8" ht="15">
      <c r="B543" s="11"/>
      <c r="C543" t="s">
        <v>3528</v>
      </c>
      <c r="D543" t="s">
        <v>3513</v>
      </c>
      <c r="E543" s="12">
        <v>39197</v>
      </c>
      <c r="F543" t="s">
        <v>707</v>
      </c>
      <c r="G543" t="s">
        <v>3529</v>
      </c>
      <c r="H543" t="s">
        <v>3530</v>
      </c>
    </row>
    <row r="544" spans="2:8" ht="15">
      <c r="B544" s="9">
        <v>245</v>
      </c>
      <c r="C544" t="str">
        <f ca="1">IFERROR(__xludf.DUMMYFUNCTION((TRANSPOSE(ImportHTML("http://spending.data.al/sq/moneypower/view/id/245/year/2012",  "table", 0)))),"*Emër Subjekti*")</f>
        <v>*Emër Subjekti*</v>
      </c>
      <c r="D544" t="s">
        <v>698</v>
      </c>
      <c r="E544" t="s">
        <v>699</v>
      </c>
      <c r="F544" t="s">
        <v>700</v>
      </c>
      <c r="G544" t="s">
        <v>701</v>
      </c>
      <c r="H544" t="s">
        <v>702</v>
      </c>
    </row>
    <row r="545" spans="2:16" ht="15">
      <c r="B545" s="11"/>
    </row>
    <row r="546" spans="2:16" ht="15">
      <c r="B546" s="11"/>
      <c r="C546" t="s">
        <v>3531</v>
      </c>
      <c r="D546" t="s">
        <v>3513</v>
      </c>
      <c r="E546" t="s">
        <v>3532</v>
      </c>
      <c r="F546" t="s">
        <v>707</v>
      </c>
      <c r="G546" t="s">
        <v>3533</v>
      </c>
      <c r="H546" t="s">
        <v>3534</v>
      </c>
    </row>
    <row r="547" spans="2:16" ht="15">
      <c r="B547" s="9">
        <v>246</v>
      </c>
      <c r="C547" t="str">
        <f ca="1">IFERROR(__xludf.DUMMYFUNCTION((TRANSPOSE(ImportHTML("http://spending.data.al/sq/moneypower/view/id/246/year/2012",  "table", 0)))),"*Emër Subjekti*")</f>
        <v>*Emër Subjekti*</v>
      </c>
      <c r="D547" t="s">
        <v>698</v>
      </c>
      <c r="E547" t="s">
        <v>699</v>
      </c>
      <c r="F547" t="s">
        <v>700</v>
      </c>
      <c r="G547" t="s">
        <v>701</v>
      </c>
      <c r="H547" t="s">
        <v>702</v>
      </c>
    </row>
    <row r="548" spans="2:16" ht="15">
      <c r="B548" s="11"/>
    </row>
    <row r="549" spans="2:16" ht="15">
      <c r="B549" s="11"/>
      <c r="C549" t="s">
        <v>3535</v>
      </c>
      <c r="D549" t="s">
        <v>3513</v>
      </c>
      <c r="E549" s="12">
        <v>41335</v>
      </c>
      <c r="F549" t="s">
        <v>707</v>
      </c>
      <c r="G549" t="s">
        <v>3536</v>
      </c>
      <c r="H549" t="s">
        <v>3537</v>
      </c>
    </row>
    <row r="550" spans="2:16" ht="15">
      <c r="B550" s="9">
        <v>247</v>
      </c>
      <c r="C550" t="str">
        <f ca="1">IFERROR(__xludf.DUMMYFUNCTION((TRANSPOSE(ImportHTML("http://spending.data.al/sq/moneypower/view/id/247/year/2012",  "table", 0)))),"*Emër Subjekti*")</f>
        <v>*Emër Subjekti*</v>
      </c>
      <c r="D550" t="s">
        <v>698</v>
      </c>
      <c r="E550" t="s">
        <v>699</v>
      </c>
      <c r="F550" t="s">
        <v>700</v>
      </c>
      <c r="G550" t="s">
        <v>701</v>
      </c>
      <c r="H550" t="s">
        <v>702</v>
      </c>
    </row>
    <row r="551" spans="2:16" ht="15">
      <c r="B551" s="11"/>
    </row>
    <row r="552" spans="2:16" ht="15">
      <c r="B552" s="11"/>
      <c r="C552" t="s">
        <v>3538</v>
      </c>
      <c r="D552" t="s">
        <v>3513</v>
      </c>
      <c r="E552" s="12">
        <v>39517</v>
      </c>
      <c r="F552" t="s">
        <v>707</v>
      </c>
      <c r="G552" t="s">
        <v>3539</v>
      </c>
      <c r="H552" t="s">
        <v>3540</v>
      </c>
    </row>
    <row r="553" spans="2:16" ht="15">
      <c r="B553" s="9">
        <v>248</v>
      </c>
      <c r="C553" t="str">
        <f ca="1">IFERROR(__xludf.DUMMYFUNCTION((TRANSPOSE(ImportHTML("http://spending.data.al/sq/moneypower/view/id/248/year/2012",  "table", 0)))),"*Kategoria*")</f>
        <v>*Kategoria*</v>
      </c>
      <c r="D553" t="s">
        <v>673</v>
      </c>
      <c r="E553" t="s">
        <v>674</v>
      </c>
      <c r="F553" t="s">
        <v>675</v>
      </c>
      <c r="G553" t="s">
        <v>676</v>
      </c>
      <c r="H553" t="s">
        <v>677</v>
      </c>
      <c r="I553" t="s">
        <v>678</v>
      </c>
      <c r="J553" t="s">
        <v>679</v>
      </c>
      <c r="K553" t="s">
        <v>680</v>
      </c>
      <c r="L553" t="s">
        <v>681</v>
      </c>
      <c r="M553" t="s">
        <v>682</v>
      </c>
      <c r="N553" t="s">
        <v>683</v>
      </c>
      <c r="O553" t="s">
        <v>684</v>
      </c>
      <c r="P553" t="s">
        <v>685</v>
      </c>
    </row>
    <row r="554" spans="2:16" ht="15">
      <c r="B554" s="11"/>
      <c r="C554" t="s">
        <v>686</v>
      </c>
      <c r="D554" t="s">
        <v>3541</v>
      </c>
      <c r="E554" t="s">
        <v>688</v>
      </c>
      <c r="F554" t="s">
        <v>1562</v>
      </c>
      <c r="G554" t="s">
        <v>688</v>
      </c>
      <c r="H554" t="s">
        <v>1563</v>
      </c>
      <c r="I554" t="s">
        <v>688</v>
      </c>
      <c r="J554" t="s">
        <v>688</v>
      </c>
      <c r="K554" t="s">
        <v>688</v>
      </c>
      <c r="L554" t="s">
        <v>688</v>
      </c>
      <c r="M554" t="s">
        <v>688</v>
      </c>
      <c r="N554" t="s">
        <v>688</v>
      </c>
      <c r="O554" s="13">
        <v>1.64</v>
      </c>
      <c r="P554" t="s">
        <v>3542</v>
      </c>
    </row>
    <row r="555" spans="2:16" ht="15">
      <c r="B555" s="9">
        <v>249</v>
      </c>
      <c r="C555" t="str">
        <f ca="1">IFERROR(__xludf.DUMMYFUNCTION((TRANSPOSE(ImportHTML("http://spending.data.al/sq/moneypower/view/id/249/year/2012",  "table", 0)))),"*Kategoria*")</f>
        <v>*Kategoria*</v>
      </c>
      <c r="D555" t="s">
        <v>673</v>
      </c>
      <c r="E555" t="s">
        <v>674</v>
      </c>
      <c r="F555" t="s">
        <v>675</v>
      </c>
      <c r="G555" t="s">
        <v>676</v>
      </c>
      <c r="H555" t="s">
        <v>677</v>
      </c>
      <c r="I555" t="s">
        <v>678</v>
      </c>
      <c r="J555" t="s">
        <v>679</v>
      </c>
      <c r="K555" t="s">
        <v>680</v>
      </c>
      <c r="L555" t="s">
        <v>681</v>
      </c>
      <c r="M555" t="s">
        <v>682</v>
      </c>
      <c r="N555" t="s">
        <v>683</v>
      </c>
      <c r="O555" t="s">
        <v>684</v>
      </c>
      <c r="P555" t="s">
        <v>685</v>
      </c>
    </row>
    <row r="556" spans="2:16" ht="15">
      <c r="B556" s="11"/>
      <c r="C556" t="s">
        <v>686</v>
      </c>
      <c r="D556" t="s">
        <v>3543</v>
      </c>
      <c r="E556" t="s">
        <v>688</v>
      </c>
      <c r="F556" t="s">
        <v>688</v>
      </c>
      <c r="G556" t="s">
        <v>3544</v>
      </c>
      <c r="H556" t="s">
        <v>688</v>
      </c>
      <c r="I556" t="s">
        <v>688</v>
      </c>
      <c r="J556" t="s">
        <v>688</v>
      </c>
      <c r="K556" t="s">
        <v>688</v>
      </c>
      <c r="L556" t="s">
        <v>688</v>
      </c>
      <c r="M556" t="s">
        <v>3545</v>
      </c>
      <c r="N556" t="s">
        <v>688</v>
      </c>
      <c r="O556" s="13">
        <v>1</v>
      </c>
      <c r="P556" t="s">
        <v>3546</v>
      </c>
    </row>
    <row r="557" spans="2:16" ht="15">
      <c r="B557" s="9">
        <v>250</v>
      </c>
      <c r="C557" t="str">
        <f ca="1">IFERROR(__xludf.DUMMYFUNCTION((TRANSPOSE(ImportHTML("http://spending.data.al/sq/moneypower/view/id/250/year/2012",  "table", 0)))),"*Kategoria*")</f>
        <v>*Kategoria*</v>
      </c>
      <c r="D557" t="s">
        <v>673</v>
      </c>
      <c r="E557" t="s">
        <v>674</v>
      </c>
      <c r="F557" t="s">
        <v>675</v>
      </c>
      <c r="G557" t="s">
        <v>676</v>
      </c>
      <c r="H557" t="s">
        <v>677</v>
      </c>
      <c r="I557" t="s">
        <v>678</v>
      </c>
      <c r="J557" t="s">
        <v>679</v>
      </c>
      <c r="K557" t="s">
        <v>680</v>
      </c>
      <c r="L557" t="s">
        <v>681</v>
      </c>
      <c r="M557" t="s">
        <v>682</v>
      </c>
      <c r="N557" t="s">
        <v>683</v>
      </c>
      <c r="O557" t="s">
        <v>684</v>
      </c>
      <c r="P557" t="s">
        <v>685</v>
      </c>
    </row>
    <row r="558" spans="2:16" ht="15">
      <c r="B558" s="11"/>
      <c r="C558" t="s">
        <v>686</v>
      </c>
      <c r="D558" t="s">
        <v>3547</v>
      </c>
      <c r="E558" t="s">
        <v>688</v>
      </c>
      <c r="F558" t="s">
        <v>688</v>
      </c>
      <c r="G558" t="s">
        <v>688</v>
      </c>
      <c r="H558" t="s">
        <v>688</v>
      </c>
      <c r="I558" t="s">
        <v>688</v>
      </c>
      <c r="J558" t="s">
        <v>688</v>
      </c>
      <c r="K558" t="s">
        <v>688</v>
      </c>
      <c r="L558" t="s">
        <v>688</v>
      </c>
      <c r="M558" t="s">
        <v>3548</v>
      </c>
      <c r="N558" t="s">
        <v>688</v>
      </c>
      <c r="O558" s="13">
        <v>1</v>
      </c>
      <c r="P558" t="s">
        <v>3549</v>
      </c>
    </row>
    <row r="559" spans="2:16" ht="15">
      <c r="B559" s="9">
        <v>251</v>
      </c>
      <c r="C559" t="str">
        <f ca="1">IFERROR(__xludf.DUMMYFUNCTION((TRANSPOSE(ImportHTML("http://spending.data.al/sq/moneypower/view/id/251/year/2012",  "table", 0)))),"*Kategoria*")</f>
        <v>*Kategoria*</v>
      </c>
      <c r="D559" t="s">
        <v>673</v>
      </c>
      <c r="E559" t="s">
        <v>674</v>
      </c>
      <c r="F559" t="s">
        <v>675</v>
      </c>
      <c r="G559" t="s">
        <v>676</v>
      </c>
      <c r="H559" t="s">
        <v>677</v>
      </c>
      <c r="I559" t="s">
        <v>678</v>
      </c>
      <c r="J559" t="s">
        <v>679</v>
      </c>
      <c r="K559" t="s">
        <v>680</v>
      </c>
      <c r="L559" t="s">
        <v>681</v>
      </c>
      <c r="M559" t="s">
        <v>682</v>
      </c>
      <c r="N559" t="s">
        <v>683</v>
      </c>
      <c r="O559" t="s">
        <v>684</v>
      </c>
      <c r="P559" t="s">
        <v>685</v>
      </c>
    </row>
    <row r="560" spans="2:16" ht="15">
      <c r="B560" s="11"/>
      <c r="C560" t="s">
        <v>686</v>
      </c>
      <c r="D560" t="s">
        <v>688</v>
      </c>
      <c r="E560" t="s">
        <v>688</v>
      </c>
      <c r="F560" t="s">
        <v>688</v>
      </c>
      <c r="G560" t="s">
        <v>688</v>
      </c>
      <c r="H560" t="s">
        <v>688</v>
      </c>
      <c r="I560" t="s">
        <v>688</v>
      </c>
      <c r="J560" t="s">
        <v>688</v>
      </c>
      <c r="K560" t="s">
        <v>688</v>
      </c>
      <c r="L560" t="s">
        <v>688</v>
      </c>
      <c r="M560" t="s">
        <v>688</v>
      </c>
      <c r="N560" t="s">
        <v>688</v>
      </c>
      <c r="P560" t="s">
        <v>3550</v>
      </c>
    </row>
    <row r="561" spans="2:16" ht="15">
      <c r="B561" s="9">
        <v>252</v>
      </c>
      <c r="C561" t="str">
        <f ca="1">IFERROR(__xludf.DUMMYFUNCTION((TRANSPOSE(ImportHTML("http://spending.data.al/sq/moneypower/view/id/252/year/2012",  "table", 0)))),"*Emër Subjekti*")</f>
        <v>*Emër Subjekti*</v>
      </c>
      <c r="D561" t="s">
        <v>698</v>
      </c>
      <c r="E561" t="s">
        <v>699</v>
      </c>
      <c r="F561" t="s">
        <v>700</v>
      </c>
      <c r="G561" t="s">
        <v>701</v>
      </c>
      <c r="H561" t="s">
        <v>702</v>
      </c>
    </row>
    <row r="562" spans="2:16" ht="15">
      <c r="B562" s="11"/>
    </row>
    <row r="563" spans="2:16" ht="15">
      <c r="B563" s="11"/>
      <c r="C563" t="s">
        <v>3551</v>
      </c>
      <c r="D563" t="s">
        <v>711</v>
      </c>
      <c r="E563" s="12">
        <v>41636</v>
      </c>
      <c r="F563" t="s">
        <v>712</v>
      </c>
      <c r="G563" t="s">
        <v>3552</v>
      </c>
      <c r="H563" t="s">
        <v>3553</v>
      </c>
    </row>
    <row r="564" spans="2:16" ht="15">
      <c r="B564" s="9">
        <v>253</v>
      </c>
      <c r="C564" t="str">
        <f ca="1">IFERROR(__xludf.DUMMYFUNCTION((TRANSPOSE(ImportHTML("http://spending.data.al/sq/moneypower/view/id/253/year/2012",  "table", 0)))),"*Emër Subjekti*")</f>
        <v>*Emër Subjekti*</v>
      </c>
      <c r="D564" t="s">
        <v>698</v>
      </c>
      <c r="E564" t="s">
        <v>699</v>
      </c>
      <c r="F564" t="s">
        <v>700</v>
      </c>
      <c r="G564" t="s">
        <v>701</v>
      </c>
      <c r="H564" t="s">
        <v>702</v>
      </c>
    </row>
    <row r="565" spans="2:16" ht="15">
      <c r="B565" s="11"/>
    </row>
    <row r="566" spans="2:16" ht="15">
      <c r="B566" s="11"/>
      <c r="C566" t="s">
        <v>3554</v>
      </c>
      <c r="D566" t="s">
        <v>711</v>
      </c>
      <c r="E566" s="12">
        <v>41526</v>
      </c>
      <c r="F566" t="s">
        <v>712</v>
      </c>
      <c r="G566" t="s">
        <v>3555</v>
      </c>
      <c r="H566" t="s">
        <v>3556</v>
      </c>
    </row>
    <row r="567" spans="2:16" ht="15">
      <c r="B567" s="9">
        <v>254</v>
      </c>
      <c r="C567" t="str">
        <f ca="1">IFERROR(__xludf.DUMMYFUNCTION((TRANSPOSE(ImportHTML("http://spending.data.al/sq/moneypower/view/id/254/year/2012",  "table", 0)))),"*Kategoria*")</f>
        <v>*Kategoria*</v>
      </c>
      <c r="D567" t="s">
        <v>673</v>
      </c>
      <c r="E567" t="s">
        <v>674</v>
      </c>
      <c r="F567" t="s">
        <v>675</v>
      </c>
      <c r="G567" t="s">
        <v>676</v>
      </c>
      <c r="H567" t="s">
        <v>677</v>
      </c>
      <c r="I567" t="s">
        <v>678</v>
      </c>
      <c r="J567" t="s">
        <v>679</v>
      </c>
      <c r="K567" t="s">
        <v>680</v>
      </c>
      <c r="L567" t="s">
        <v>681</v>
      </c>
      <c r="M567" t="s">
        <v>682</v>
      </c>
      <c r="N567" t="s">
        <v>683</v>
      </c>
      <c r="O567" t="s">
        <v>684</v>
      </c>
      <c r="P567" t="s">
        <v>685</v>
      </c>
    </row>
    <row r="568" spans="2:16" ht="15">
      <c r="B568" s="11"/>
      <c r="C568" t="s">
        <v>686</v>
      </c>
      <c r="D568" t="s">
        <v>3557</v>
      </c>
      <c r="E568" t="s">
        <v>688</v>
      </c>
      <c r="F568" t="s">
        <v>688</v>
      </c>
      <c r="G568" t="s">
        <v>3558</v>
      </c>
      <c r="H568" t="s">
        <v>688</v>
      </c>
      <c r="I568" t="s">
        <v>688</v>
      </c>
      <c r="J568" t="s">
        <v>688</v>
      </c>
      <c r="K568" t="s">
        <v>688</v>
      </c>
      <c r="L568" t="s">
        <v>688</v>
      </c>
      <c r="M568" t="s">
        <v>3559</v>
      </c>
      <c r="N568" t="s">
        <v>3560</v>
      </c>
      <c r="O568" s="13">
        <v>1.08</v>
      </c>
      <c r="P568" t="s">
        <v>3561</v>
      </c>
    </row>
    <row r="569" spans="2:16" ht="15">
      <c r="B569" s="9">
        <v>255</v>
      </c>
      <c r="C569" t="str">
        <f ca="1">IFERROR(__xludf.DUMMYFUNCTION((TRANSPOSE(ImportHTML("http://spending.data.al/sq/moneypower/view/id/255/year/2012",  "table", 0)))),"*Kategoria*")</f>
        <v>*Kategoria*</v>
      </c>
      <c r="D569" t="s">
        <v>673</v>
      </c>
      <c r="E569" t="s">
        <v>674</v>
      </c>
      <c r="F569" t="s">
        <v>675</v>
      </c>
      <c r="G569" t="s">
        <v>676</v>
      </c>
      <c r="H569" t="s">
        <v>677</v>
      </c>
      <c r="I569" t="s">
        <v>678</v>
      </c>
      <c r="J569" t="s">
        <v>679</v>
      </c>
      <c r="K569" t="s">
        <v>680</v>
      </c>
      <c r="L569" t="s">
        <v>681</v>
      </c>
      <c r="M569" t="s">
        <v>682</v>
      </c>
      <c r="N569" t="s">
        <v>683</v>
      </c>
      <c r="O569" t="s">
        <v>684</v>
      </c>
      <c r="P569" t="s">
        <v>685</v>
      </c>
    </row>
    <row r="570" spans="2:16" ht="15">
      <c r="B570" s="11"/>
      <c r="C570" t="s">
        <v>686</v>
      </c>
      <c r="D570" t="s">
        <v>3562</v>
      </c>
      <c r="E570" t="s">
        <v>688</v>
      </c>
      <c r="F570" t="s">
        <v>688</v>
      </c>
      <c r="G570" t="s">
        <v>688</v>
      </c>
      <c r="H570" t="s">
        <v>3563</v>
      </c>
      <c r="I570" t="s">
        <v>688</v>
      </c>
      <c r="J570" t="s">
        <v>688</v>
      </c>
      <c r="K570" t="s">
        <v>688</v>
      </c>
      <c r="L570" t="s">
        <v>688</v>
      </c>
      <c r="M570" t="s">
        <v>3564</v>
      </c>
      <c r="N570" t="s">
        <v>688</v>
      </c>
      <c r="O570" s="13">
        <v>2.37</v>
      </c>
      <c r="P570" t="s">
        <v>3565</v>
      </c>
    </row>
    <row r="571" spans="2:16" ht="15">
      <c r="B571" s="9">
        <v>256</v>
      </c>
      <c r="C571" t="str">
        <f ca="1">IFERROR(__xludf.DUMMYFUNCTION((TRANSPOSE(ImportHTML("http://spending.data.al/sq/moneypower/view/id/256/year/2012",  "table", 0)))),"*Kategoria*")</f>
        <v>*Kategoria*</v>
      </c>
      <c r="D571" t="s">
        <v>673</v>
      </c>
      <c r="E571" t="s">
        <v>674</v>
      </c>
      <c r="F571" t="s">
        <v>675</v>
      </c>
      <c r="G571" t="s">
        <v>676</v>
      </c>
      <c r="H571" t="s">
        <v>677</v>
      </c>
      <c r="I571" t="s">
        <v>678</v>
      </c>
      <c r="J571" t="s">
        <v>679</v>
      </c>
      <c r="K571" t="s">
        <v>680</v>
      </c>
      <c r="L571" t="s">
        <v>681</v>
      </c>
      <c r="M571" t="s">
        <v>682</v>
      </c>
      <c r="N571" t="s">
        <v>683</v>
      </c>
      <c r="O571" t="s">
        <v>684</v>
      </c>
      <c r="P571" t="s">
        <v>685</v>
      </c>
    </row>
    <row r="572" spans="2:16" ht="15">
      <c r="B572" s="11"/>
      <c r="C572" t="s">
        <v>686</v>
      </c>
      <c r="D572" t="s">
        <v>3566</v>
      </c>
      <c r="E572" t="s">
        <v>688</v>
      </c>
      <c r="F572" t="s">
        <v>688</v>
      </c>
      <c r="G572" t="s">
        <v>3567</v>
      </c>
      <c r="H572" t="s">
        <v>688</v>
      </c>
      <c r="I572" t="s">
        <v>688</v>
      </c>
      <c r="J572" t="s">
        <v>688</v>
      </c>
      <c r="K572" t="s">
        <v>688</v>
      </c>
      <c r="L572" t="s">
        <v>688</v>
      </c>
      <c r="M572" t="s">
        <v>3568</v>
      </c>
      <c r="N572" t="s">
        <v>688</v>
      </c>
      <c r="O572" s="13">
        <v>1.1599999999999999</v>
      </c>
      <c r="P572" t="s">
        <v>3569</v>
      </c>
    </row>
    <row r="573" spans="2:16" ht="15">
      <c r="B573" s="9">
        <v>257</v>
      </c>
      <c r="C573" t="str">
        <f ca="1">IFERROR(__xludf.DUMMYFUNCTION((TRANSPOSE(ImportHTML("http://spending.data.al/sq/moneypower/view/id/257/year/2012",  "table", 0)))),"*Kategoria*")</f>
        <v>*Kategoria*</v>
      </c>
      <c r="D573" t="s">
        <v>673</v>
      </c>
      <c r="E573" t="s">
        <v>674</v>
      </c>
      <c r="F573" t="s">
        <v>675</v>
      </c>
      <c r="G573" t="s">
        <v>676</v>
      </c>
      <c r="H573" t="s">
        <v>677</v>
      </c>
      <c r="I573" t="s">
        <v>678</v>
      </c>
      <c r="J573" t="s">
        <v>679</v>
      </c>
      <c r="K573" t="s">
        <v>680</v>
      </c>
      <c r="L573" t="s">
        <v>681</v>
      </c>
      <c r="M573" t="s">
        <v>682</v>
      </c>
      <c r="N573" t="s">
        <v>683</v>
      </c>
      <c r="O573" t="s">
        <v>684</v>
      </c>
      <c r="P573" t="s">
        <v>685</v>
      </c>
    </row>
    <row r="574" spans="2:16" ht="15">
      <c r="B574" s="11"/>
      <c r="C574" t="s">
        <v>686</v>
      </c>
      <c r="D574" t="s">
        <v>3570</v>
      </c>
      <c r="E574" t="s">
        <v>688</v>
      </c>
      <c r="F574" t="s">
        <v>688</v>
      </c>
      <c r="G574" t="s">
        <v>688</v>
      </c>
      <c r="H574" t="s">
        <v>688</v>
      </c>
      <c r="I574" t="s">
        <v>688</v>
      </c>
      <c r="J574" t="s">
        <v>688</v>
      </c>
      <c r="K574" t="s">
        <v>688</v>
      </c>
      <c r="L574" t="s">
        <v>688</v>
      </c>
      <c r="M574" t="s">
        <v>688</v>
      </c>
      <c r="N574" t="s">
        <v>688</v>
      </c>
      <c r="O574" s="13">
        <v>1</v>
      </c>
      <c r="P574" t="s">
        <v>3571</v>
      </c>
    </row>
    <row r="575" spans="2:16" ht="15">
      <c r="B575" s="9">
        <v>258</v>
      </c>
      <c r="C575" t="str">
        <f ca="1">IFERROR(__xludf.DUMMYFUNCTION((TRANSPOSE(ImportHTML("http://spending.data.al/sq/moneypower/view/id/258/year/2012",  "table", 0)))),"*Emër Subjekti*")</f>
        <v>*Emër Subjekti*</v>
      </c>
      <c r="D575" t="s">
        <v>698</v>
      </c>
      <c r="E575" t="s">
        <v>699</v>
      </c>
      <c r="F575" t="s">
        <v>700</v>
      </c>
      <c r="G575" t="s">
        <v>701</v>
      </c>
      <c r="H575" t="s">
        <v>702</v>
      </c>
    </row>
    <row r="576" spans="2:16" ht="15">
      <c r="B576" s="11"/>
    </row>
    <row r="577" spans="2:16" ht="15">
      <c r="B577" s="11"/>
      <c r="C577" t="s">
        <v>4420</v>
      </c>
      <c r="D577" t="s">
        <v>711</v>
      </c>
      <c r="E577" s="12">
        <v>41526</v>
      </c>
      <c r="F577" t="s">
        <v>712</v>
      </c>
      <c r="G577" t="s">
        <v>4421</v>
      </c>
      <c r="H577" t="s">
        <v>4422</v>
      </c>
    </row>
    <row r="578" spans="2:16" ht="15">
      <c r="B578" s="9">
        <v>259</v>
      </c>
      <c r="C578" t="str">
        <f ca="1">IFERROR(__xludf.DUMMYFUNCTION((TRANSPOSE(ImportHTML("http://spending.data.al/sq/moneypower/view/id/259/year/2012",  "table", 0)))),"*Kategoria*")</f>
        <v>*Kategoria*</v>
      </c>
      <c r="D578" t="s">
        <v>673</v>
      </c>
      <c r="E578" t="s">
        <v>674</v>
      </c>
      <c r="F578" t="s">
        <v>675</v>
      </c>
      <c r="G578" t="s">
        <v>676</v>
      </c>
      <c r="H578" t="s">
        <v>677</v>
      </c>
      <c r="I578" t="s">
        <v>678</v>
      </c>
      <c r="J578" t="s">
        <v>679</v>
      </c>
      <c r="K578" t="s">
        <v>680</v>
      </c>
      <c r="L578" t="s">
        <v>681</v>
      </c>
      <c r="M578" t="s">
        <v>682</v>
      </c>
      <c r="N578" t="s">
        <v>683</v>
      </c>
      <c r="O578" t="s">
        <v>684</v>
      </c>
      <c r="P578" t="s">
        <v>685</v>
      </c>
    </row>
    <row r="579" spans="2:16" ht="15">
      <c r="B579" s="11"/>
      <c r="C579" t="s">
        <v>686</v>
      </c>
      <c r="D579" t="s">
        <v>3572</v>
      </c>
      <c r="E579" t="s">
        <v>688</v>
      </c>
      <c r="F579" t="s">
        <v>688</v>
      </c>
      <c r="G579" t="s">
        <v>688</v>
      </c>
      <c r="H579" t="s">
        <v>688</v>
      </c>
      <c r="I579" t="s">
        <v>688</v>
      </c>
      <c r="J579" t="s">
        <v>688</v>
      </c>
      <c r="K579" t="s">
        <v>688</v>
      </c>
      <c r="L579" t="s">
        <v>688</v>
      </c>
      <c r="M579" t="s">
        <v>688</v>
      </c>
      <c r="N579" t="s">
        <v>688</v>
      </c>
      <c r="O579" s="13">
        <v>1</v>
      </c>
      <c r="P579" t="s">
        <v>3573</v>
      </c>
    </row>
    <row r="580" spans="2:16" ht="15">
      <c r="B580" s="9">
        <v>260</v>
      </c>
      <c r="C580" t="str">
        <f ca="1">IFERROR(__xludf.DUMMYFUNCTION((TRANSPOSE(ImportHTML("http://spending.data.al/sq/moneypower/view/id/260/year/2012",  "table", 0)))),"*Kategoria*")</f>
        <v>*Kategoria*</v>
      </c>
      <c r="D580" t="s">
        <v>673</v>
      </c>
      <c r="E580" t="s">
        <v>674</v>
      </c>
      <c r="F580" t="s">
        <v>675</v>
      </c>
      <c r="G580" t="s">
        <v>676</v>
      </c>
      <c r="H580" t="s">
        <v>677</v>
      </c>
      <c r="I580" t="s">
        <v>678</v>
      </c>
      <c r="J580" t="s">
        <v>679</v>
      </c>
      <c r="K580" t="s">
        <v>680</v>
      </c>
      <c r="L580" t="s">
        <v>681</v>
      </c>
      <c r="M580" t="s">
        <v>682</v>
      </c>
      <c r="N580" t="s">
        <v>683</v>
      </c>
      <c r="O580" t="s">
        <v>684</v>
      </c>
      <c r="P580" t="s">
        <v>685</v>
      </c>
    </row>
    <row r="581" spans="2:16" ht="15">
      <c r="B581" s="11"/>
      <c r="C581" t="s">
        <v>686</v>
      </c>
      <c r="D581" t="s">
        <v>3574</v>
      </c>
      <c r="E581" t="s">
        <v>688</v>
      </c>
      <c r="F581" t="s">
        <v>688</v>
      </c>
      <c r="G581" t="s">
        <v>688</v>
      </c>
      <c r="H581" t="s">
        <v>688</v>
      </c>
      <c r="I581" t="s">
        <v>688</v>
      </c>
      <c r="J581" t="s">
        <v>688</v>
      </c>
      <c r="K581" t="s">
        <v>688</v>
      </c>
      <c r="L581" t="s">
        <v>688</v>
      </c>
      <c r="M581" t="s">
        <v>3575</v>
      </c>
      <c r="N581" t="s">
        <v>688</v>
      </c>
      <c r="O581" s="13">
        <v>1.05</v>
      </c>
      <c r="P581" t="s">
        <v>3576</v>
      </c>
    </row>
    <row r="582" spans="2:16" ht="15">
      <c r="B582" s="9">
        <v>261</v>
      </c>
      <c r="C582" t="str">
        <f ca="1">IFERROR(__xludf.DUMMYFUNCTION((TRANSPOSE(ImportHTML("http://spending.data.al/sq/moneypower/view/id/261/year/2012",  "table", 0)))),"*Kategoria*")</f>
        <v>*Kategoria*</v>
      </c>
      <c r="D582" t="s">
        <v>673</v>
      </c>
      <c r="E582" t="s">
        <v>674</v>
      </c>
      <c r="F582" t="s">
        <v>675</v>
      </c>
      <c r="G582" t="s">
        <v>676</v>
      </c>
      <c r="H582" t="s">
        <v>677</v>
      </c>
      <c r="I582" t="s">
        <v>678</v>
      </c>
      <c r="J582" t="s">
        <v>679</v>
      </c>
      <c r="K582" t="s">
        <v>680</v>
      </c>
      <c r="L582" t="s">
        <v>681</v>
      </c>
      <c r="M582" t="s">
        <v>682</v>
      </c>
      <c r="N582" t="s">
        <v>683</v>
      </c>
      <c r="O582" t="s">
        <v>684</v>
      </c>
      <c r="P582" t="s">
        <v>685</v>
      </c>
    </row>
    <row r="583" spans="2:16" ht="15">
      <c r="B583" s="11"/>
      <c r="C583" t="s">
        <v>686</v>
      </c>
      <c r="D583" t="s">
        <v>3577</v>
      </c>
      <c r="E583" t="s">
        <v>688</v>
      </c>
      <c r="F583" t="s">
        <v>688</v>
      </c>
      <c r="G583" t="s">
        <v>688</v>
      </c>
      <c r="H583" t="s">
        <v>688</v>
      </c>
      <c r="I583" t="s">
        <v>688</v>
      </c>
      <c r="J583" t="s">
        <v>688</v>
      </c>
      <c r="K583" t="s">
        <v>688</v>
      </c>
      <c r="L583" t="s">
        <v>688</v>
      </c>
      <c r="M583" t="s">
        <v>688</v>
      </c>
      <c r="N583" t="s">
        <v>688</v>
      </c>
      <c r="O583" s="13">
        <v>1</v>
      </c>
      <c r="P583" t="s">
        <v>688</v>
      </c>
    </row>
    <row r="584" spans="2:16" ht="15">
      <c r="B584" s="9">
        <v>262</v>
      </c>
      <c r="C584" t="str">
        <f ca="1">IFERROR(__xludf.DUMMYFUNCTION((TRANSPOSE(ImportHTML("http://spending.data.al/sq/moneypower/view/id/262/year/2012",  "table", 0)))),"*Kategoria*")</f>
        <v>*Kategoria*</v>
      </c>
      <c r="D584" t="s">
        <v>673</v>
      </c>
      <c r="E584" t="s">
        <v>674</v>
      </c>
      <c r="F584" t="s">
        <v>675</v>
      </c>
      <c r="G584" t="s">
        <v>676</v>
      </c>
      <c r="H584" t="s">
        <v>677</v>
      </c>
      <c r="I584" t="s">
        <v>678</v>
      </c>
      <c r="J584" t="s">
        <v>679</v>
      </c>
      <c r="K584" t="s">
        <v>680</v>
      </c>
      <c r="L584" t="s">
        <v>681</v>
      </c>
      <c r="M584" t="s">
        <v>682</v>
      </c>
      <c r="N584" t="s">
        <v>683</v>
      </c>
      <c r="O584" t="s">
        <v>684</v>
      </c>
      <c r="P584" t="s">
        <v>685</v>
      </c>
    </row>
    <row r="585" spans="2:16" ht="15">
      <c r="B585" s="11"/>
      <c r="C585" t="s">
        <v>686</v>
      </c>
      <c r="D585" t="s">
        <v>3578</v>
      </c>
      <c r="E585" t="s">
        <v>688</v>
      </c>
      <c r="F585" t="s">
        <v>688</v>
      </c>
      <c r="G585" t="s">
        <v>688</v>
      </c>
      <c r="H585" t="s">
        <v>3579</v>
      </c>
      <c r="I585" t="s">
        <v>688</v>
      </c>
      <c r="J585" t="s">
        <v>688</v>
      </c>
      <c r="K585" t="s">
        <v>688</v>
      </c>
      <c r="L585" t="s">
        <v>688</v>
      </c>
      <c r="M585" t="s">
        <v>3580</v>
      </c>
      <c r="N585" t="s">
        <v>688</v>
      </c>
      <c r="O585" s="13">
        <v>1.39</v>
      </c>
      <c r="P585" t="s">
        <v>688</v>
      </c>
    </row>
    <row r="586" spans="2:16" ht="15">
      <c r="B586" s="9">
        <v>263</v>
      </c>
      <c r="C586" t="str">
        <f ca="1">IFERROR(__xludf.DUMMYFUNCTION((TRANSPOSE(ImportHTML("http://spending.data.al/sq/moneypower/view/id/263/year/2012",  "table", 0)))),"*Emër Subjekti*")</f>
        <v>*Emër Subjekti*</v>
      </c>
      <c r="D586" t="s">
        <v>698</v>
      </c>
      <c r="E586" t="s">
        <v>699</v>
      </c>
      <c r="F586" t="s">
        <v>700</v>
      </c>
      <c r="G586" t="s">
        <v>701</v>
      </c>
      <c r="H586" t="s">
        <v>702</v>
      </c>
    </row>
    <row r="587" spans="2:16" ht="15">
      <c r="B587" s="11"/>
    </row>
    <row r="588" spans="2:16" ht="15">
      <c r="B588" s="11"/>
      <c r="C588" t="s">
        <v>4423</v>
      </c>
      <c r="D588" t="s">
        <v>711</v>
      </c>
      <c r="E588" s="12">
        <v>41526</v>
      </c>
      <c r="F588" t="s">
        <v>1845</v>
      </c>
      <c r="G588" t="s">
        <v>4424</v>
      </c>
      <c r="H588" t="s">
        <v>1918</v>
      </c>
    </row>
    <row r="589" spans="2:16" ht="15">
      <c r="B589" s="9">
        <v>264</v>
      </c>
      <c r="C589" t="str">
        <f ca="1">IFERROR(__xludf.DUMMYFUNCTION((TRANSPOSE(ImportHTML("http://spending.data.al/sq/moneypower/view/id/264/year/2012",  "table", 0)))),"")</f>
        <v/>
      </c>
      <c r="D589" t="s">
        <v>673</v>
      </c>
      <c r="E589" t="s">
        <v>674</v>
      </c>
      <c r="F589" t="s">
        <v>675</v>
      </c>
      <c r="G589" t="s">
        <v>676</v>
      </c>
      <c r="H589" t="s">
        <v>677</v>
      </c>
      <c r="I589" t="s">
        <v>678</v>
      </c>
      <c r="J589" t="s">
        <v>679</v>
      </c>
      <c r="K589" t="s">
        <v>680</v>
      </c>
      <c r="L589" t="s">
        <v>681</v>
      </c>
      <c r="M589" t="s">
        <v>682</v>
      </c>
      <c r="N589" t="s">
        <v>683</v>
      </c>
      <c r="O589" t="s">
        <v>684</v>
      </c>
      <c r="P589" t="s">
        <v>685</v>
      </c>
    </row>
    <row r="590" spans="2:16" ht="15">
      <c r="B590" s="11"/>
      <c r="C590" t="s">
        <v>686</v>
      </c>
      <c r="D590" t="s">
        <v>3581</v>
      </c>
      <c r="E590" t="s">
        <v>688</v>
      </c>
      <c r="F590" t="s">
        <v>688</v>
      </c>
      <c r="G590" t="s">
        <v>688</v>
      </c>
      <c r="H590" t="s">
        <v>688</v>
      </c>
      <c r="I590" t="s">
        <v>688</v>
      </c>
      <c r="J590" t="s">
        <v>688</v>
      </c>
      <c r="K590" t="s">
        <v>688</v>
      </c>
      <c r="L590" t="s">
        <v>688</v>
      </c>
      <c r="M590" t="s">
        <v>3582</v>
      </c>
      <c r="N590" t="s">
        <v>688</v>
      </c>
      <c r="O590" s="13">
        <v>1</v>
      </c>
      <c r="P590" t="s">
        <v>688</v>
      </c>
    </row>
    <row r="591" spans="2:16" ht="15">
      <c r="B591" s="9">
        <v>265</v>
      </c>
      <c r="C591" t="str">
        <f ca="1">IFERROR(__xludf.DUMMYFUNCTION((TRANSPOSE(ImportHTML("http://spending.data.al/sq/moneypower/view/id/265/year/2012",  "table", 0)))),"*Kategoria*")</f>
        <v>*Kategoria*</v>
      </c>
      <c r="D591" t="s">
        <v>673</v>
      </c>
      <c r="E591" t="s">
        <v>674</v>
      </c>
      <c r="F591" t="s">
        <v>675</v>
      </c>
      <c r="G591" t="s">
        <v>676</v>
      </c>
      <c r="H591" t="s">
        <v>677</v>
      </c>
      <c r="I591" t="s">
        <v>678</v>
      </c>
      <c r="J591" t="s">
        <v>679</v>
      </c>
      <c r="K591" t="s">
        <v>680</v>
      </c>
      <c r="L591" t="s">
        <v>681</v>
      </c>
      <c r="M591" t="s">
        <v>682</v>
      </c>
      <c r="N591" t="s">
        <v>683</v>
      </c>
      <c r="O591" t="s">
        <v>684</v>
      </c>
      <c r="P591" t="s">
        <v>685</v>
      </c>
    </row>
    <row r="592" spans="2:16" ht="15">
      <c r="B592" s="11"/>
      <c r="C592" t="s">
        <v>686</v>
      </c>
      <c r="D592" t="s">
        <v>3583</v>
      </c>
      <c r="E592" t="s">
        <v>688</v>
      </c>
      <c r="F592" t="s">
        <v>688</v>
      </c>
      <c r="G592" t="s">
        <v>688</v>
      </c>
      <c r="H592" t="s">
        <v>688</v>
      </c>
      <c r="I592" t="s">
        <v>688</v>
      </c>
      <c r="J592" t="s">
        <v>688</v>
      </c>
      <c r="K592" t="s">
        <v>688</v>
      </c>
      <c r="L592" t="s">
        <v>688</v>
      </c>
      <c r="M592" t="s">
        <v>3584</v>
      </c>
      <c r="N592" t="s">
        <v>688</v>
      </c>
      <c r="O592" s="13">
        <v>1</v>
      </c>
      <c r="P592" t="s">
        <v>3585</v>
      </c>
    </row>
    <row r="593" spans="2:16" ht="15">
      <c r="B593" s="9">
        <v>266</v>
      </c>
      <c r="C593" t="str">
        <f ca="1">IFERROR(__xludf.DUMMYFUNCTION((TRANSPOSE(ImportHTML("http://spending.data.al/sq/moneypower/view/id/266/year/2012",  "table", 0)))),"*Kategoria*")</f>
        <v>*Kategoria*</v>
      </c>
      <c r="D593" t="s">
        <v>673</v>
      </c>
      <c r="E593" t="s">
        <v>674</v>
      </c>
      <c r="F593" t="s">
        <v>675</v>
      </c>
      <c r="G593" t="s">
        <v>676</v>
      </c>
      <c r="H593" t="s">
        <v>677</v>
      </c>
      <c r="I593" t="s">
        <v>678</v>
      </c>
      <c r="J593" t="s">
        <v>679</v>
      </c>
      <c r="K593" t="s">
        <v>680</v>
      </c>
      <c r="L593" t="s">
        <v>681</v>
      </c>
      <c r="M593" t="s">
        <v>682</v>
      </c>
      <c r="N593" t="s">
        <v>683</v>
      </c>
      <c r="O593" t="s">
        <v>684</v>
      </c>
      <c r="P593" t="s">
        <v>685</v>
      </c>
    </row>
    <row r="594" spans="2:16" ht="15">
      <c r="B594" s="11"/>
      <c r="C594" t="s">
        <v>686</v>
      </c>
      <c r="D594" t="s">
        <v>3586</v>
      </c>
      <c r="E594" t="s">
        <v>688</v>
      </c>
      <c r="F594" t="s">
        <v>688</v>
      </c>
      <c r="G594" t="s">
        <v>3587</v>
      </c>
      <c r="H594" t="s">
        <v>3588</v>
      </c>
      <c r="I594" t="s">
        <v>688</v>
      </c>
      <c r="J594" t="s">
        <v>688</v>
      </c>
      <c r="K594" t="s">
        <v>688</v>
      </c>
      <c r="L594" t="s">
        <v>688</v>
      </c>
      <c r="M594" t="s">
        <v>3589</v>
      </c>
      <c r="N594" t="s">
        <v>688</v>
      </c>
      <c r="O594" s="13">
        <v>1.24</v>
      </c>
      <c r="P594" t="s">
        <v>688</v>
      </c>
    </row>
    <row r="595" spans="2:16" ht="15">
      <c r="B595" s="9">
        <v>267</v>
      </c>
      <c r="C595" t="str">
        <f ca="1">IFERROR(__xludf.DUMMYFUNCTION((TRANSPOSE(ImportHTML("http://spending.data.al/sq/moneypower/view/id/267/year/2012",  "table", 0)))),"*Emër Subjekti*")</f>
        <v>*Emër Subjekti*</v>
      </c>
      <c r="D595" t="s">
        <v>698</v>
      </c>
      <c r="E595" t="s">
        <v>699</v>
      </c>
      <c r="F595" t="s">
        <v>700</v>
      </c>
      <c r="G595" t="s">
        <v>701</v>
      </c>
      <c r="H595" t="s">
        <v>702</v>
      </c>
    </row>
    <row r="596" spans="2:16" ht="15">
      <c r="B596" s="11"/>
    </row>
    <row r="597" spans="2:16" ht="15">
      <c r="B597" s="11"/>
      <c r="C597" t="s">
        <v>3590</v>
      </c>
      <c r="D597" t="s">
        <v>711</v>
      </c>
      <c r="E597" s="12">
        <v>41526</v>
      </c>
      <c r="F597" t="s">
        <v>712</v>
      </c>
      <c r="G597" t="s">
        <v>3591</v>
      </c>
      <c r="H597" t="s">
        <v>707</v>
      </c>
    </row>
    <row r="598" spans="2:16" ht="15">
      <c r="B598" s="9">
        <v>268</v>
      </c>
      <c r="C598" t="str">
        <f ca="1">IFERROR(__xludf.DUMMYFUNCTION((TRANSPOSE(ImportHTML("http://spending.data.al/sq/moneypower/view/id/268/year/2012",  "table", 0)))),"*Emër Subjekti*")</f>
        <v>*Emër Subjekti*</v>
      </c>
      <c r="D598" t="s">
        <v>698</v>
      </c>
      <c r="E598" t="s">
        <v>699</v>
      </c>
      <c r="F598" t="s">
        <v>700</v>
      </c>
      <c r="G598" t="s">
        <v>701</v>
      </c>
      <c r="H598" t="s">
        <v>702</v>
      </c>
    </row>
    <row r="599" spans="2:16" ht="15">
      <c r="B599" s="11"/>
    </row>
    <row r="600" spans="2:16" ht="15">
      <c r="B600" s="11"/>
      <c r="C600" t="s">
        <v>3592</v>
      </c>
      <c r="D600" t="s">
        <v>711</v>
      </c>
      <c r="E600" s="12">
        <v>41526</v>
      </c>
      <c r="F600" t="s">
        <v>1845</v>
      </c>
      <c r="G600" t="s">
        <v>3593</v>
      </c>
      <c r="H600" t="s">
        <v>3594</v>
      </c>
    </row>
    <row r="601" spans="2:16" ht="15">
      <c r="B601" s="9">
        <v>269</v>
      </c>
      <c r="C601" t="str">
        <f ca="1">IFERROR(__xludf.DUMMYFUNCTION((TRANSPOSE(ImportHTML("http://spending.data.al/sq/moneypower/view/id/269/year/2012",  "table", 0)))),"*Emër Subjekti*")</f>
        <v>*Emër Subjekti*</v>
      </c>
      <c r="D601" t="s">
        <v>698</v>
      </c>
      <c r="E601" t="s">
        <v>699</v>
      </c>
      <c r="F601" t="s">
        <v>700</v>
      </c>
      <c r="G601" t="s">
        <v>701</v>
      </c>
      <c r="H601" t="s">
        <v>702</v>
      </c>
    </row>
    <row r="602" spans="2:16" ht="15">
      <c r="B602" s="11"/>
    </row>
    <row r="603" spans="2:16" ht="15">
      <c r="B603" s="11"/>
      <c r="C603" t="s">
        <v>3595</v>
      </c>
      <c r="D603" t="s">
        <v>711</v>
      </c>
      <c r="E603" s="12">
        <v>41636</v>
      </c>
      <c r="F603" t="s">
        <v>712</v>
      </c>
      <c r="G603" t="s">
        <v>3596</v>
      </c>
      <c r="H603" t="s">
        <v>3597</v>
      </c>
    </row>
    <row r="604" spans="2:16" ht="15">
      <c r="B604" s="9">
        <v>270</v>
      </c>
      <c r="C604" t="str">
        <f ca="1">IFERROR(__xludf.DUMMYFUNCTION((TRANSPOSE(ImportHTML("http://spending.data.al/sq/moneypower/view/id/270/year/2012",  "table", 0)))),"*Kategoria*")</f>
        <v>*Kategoria*</v>
      </c>
      <c r="D604" t="s">
        <v>673</v>
      </c>
      <c r="E604" t="s">
        <v>674</v>
      </c>
      <c r="F604" t="s">
        <v>675</v>
      </c>
      <c r="G604" t="s">
        <v>676</v>
      </c>
      <c r="H604" t="s">
        <v>677</v>
      </c>
      <c r="I604" t="s">
        <v>678</v>
      </c>
      <c r="J604" t="s">
        <v>679</v>
      </c>
      <c r="K604" t="s">
        <v>680</v>
      </c>
      <c r="L604" t="s">
        <v>681</v>
      </c>
      <c r="M604" t="s">
        <v>682</v>
      </c>
      <c r="N604" t="s">
        <v>683</v>
      </c>
      <c r="O604" t="s">
        <v>684</v>
      </c>
      <c r="P604" t="s">
        <v>685</v>
      </c>
    </row>
    <row r="605" spans="2:16" ht="15">
      <c r="B605" s="11"/>
      <c r="C605" t="s">
        <v>686</v>
      </c>
      <c r="D605" t="s">
        <v>3598</v>
      </c>
      <c r="E605" t="s">
        <v>3599</v>
      </c>
      <c r="F605" t="s">
        <v>688</v>
      </c>
      <c r="G605" t="s">
        <v>3600</v>
      </c>
      <c r="H605" t="s">
        <v>688</v>
      </c>
      <c r="I605" t="s">
        <v>688</v>
      </c>
      <c r="J605" t="s">
        <v>688</v>
      </c>
      <c r="K605" t="s">
        <v>688</v>
      </c>
      <c r="L605" t="s">
        <v>688</v>
      </c>
      <c r="M605" t="s">
        <v>3601</v>
      </c>
      <c r="N605" t="s">
        <v>688</v>
      </c>
      <c r="O605" s="13">
        <v>1.06</v>
      </c>
      <c r="P605" t="s">
        <v>3602</v>
      </c>
    </row>
    <row r="606" spans="2:16" ht="15">
      <c r="B606" s="9">
        <v>271</v>
      </c>
      <c r="C606" t="str">
        <f ca="1">IFERROR(__xludf.DUMMYFUNCTION((TRANSPOSE(ImportHTML("http://spending.data.al/sq/moneypower/view/id/271/year/2012",  "table", 0)))),"*Emër Subjekti*")</f>
        <v>*Emër Subjekti*</v>
      </c>
      <c r="D606" t="s">
        <v>698</v>
      </c>
      <c r="E606" t="s">
        <v>699</v>
      </c>
      <c r="F606" t="s">
        <v>700</v>
      </c>
      <c r="G606" t="s">
        <v>701</v>
      </c>
      <c r="H606" t="s">
        <v>702</v>
      </c>
    </row>
    <row r="607" spans="2:16" ht="15">
      <c r="B607" s="11"/>
    </row>
    <row r="608" spans="2:16" ht="15">
      <c r="B608" s="11"/>
      <c r="C608" t="s">
        <v>3603</v>
      </c>
      <c r="D608" t="s">
        <v>711</v>
      </c>
      <c r="E608" s="12">
        <v>41528</v>
      </c>
      <c r="F608" t="s">
        <v>3604</v>
      </c>
      <c r="G608" t="s">
        <v>3605</v>
      </c>
      <c r="H608" t="s">
        <v>1918</v>
      </c>
    </row>
    <row r="609" spans="2:16" ht="15">
      <c r="B609" s="9">
        <v>272</v>
      </c>
      <c r="C609" t="str">
        <f ca="1">IFERROR(__xludf.DUMMYFUNCTION((TRANSPOSE(ImportHTML("http://spending.data.al/sq/moneypower/view/id/272/year/2012",  "table", 0)))),"*Kategoria*")</f>
        <v>*Kategoria*</v>
      </c>
      <c r="D609" t="s">
        <v>673</v>
      </c>
      <c r="E609" t="s">
        <v>674</v>
      </c>
      <c r="F609" t="s">
        <v>675</v>
      </c>
      <c r="G609" t="s">
        <v>676</v>
      </c>
      <c r="H609" t="s">
        <v>677</v>
      </c>
      <c r="I609" t="s">
        <v>678</v>
      </c>
      <c r="J609" t="s">
        <v>679</v>
      </c>
      <c r="K609" t="s">
        <v>680</v>
      </c>
      <c r="L609" t="s">
        <v>681</v>
      </c>
      <c r="M609" t="s">
        <v>682</v>
      </c>
      <c r="N609" t="s">
        <v>683</v>
      </c>
      <c r="O609" t="s">
        <v>684</v>
      </c>
      <c r="P609" t="s">
        <v>685</v>
      </c>
    </row>
    <row r="610" spans="2:16" ht="15">
      <c r="B610" s="11"/>
      <c r="C610" t="s">
        <v>686</v>
      </c>
      <c r="D610" t="s">
        <v>3606</v>
      </c>
      <c r="E610" t="s">
        <v>688</v>
      </c>
      <c r="F610" t="s">
        <v>688</v>
      </c>
      <c r="G610" t="s">
        <v>688</v>
      </c>
      <c r="H610" t="s">
        <v>688</v>
      </c>
      <c r="I610" t="s">
        <v>688</v>
      </c>
      <c r="J610" t="s">
        <v>688</v>
      </c>
      <c r="K610" t="s">
        <v>688</v>
      </c>
      <c r="L610" t="s">
        <v>688</v>
      </c>
      <c r="M610" t="s">
        <v>688</v>
      </c>
      <c r="N610" t="s">
        <v>688</v>
      </c>
      <c r="O610" s="13">
        <v>1</v>
      </c>
      <c r="P610" t="s">
        <v>688</v>
      </c>
    </row>
    <row r="611" spans="2:16" ht="15">
      <c r="B611" s="9">
        <v>273</v>
      </c>
      <c r="C611" t="str">
        <f ca="1">IFERROR(__xludf.DUMMYFUNCTION((TRANSPOSE(ImportHTML("http://spending.data.al/sq/moneypower/view/id/273/year/2012",  "table", 0)))),"*Emër Subjekti*")</f>
        <v>*Emër Subjekti*</v>
      </c>
      <c r="D611" t="s">
        <v>698</v>
      </c>
      <c r="E611" t="s">
        <v>699</v>
      </c>
      <c r="F611" t="s">
        <v>700</v>
      </c>
      <c r="G611" t="s">
        <v>701</v>
      </c>
      <c r="H611" t="s">
        <v>702</v>
      </c>
    </row>
    <row r="612" spans="2:16" ht="15">
      <c r="B612" s="11"/>
    </row>
    <row r="613" spans="2:16" ht="15">
      <c r="B613" s="11"/>
      <c r="C613" t="s">
        <v>3607</v>
      </c>
      <c r="D613" t="s">
        <v>711</v>
      </c>
      <c r="E613" t="s">
        <v>2178</v>
      </c>
      <c r="F613" t="s">
        <v>712</v>
      </c>
      <c r="G613" t="s">
        <v>3608</v>
      </c>
      <c r="H613" t="s">
        <v>3609</v>
      </c>
    </row>
    <row r="614" spans="2:16" ht="15">
      <c r="B614" s="9">
        <v>274</v>
      </c>
      <c r="C614" t="str">
        <f ca="1">IFERROR(__xludf.DUMMYFUNCTION((TRANSPOSE(ImportHTML("http://spending.data.al/sq/moneypower/view/id/274/year/2012",  "table", 0)))),"*Emër Subjekti*")</f>
        <v>*Emër Subjekti*</v>
      </c>
      <c r="D614" t="s">
        <v>698</v>
      </c>
      <c r="E614" t="s">
        <v>699</v>
      </c>
      <c r="F614" t="s">
        <v>700</v>
      </c>
      <c r="G614" t="s">
        <v>701</v>
      </c>
      <c r="H614" t="s">
        <v>702</v>
      </c>
    </row>
    <row r="615" spans="2:16" ht="15">
      <c r="B615" s="11"/>
    </row>
    <row r="616" spans="2:16" ht="15">
      <c r="B616" s="11"/>
      <c r="C616" t="s">
        <v>3610</v>
      </c>
      <c r="D616" t="s">
        <v>711</v>
      </c>
      <c r="E616" t="s">
        <v>3611</v>
      </c>
      <c r="F616" t="s">
        <v>2181</v>
      </c>
      <c r="G616" t="s">
        <v>3612</v>
      </c>
      <c r="H616" t="s">
        <v>3613</v>
      </c>
    </row>
    <row r="617" spans="2:16" ht="15">
      <c r="B617" s="9">
        <v>275</v>
      </c>
      <c r="C617" t="str">
        <f ca="1">IFERROR(__xludf.DUMMYFUNCTION((TRANSPOSE(ImportHTML("http://spending.data.al/sq/moneypower/view/id/275/year/2012",  "table", 0)))),"*Emër Subjekti*")</f>
        <v>*Emër Subjekti*</v>
      </c>
      <c r="D617" t="s">
        <v>698</v>
      </c>
      <c r="E617" t="s">
        <v>699</v>
      </c>
      <c r="F617" t="s">
        <v>700</v>
      </c>
      <c r="G617" t="s">
        <v>701</v>
      </c>
      <c r="H617" t="s">
        <v>702</v>
      </c>
    </row>
    <row r="618" spans="2:16" ht="15">
      <c r="B618" s="11"/>
    </row>
    <row r="619" spans="2:16" ht="15">
      <c r="B619" s="11"/>
      <c r="C619" t="s">
        <v>3614</v>
      </c>
      <c r="D619" t="s">
        <v>711</v>
      </c>
      <c r="E619" t="s">
        <v>2203</v>
      </c>
      <c r="F619" t="s">
        <v>712</v>
      </c>
      <c r="G619" t="s">
        <v>3615</v>
      </c>
      <c r="H619" t="s">
        <v>3616</v>
      </c>
    </row>
    <row r="620" spans="2:16" ht="15">
      <c r="B620" s="9">
        <v>276</v>
      </c>
      <c r="C620" t="str">
        <f ca="1">IFERROR(__xludf.DUMMYFUNCTION((TRANSPOSE(ImportHTML("http://spending.data.al/sq/moneypower/view/id/276/year/2012",  "table", 0)))),"*Kategoria*")</f>
        <v>*Kategoria*</v>
      </c>
      <c r="D620" t="s">
        <v>673</v>
      </c>
      <c r="E620" t="s">
        <v>674</v>
      </c>
      <c r="F620" t="s">
        <v>675</v>
      </c>
      <c r="G620" t="s">
        <v>676</v>
      </c>
      <c r="H620" t="s">
        <v>677</v>
      </c>
      <c r="I620" t="s">
        <v>678</v>
      </c>
      <c r="J620" t="s">
        <v>679</v>
      </c>
      <c r="K620" t="s">
        <v>680</v>
      </c>
      <c r="L620" t="s">
        <v>681</v>
      </c>
      <c r="M620" t="s">
        <v>682</v>
      </c>
      <c r="N620" t="s">
        <v>683</v>
      </c>
      <c r="O620" t="s">
        <v>684</v>
      </c>
      <c r="P620" t="s">
        <v>685</v>
      </c>
    </row>
    <row r="621" spans="2:16" ht="15">
      <c r="B621" s="11"/>
      <c r="C621" t="s">
        <v>686</v>
      </c>
      <c r="D621" t="s">
        <v>3617</v>
      </c>
      <c r="E621" t="s">
        <v>688</v>
      </c>
      <c r="F621" t="s">
        <v>3618</v>
      </c>
      <c r="G621" t="s">
        <v>3619</v>
      </c>
      <c r="H621" t="s">
        <v>3620</v>
      </c>
      <c r="I621" t="s">
        <v>688</v>
      </c>
      <c r="J621" t="s">
        <v>688</v>
      </c>
      <c r="K621" t="s">
        <v>688</v>
      </c>
      <c r="L621" t="s">
        <v>688</v>
      </c>
      <c r="M621" t="s">
        <v>3621</v>
      </c>
      <c r="N621" t="s">
        <v>688</v>
      </c>
      <c r="O621" t="s">
        <v>707</v>
      </c>
      <c r="P621" t="s">
        <v>3622</v>
      </c>
    </row>
    <row r="622" spans="2:16" ht="15">
      <c r="B622" s="9">
        <v>277</v>
      </c>
      <c r="C622" t="str">
        <f ca="1">IFERROR(__xludf.DUMMYFUNCTION((TRANSPOSE(ImportHTML("http://spending.data.al/sq/moneypower/view/id/277/year/2012",  "table", 0)))),"*Emër Subjekti*")</f>
        <v>*Emër Subjekti*</v>
      </c>
      <c r="D622" t="s">
        <v>698</v>
      </c>
      <c r="E622" t="s">
        <v>699</v>
      </c>
      <c r="F622" t="s">
        <v>700</v>
      </c>
      <c r="G622" t="s">
        <v>701</v>
      </c>
      <c r="H622" t="s">
        <v>702</v>
      </c>
    </row>
    <row r="623" spans="2:16" ht="15">
      <c r="B623" s="11"/>
    </row>
    <row r="624" spans="2:16" ht="15">
      <c r="B624" s="11"/>
      <c r="C624" t="s">
        <v>3623</v>
      </c>
      <c r="D624" t="s">
        <v>711</v>
      </c>
      <c r="E624" t="s">
        <v>2178</v>
      </c>
      <c r="F624" t="s">
        <v>2191</v>
      </c>
      <c r="G624" t="s">
        <v>3624</v>
      </c>
      <c r="H624" t="s">
        <v>707</v>
      </c>
    </row>
    <row r="625" spans="2:16" ht="15">
      <c r="B625" s="9">
        <v>278</v>
      </c>
      <c r="C625" t="str">
        <f ca="1">IFERROR(__xludf.DUMMYFUNCTION((TRANSPOSE(ImportHTML("http://spending.data.al/sq/moneypower/view/id/278/year/2012",  "table", 0)))),"*Kategoria*")</f>
        <v>*Kategoria*</v>
      </c>
      <c r="D625" t="s">
        <v>673</v>
      </c>
      <c r="E625" t="s">
        <v>674</v>
      </c>
      <c r="F625" t="s">
        <v>675</v>
      </c>
      <c r="G625" t="s">
        <v>676</v>
      </c>
      <c r="H625" t="s">
        <v>677</v>
      </c>
      <c r="I625" t="s">
        <v>678</v>
      </c>
      <c r="J625" t="s">
        <v>679</v>
      </c>
      <c r="K625" t="s">
        <v>680</v>
      </c>
      <c r="L625" t="s">
        <v>681</v>
      </c>
      <c r="M625" t="s">
        <v>682</v>
      </c>
      <c r="N625" t="s">
        <v>683</v>
      </c>
      <c r="O625" t="s">
        <v>684</v>
      </c>
      <c r="P625" t="s">
        <v>685</v>
      </c>
    </row>
    <row r="626" spans="2:16" ht="15">
      <c r="B626" s="11"/>
      <c r="C626" t="s">
        <v>686</v>
      </c>
      <c r="D626" t="s">
        <v>3625</v>
      </c>
      <c r="E626" t="s">
        <v>688</v>
      </c>
      <c r="F626" t="s">
        <v>688</v>
      </c>
      <c r="G626" t="s">
        <v>688</v>
      </c>
      <c r="H626" t="s">
        <v>3626</v>
      </c>
      <c r="I626" t="s">
        <v>688</v>
      </c>
      <c r="J626" t="s">
        <v>688</v>
      </c>
      <c r="K626" t="s">
        <v>688</v>
      </c>
      <c r="L626" t="s">
        <v>688</v>
      </c>
      <c r="M626" t="s">
        <v>3627</v>
      </c>
      <c r="N626" t="s">
        <v>688</v>
      </c>
      <c r="O626" t="s">
        <v>707</v>
      </c>
      <c r="P626" t="s">
        <v>3628</v>
      </c>
    </row>
    <row r="627" spans="2:16" ht="15">
      <c r="B627" s="9">
        <v>279</v>
      </c>
      <c r="C627" t="str">
        <f ca="1">IFERROR(__xludf.DUMMYFUNCTION((TRANSPOSE(ImportHTML("http://spending.data.al/sq/moneypower/view/id/279/year/2012",  "table", 0)))),"*Emër Subjekti*")</f>
        <v>*Emër Subjekti*</v>
      </c>
      <c r="D627" t="s">
        <v>698</v>
      </c>
      <c r="E627" t="s">
        <v>699</v>
      </c>
      <c r="F627" t="s">
        <v>700</v>
      </c>
      <c r="G627" t="s">
        <v>701</v>
      </c>
      <c r="H627" t="s">
        <v>702</v>
      </c>
    </row>
    <row r="628" spans="2:16" ht="15">
      <c r="B628" s="11"/>
    </row>
    <row r="629" spans="2:16" ht="15">
      <c r="B629" s="11"/>
      <c r="C629" t="s">
        <v>3629</v>
      </c>
      <c r="D629" t="s">
        <v>711</v>
      </c>
      <c r="E629" t="s">
        <v>2178</v>
      </c>
      <c r="F629" t="s">
        <v>712</v>
      </c>
      <c r="G629" t="s">
        <v>3630</v>
      </c>
      <c r="H629" t="s">
        <v>3631</v>
      </c>
    </row>
    <row r="630" spans="2:16" ht="15">
      <c r="B630" s="9">
        <v>280</v>
      </c>
      <c r="C630" t="str">
        <f ca="1">IFERROR(__xludf.DUMMYFUNCTION((TRANSPOSE(ImportHTML("http://spending.data.al/sq/moneypower/view/id/280/year/2012",  "table", 0)))),"*Emër Subjekti*")</f>
        <v>*Emër Subjekti*</v>
      </c>
      <c r="D630" t="s">
        <v>698</v>
      </c>
      <c r="E630" t="s">
        <v>699</v>
      </c>
      <c r="F630" t="s">
        <v>700</v>
      </c>
      <c r="G630" t="s">
        <v>701</v>
      </c>
      <c r="H630" t="s">
        <v>702</v>
      </c>
    </row>
    <row r="631" spans="2:16" ht="15">
      <c r="B631" s="11"/>
    </row>
    <row r="632" spans="2:16" ht="15">
      <c r="B632" s="11"/>
      <c r="C632" t="s">
        <v>3632</v>
      </c>
      <c r="D632" t="s">
        <v>711</v>
      </c>
      <c r="E632" t="s">
        <v>2178</v>
      </c>
      <c r="F632" t="s">
        <v>2191</v>
      </c>
      <c r="G632" t="s">
        <v>3633</v>
      </c>
      <c r="H632" t="s">
        <v>3634</v>
      </c>
    </row>
    <row r="633" spans="2:16" ht="15">
      <c r="B633" s="9">
        <v>281</v>
      </c>
      <c r="C633" t="str">
        <f ca="1">IFERROR(__xludf.DUMMYFUNCTION((TRANSPOSE(ImportHTML("http://spending.data.al/sq/moneypower/view/id/281/year/2012",  "table", 0)))),"*Kategoria*")</f>
        <v>*Kategoria*</v>
      </c>
      <c r="D633" t="s">
        <v>673</v>
      </c>
      <c r="E633" t="s">
        <v>674</v>
      </c>
      <c r="F633" t="s">
        <v>675</v>
      </c>
      <c r="G633" t="s">
        <v>676</v>
      </c>
      <c r="H633" t="s">
        <v>677</v>
      </c>
      <c r="I633" t="s">
        <v>678</v>
      </c>
      <c r="J633" t="s">
        <v>679</v>
      </c>
      <c r="K633" t="s">
        <v>680</v>
      </c>
      <c r="L633" t="s">
        <v>681</v>
      </c>
      <c r="M633" t="s">
        <v>682</v>
      </c>
      <c r="N633" t="s">
        <v>683</v>
      </c>
      <c r="O633" t="s">
        <v>684</v>
      </c>
      <c r="P633" t="s">
        <v>685</v>
      </c>
    </row>
    <row r="634" spans="2:16" ht="15">
      <c r="B634" s="11"/>
      <c r="C634" t="s">
        <v>686</v>
      </c>
      <c r="D634" t="s">
        <v>3635</v>
      </c>
      <c r="E634" t="s">
        <v>688</v>
      </c>
      <c r="F634" t="s">
        <v>688</v>
      </c>
      <c r="G634" t="s">
        <v>688</v>
      </c>
      <c r="H634" t="s">
        <v>688</v>
      </c>
      <c r="I634" t="s">
        <v>688</v>
      </c>
      <c r="J634" t="s">
        <v>688</v>
      </c>
      <c r="K634" t="s">
        <v>688</v>
      </c>
      <c r="L634" t="s">
        <v>688</v>
      </c>
      <c r="M634" t="s">
        <v>3636</v>
      </c>
      <c r="N634" t="s">
        <v>688</v>
      </c>
      <c r="O634" t="s">
        <v>707</v>
      </c>
      <c r="P634" t="s">
        <v>688</v>
      </c>
    </row>
    <row r="635" spans="2:16" ht="15">
      <c r="B635" s="9">
        <v>282</v>
      </c>
      <c r="C635" t="str">
        <f ca="1">IFERROR(__xludf.DUMMYFUNCTION((TRANSPOSE(ImportHTML("http://spending.data.al/sq/moneypower/view/id/282/year/2012",  "table", 0)))),"*Emër Subjekti*")</f>
        <v>*Emër Subjekti*</v>
      </c>
      <c r="D635" t="s">
        <v>698</v>
      </c>
      <c r="E635" t="s">
        <v>699</v>
      </c>
      <c r="F635" t="s">
        <v>700</v>
      </c>
      <c r="G635" t="s">
        <v>701</v>
      </c>
      <c r="H635" t="s">
        <v>702</v>
      </c>
    </row>
    <row r="636" spans="2:16" ht="15">
      <c r="B636" s="11"/>
    </row>
    <row r="637" spans="2:16" ht="15">
      <c r="B637" s="11"/>
      <c r="C637" t="s">
        <v>3637</v>
      </c>
      <c r="D637" t="s">
        <v>1879</v>
      </c>
      <c r="E637" s="12">
        <v>41916</v>
      </c>
      <c r="F637" t="s">
        <v>707</v>
      </c>
      <c r="G637" t="s">
        <v>3638</v>
      </c>
      <c r="H637" t="s">
        <v>3639</v>
      </c>
    </row>
    <row r="638" spans="2:16" ht="15">
      <c r="B638" s="9">
        <v>283</v>
      </c>
      <c r="C638" t="str">
        <f ca="1">IFERROR(__xludf.DUMMYFUNCTION((TRANSPOSE(ImportHTML("http://spending.data.al/sq/moneypower/view/id/283/year/2012",  "table", 0)))),"*Emër Subjekti*")</f>
        <v>*Emër Subjekti*</v>
      </c>
      <c r="D638" t="s">
        <v>698</v>
      </c>
      <c r="E638" t="s">
        <v>699</v>
      </c>
      <c r="F638" t="s">
        <v>700</v>
      </c>
      <c r="G638" t="s">
        <v>701</v>
      </c>
      <c r="H638" t="s">
        <v>702</v>
      </c>
    </row>
    <row r="639" spans="2:16" ht="15">
      <c r="B639" s="11"/>
    </row>
    <row r="640" spans="2:16" ht="15">
      <c r="B640" s="11"/>
      <c r="C640" t="s">
        <v>3640</v>
      </c>
      <c r="D640" t="s">
        <v>1879</v>
      </c>
      <c r="E640" s="12">
        <v>41978</v>
      </c>
      <c r="F640" t="s">
        <v>707</v>
      </c>
      <c r="G640" t="s">
        <v>3641</v>
      </c>
      <c r="H640" t="s">
        <v>3642</v>
      </c>
    </row>
    <row r="641" spans="2:16" ht="15">
      <c r="B641" s="11"/>
    </row>
    <row r="642" spans="2:16" ht="15">
      <c r="B642" s="9">
        <v>284</v>
      </c>
      <c r="C642" t="str">
        <f ca="1">IFERROR(__xludf.DUMMYFUNCTION((TRANSPOSE(ImportHTML("http://spending.data.al/sq/moneypower/view/id/284/year/2012",  "table", 0)))),"*Kategoria*")</f>
        <v>*Kategoria*</v>
      </c>
      <c r="D642" t="s">
        <v>673</v>
      </c>
      <c r="E642" t="s">
        <v>674</v>
      </c>
      <c r="F642" t="s">
        <v>675</v>
      </c>
      <c r="G642" t="s">
        <v>676</v>
      </c>
      <c r="H642" t="s">
        <v>677</v>
      </c>
      <c r="I642" t="s">
        <v>678</v>
      </c>
      <c r="J642" t="s">
        <v>679</v>
      </c>
      <c r="K642" t="s">
        <v>680</v>
      </c>
      <c r="L642" t="s">
        <v>681</v>
      </c>
      <c r="M642" t="s">
        <v>682</v>
      </c>
      <c r="N642" t="s">
        <v>683</v>
      </c>
      <c r="O642" t="s">
        <v>684</v>
      </c>
      <c r="P642" t="s">
        <v>685</v>
      </c>
    </row>
    <row r="643" spans="2:16" ht="15">
      <c r="B643" s="11"/>
      <c r="C643" t="s">
        <v>686</v>
      </c>
      <c r="D643" t="s">
        <v>3643</v>
      </c>
      <c r="E643" t="s">
        <v>688</v>
      </c>
      <c r="F643" t="s">
        <v>688</v>
      </c>
      <c r="G643" t="s">
        <v>688</v>
      </c>
      <c r="H643" t="s">
        <v>688</v>
      </c>
      <c r="I643" t="s">
        <v>688</v>
      </c>
      <c r="J643" t="s">
        <v>688</v>
      </c>
      <c r="K643" t="s">
        <v>688</v>
      </c>
      <c r="L643" t="s">
        <v>688</v>
      </c>
      <c r="M643" t="s">
        <v>3644</v>
      </c>
      <c r="N643" t="s">
        <v>688</v>
      </c>
      <c r="O643" s="13">
        <v>1</v>
      </c>
      <c r="P643" t="s">
        <v>3645</v>
      </c>
    </row>
    <row r="644" spans="2:16" ht="15">
      <c r="B644" s="9">
        <v>285</v>
      </c>
      <c r="C644" t="str">
        <f ca="1">IFERROR(__xludf.DUMMYFUNCTION((TRANSPOSE(ImportHTML("http://spending.data.al/sq/moneypower/view/id/285/year/2012",  "table", 0)))),"*Emër Subjekti*")</f>
        <v>*Emër Subjekti*</v>
      </c>
      <c r="D644" t="s">
        <v>698</v>
      </c>
      <c r="E644" t="s">
        <v>699</v>
      </c>
      <c r="F644" t="s">
        <v>700</v>
      </c>
      <c r="G644" t="s">
        <v>701</v>
      </c>
      <c r="H644" t="s">
        <v>702</v>
      </c>
    </row>
    <row r="645" spans="2:16" ht="15">
      <c r="B645" s="11"/>
    </row>
    <row r="646" spans="2:16" ht="15">
      <c r="B646" s="11"/>
      <c r="C646" t="s">
        <v>3646</v>
      </c>
      <c r="D646" t="s">
        <v>711</v>
      </c>
      <c r="E646" s="12">
        <v>41526</v>
      </c>
      <c r="F646" t="s">
        <v>712</v>
      </c>
      <c r="G646" t="s">
        <v>3647</v>
      </c>
      <c r="H646" t="s">
        <v>3648</v>
      </c>
    </row>
    <row r="647" spans="2:16" ht="15">
      <c r="B647" s="9">
        <v>286</v>
      </c>
      <c r="C647" t="str">
        <f ca="1">IFERROR(__xludf.DUMMYFUNCTION((TRANSPOSE(ImportHTML("http://spending.data.al/sq/moneypower/view/id/286/year/2012",  "table", 0)))),"*Emër Subjekti*")</f>
        <v>*Emër Subjekti*</v>
      </c>
      <c r="D647" t="s">
        <v>698</v>
      </c>
      <c r="E647" t="s">
        <v>699</v>
      </c>
      <c r="F647" t="s">
        <v>700</v>
      </c>
      <c r="G647" t="s">
        <v>701</v>
      </c>
      <c r="H647" t="s">
        <v>702</v>
      </c>
    </row>
    <row r="648" spans="2:16" ht="15">
      <c r="B648" s="11"/>
    </row>
    <row r="649" spans="2:16" ht="15">
      <c r="B649" s="11"/>
      <c r="C649" t="s">
        <v>3649</v>
      </c>
      <c r="D649" t="s">
        <v>711</v>
      </c>
      <c r="E649" s="12">
        <v>41526</v>
      </c>
      <c r="F649" t="s">
        <v>712</v>
      </c>
      <c r="G649" t="s">
        <v>3650</v>
      </c>
      <c r="H649" t="s">
        <v>1918</v>
      </c>
    </row>
    <row r="650" spans="2:16" ht="15">
      <c r="B650" s="9">
        <v>287</v>
      </c>
      <c r="C650" t="str">
        <f ca="1">IFERROR(__xludf.DUMMYFUNCTION((TRANSPOSE(ImportHTML("http://spending.data.al/sq/moneypower/view/id/287/year/2012",  "table", 0)))),"*Kategoria*")</f>
        <v>*Kategoria*</v>
      </c>
      <c r="D650" t="s">
        <v>673</v>
      </c>
      <c r="E650" t="s">
        <v>674</v>
      </c>
      <c r="F650" t="s">
        <v>675</v>
      </c>
      <c r="G650" t="s">
        <v>676</v>
      </c>
      <c r="H650" t="s">
        <v>677</v>
      </c>
      <c r="I650" t="s">
        <v>678</v>
      </c>
      <c r="J650" t="s">
        <v>679</v>
      </c>
      <c r="K650" t="s">
        <v>680</v>
      </c>
      <c r="L650" t="s">
        <v>681</v>
      </c>
      <c r="M650" t="s">
        <v>682</v>
      </c>
      <c r="N650" t="s">
        <v>683</v>
      </c>
      <c r="O650" t="s">
        <v>684</v>
      </c>
      <c r="P650" t="s">
        <v>685</v>
      </c>
    </row>
    <row r="651" spans="2:16" ht="15">
      <c r="B651" s="11"/>
      <c r="C651" t="s">
        <v>686</v>
      </c>
      <c r="D651" t="s">
        <v>3651</v>
      </c>
      <c r="E651" t="s">
        <v>688</v>
      </c>
      <c r="F651" t="s">
        <v>688</v>
      </c>
      <c r="G651" t="s">
        <v>688</v>
      </c>
      <c r="H651" t="s">
        <v>688</v>
      </c>
      <c r="I651" t="s">
        <v>688</v>
      </c>
      <c r="J651" t="s">
        <v>688</v>
      </c>
      <c r="K651" t="s">
        <v>688</v>
      </c>
      <c r="L651" t="s">
        <v>688</v>
      </c>
      <c r="M651" t="s">
        <v>3652</v>
      </c>
      <c r="N651" t="s">
        <v>688</v>
      </c>
      <c r="O651" s="13">
        <v>1</v>
      </c>
      <c r="P651" t="s">
        <v>3653</v>
      </c>
    </row>
    <row r="652" spans="2:16" ht="15">
      <c r="B652" s="9">
        <v>288</v>
      </c>
      <c r="C652" t="str">
        <f ca="1">IFERROR(__xludf.DUMMYFUNCTION((TRANSPOSE(ImportHTML("http://spending.data.al/sq/moneypower/view/id/288/year/2012",  "table", 0)))),"*Emër Subjekti*")</f>
        <v>*Emër Subjekti*</v>
      </c>
      <c r="D652" t="s">
        <v>698</v>
      </c>
      <c r="E652" t="s">
        <v>699</v>
      </c>
      <c r="F652" t="s">
        <v>700</v>
      </c>
      <c r="G652" t="s">
        <v>701</v>
      </c>
      <c r="H652" t="s">
        <v>702</v>
      </c>
    </row>
    <row r="653" spans="2:16" ht="15">
      <c r="B653" s="11"/>
    </row>
    <row r="654" spans="2:16" ht="15">
      <c r="B654" s="11"/>
      <c r="C654" t="s">
        <v>4425</v>
      </c>
      <c r="D654" t="s">
        <v>711</v>
      </c>
      <c r="E654" s="12">
        <v>41526</v>
      </c>
      <c r="F654" t="s">
        <v>712</v>
      </c>
      <c r="G654" t="s">
        <v>4426</v>
      </c>
      <c r="H654" t="s">
        <v>707</v>
      </c>
    </row>
    <row r="655" spans="2:16" ht="15">
      <c r="B655" s="9">
        <v>289</v>
      </c>
      <c r="C655" t="str">
        <f ca="1">IFERROR(__xludf.DUMMYFUNCTION((TRANSPOSE(ImportHTML("http://spending.data.al/sq/moneypower/view/id/289/year/2012",  "table", 0)))),"")</f>
        <v/>
      </c>
      <c r="D655" t="s">
        <v>673</v>
      </c>
      <c r="E655" t="s">
        <v>674</v>
      </c>
      <c r="F655" t="s">
        <v>675</v>
      </c>
      <c r="G655" t="s">
        <v>676</v>
      </c>
      <c r="H655" t="s">
        <v>677</v>
      </c>
      <c r="I655" t="s">
        <v>678</v>
      </c>
      <c r="J655" t="s">
        <v>679</v>
      </c>
      <c r="K655" t="s">
        <v>680</v>
      </c>
      <c r="L655" t="s">
        <v>681</v>
      </c>
      <c r="M655" t="s">
        <v>682</v>
      </c>
      <c r="N655" t="s">
        <v>683</v>
      </c>
      <c r="O655" t="s">
        <v>684</v>
      </c>
      <c r="P655" t="s">
        <v>685</v>
      </c>
    </row>
    <row r="656" spans="2:16" ht="15">
      <c r="B656" s="11"/>
      <c r="C656" t="s">
        <v>686</v>
      </c>
      <c r="D656" t="s">
        <v>3654</v>
      </c>
      <c r="E656" t="s">
        <v>688</v>
      </c>
      <c r="F656" t="s">
        <v>688</v>
      </c>
      <c r="G656" t="s">
        <v>3655</v>
      </c>
      <c r="H656" t="s">
        <v>688</v>
      </c>
      <c r="I656" t="s">
        <v>688</v>
      </c>
      <c r="J656" t="s">
        <v>688</v>
      </c>
      <c r="K656" t="s">
        <v>688</v>
      </c>
      <c r="L656" t="s">
        <v>688</v>
      </c>
      <c r="M656" t="s">
        <v>3656</v>
      </c>
      <c r="N656" t="s">
        <v>688</v>
      </c>
      <c r="O656" s="13">
        <v>2.52</v>
      </c>
      <c r="P656" t="s">
        <v>3657</v>
      </c>
    </row>
    <row r="657" spans="2:16" ht="15">
      <c r="B657" s="9">
        <v>290</v>
      </c>
      <c r="C657" t="str">
        <f ca="1">IFERROR(__xludf.DUMMYFUNCTION((TRANSPOSE(ImportHTML("http://spending.data.al/sq/moneypower/view/id/290/year/2012",  "table", 0)))),"*Emër Subjekti*")</f>
        <v>*Emër Subjekti*</v>
      </c>
      <c r="D657" t="s">
        <v>698</v>
      </c>
      <c r="E657" t="s">
        <v>699</v>
      </c>
      <c r="F657" t="s">
        <v>700</v>
      </c>
      <c r="G657" t="s">
        <v>701</v>
      </c>
      <c r="H657" t="s">
        <v>702</v>
      </c>
    </row>
    <row r="658" spans="2:16" ht="15">
      <c r="B658" s="11"/>
    </row>
    <row r="659" spans="2:16" ht="15">
      <c r="B659" s="11"/>
      <c r="C659" t="s">
        <v>3658</v>
      </c>
      <c r="D659" t="s">
        <v>711</v>
      </c>
      <c r="E659" s="12">
        <v>41631</v>
      </c>
      <c r="F659" t="s">
        <v>1845</v>
      </c>
      <c r="G659" t="s">
        <v>3659</v>
      </c>
      <c r="H659" t="s">
        <v>3660</v>
      </c>
    </row>
    <row r="660" spans="2:16" ht="15">
      <c r="B660" s="9">
        <v>291</v>
      </c>
      <c r="C660" t="str">
        <f ca="1">IFERROR(__xludf.DUMMYFUNCTION((TRANSPOSE(ImportHTML("http://spending.data.al/sq/moneypower/view/id/291/year/2012",  "table", 0)))),"*Kategoria*")</f>
        <v>*Kategoria*</v>
      </c>
      <c r="D660" t="s">
        <v>673</v>
      </c>
      <c r="E660" t="s">
        <v>674</v>
      </c>
      <c r="F660" t="s">
        <v>675</v>
      </c>
      <c r="G660" t="s">
        <v>676</v>
      </c>
      <c r="H660" t="s">
        <v>677</v>
      </c>
      <c r="I660" t="s">
        <v>678</v>
      </c>
      <c r="J660" t="s">
        <v>679</v>
      </c>
      <c r="K660" t="s">
        <v>680</v>
      </c>
      <c r="L660" t="s">
        <v>681</v>
      </c>
      <c r="M660" t="s">
        <v>682</v>
      </c>
      <c r="N660" t="s">
        <v>683</v>
      </c>
      <c r="O660" t="s">
        <v>684</v>
      </c>
      <c r="P660" t="s">
        <v>685</v>
      </c>
    </row>
    <row r="661" spans="2:16" ht="15">
      <c r="B661" s="11"/>
      <c r="C661" t="s">
        <v>686</v>
      </c>
      <c r="D661" t="s">
        <v>3661</v>
      </c>
      <c r="E661" t="s">
        <v>688</v>
      </c>
      <c r="F661" t="s">
        <v>688</v>
      </c>
      <c r="G661" t="s">
        <v>3662</v>
      </c>
      <c r="H661" t="s">
        <v>688</v>
      </c>
      <c r="I661" t="s">
        <v>688</v>
      </c>
      <c r="J661" t="s">
        <v>688</v>
      </c>
      <c r="K661" t="s">
        <v>688</v>
      </c>
      <c r="L661" t="s">
        <v>688</v>
      </c>
      <c r="M661" t="s">
        <v>3663</v>
      </c>
      <c r="N661" t="s">
        <v>688</v>
      </c>
      <c r="O661" s="13">
        <v>1.01</v>
      </c>
      <c r="P661" t="s">
        <v>3664</v>
      </c>
    </row>
    <row r="662" spans="2:16" ht="15">
      <c r="B662" s="9">
        <v>292</v>
      </c>
      <c r="C662" t="str">
        <f ca="1">IFERROR(__xludf.DUMMYFUNCTION((TRANSPOSE(ImportHTML("http://spending.data.al/sq/moneypower/view/id/292/year/2012",  "table", 0)))),"*Emër Subjekti*")</f>
        <v>*Emër Subjekti*</v>
      </c>
      <c r="D662" t="s">
        <v>698</v>
      </c>
      <c r="E662" t="s">
        <v>699</v>
      </c>
      <c r="F662" t="s">
        <v>700</v>
      </c>
      <c r="G662" t="s">
        <v>701</v>
      </c>
      <c r="H662" t="s">
        <v>702</v>
      </c>
    </row>
    <row r="663" spans="2:16" ht="15">
      <c r="B663" s="11"/>
    </row>
    <row r="664" spans="2:16" ht="15">
      <c r="B664" s="11"/>
      <c r="C664" t="s">
        <v>3665</v>
      </c>
      <c r="D664" t="s">
        <v>711</v>
      </c>
      <c r="E664" s="12">
        <v>41526</v>
      </c>
      <c r="F664" t="s">
        <v>2191</v>
      </c>
      <c r="G664" t="s">
        <v>3666</v>
      </c>
      <c r="H664" t="s">
        <v>3667</v>
      </c>
    </row>
    <row r="665" spans="2:16" ht="15">
      <c r="B665" s="9">
        <v>293</v>
      </c>
      <c r="C665" t="str">
        <f ca="1">IFERROR(__xludf.DUMMYFUNCTION((TRANSPOSE(ImportHTML("http://spending.data.al/sq/moneypower/view/id/293/year/2012",  "table", 0)))),"*Emër Subjekti*")</f>
        <v>*Emër Subjekti*</v>
      </c>
      <c r="D665" t="s">
        <v>698</v>
      </c>
      <c r="E665" t="s">
        <v>699</v>
      </c>
      <c r="F665" t="s">
        <v>700</v>
      </c>
      <c r="G665" t="s">
        <v>701</v>
      </c>
      <c r="H665" t="s">
        <v>702</v>
      </c>
    </row>
    <row r="666" spans="2:16" ht="15">
      <c r="B666" s="11"/>
    </row>
    <row r="667" spans="2:16" ht="15">
      <c r="B667" s="11"/>
      <c r="C667" t="s">
        <v>3668</v>
      </c>
      <c r="D667" t="s">
        <v>711</v>
      </c>
      <c r="E667" s="12">
        <v>41526</v>
      </c>
      <c r="F667" t="s">
        <v>1845</v>
      </c>
      <c r="G667" t="s">
        <v>3669</v>
      </c>
      <c r="H667" t="s">
        <v>3670</v>
      </c>
    </row>
    <row r="668" spans="2:16" ht="15">
      <c r="B668" s="9">
        <v>294</v>
      </c>
      <c r="C668" t="str">
        <f ca="1">IFERROR(__xludf.DUMMYFUNCTION((TRANSPOSE(ImportHTML("http://spending.data.al/sq/moneypower/view/id/294/year/2012",  "table", 0)))),"*Emër Subjekti*")</f>
        <v>*Emër Subjekti*</v>
      </c>
      <c r="D668" t="s">
        <v>698</v>
      </c>
      <c r="E668" t="s">
        <v>699</v>
      </c>
      <c r="F668" t="s">
        <v>700</v>
      </c>
      <c r="G668" t="s">
        <v>701</v>
      </c>
      <c r="H668" t="s">
        <v>702</v>
      </c>
    </row>
    <row r="669" spans="2:16" ht="15">
      <c r="B669" s="11"/>
    </row>
    <row r="670" spans="2:16" ht="15">
      <c r="B670" s="11"/>
      <c r="C670" t="s">
        <v>3671</v>
      </c>
      <c r="D670" t="s">
        <v>711</v>
      </c>
      <c r="E670" s="12">
        <v>41526</v>
      </c>
      <c r="F670" t="s">
        <v>1845</v>
      </c>
      <c r="G670" t="s">
        <v>3672</v>
      </c>
      <c r="H670" t="s">
        <v>1918</v>
      </c>
    </row>
    <row r="671" spans="2:16" ht="15">
      <c r="B671" s="9">
        <v>295</v>
      </c>
      <c r="C671" t="str">
        <f ca="1">IFERROR(__xludf.DUMMYFUNCTION((TRANSPOSE(ImportHTML("http://spending.data.al/sq/moneypower/view/id/295/year/2012",  "table", 0)))),"*Kategoria*")</f>
        <v>*Kategoria*</v>
      </c>
      <c r="D671" t="s">
        <v>673</v>
      </c>
      <c r="E671" t="s">
        <v>674</v>
      </c>
      <c r="F671" t="s">
        <v>675</v>
      </c>
      <c r="G671" t="s">
        <v>676</v>
      </c>
      <c r="H671" t="s">
        <v>677</v>
      </c>
      <c r="I671" t="s">
        <v>678</v>
      </c>
      <c r="J671" t="s">
        <v>679</v>
      </c>
      <c r="K671" t="s">
        <v>680</v>
      </c>
      <c r="L671" t="s">
        <v>681</v>
      </c>
      <c r="M671" t="s">
        <v>682</v>
      </c>
      <c r="N671" t="s">
        <v>683</v>
      </c>
      <c r="O671" t="s">
        <v>684</v>
      </c>
      <c r="P671" t="s">
        <v>685</v>
      </c>
    </row>
    <row r="672" spans="2:16" ht="15">
      <c r="B672" s="11"/>
      <c r="C672" t="s">
        <v>686</v>
      </c>
      <c r="D672" t="s">
        <v>3673</v>
      </c>
      <c r="E672" t="s">
        <v>688</v>
      </c>
      <c r="F672" t="s">
        <v>3674</v>
      </c>
      <c r="G672" t="s">
        <v>688</v>
      </c>
      <c r="H672" t="s">
        <v>688</v>
      </c>
      <c r="I672" t="s">
        <v>688</v>
      </c>
      <c r="J672" t="s">
        <v>688</v>
      </c>
      <c r="K672" t="s">
        <v>688</v>
      </c>
      <c r="L672" t="s">
        <v>688</v>
      </c>
      <c r="M672" t="s">
        <v>3675</v>
      </c>
      <c r="N672" t="s">
        <v>688</v>
      </c>
      <c r="O672" s="13">
        <v>1.02</v>
      </c>
      <c r="P672" t="s">
        <v>3676</v>
      </c>
    </row>
    <row r="673" spans="2:16" ht="15">
      <c r="B673" s="9">
        <v>296</v>
      </c>
      <c r="C673" t="str">
        <f ca="1">IFERROR(__xludf.DUMMYFUNCTION((TRANSPOSE(ImportHTML("http://spending.data.al/sq/moneypower/view/id/296/year/2012",  "table", 0)))),"*Kategoria*")</f>
        <v>*Kategoria*</v>
      </c>
      <c r="D673" t="s">
        <v>673</v>
      </c>
      <c r="E673" t="s">
        <v>674</v>
      </c>
      <c r="F673" t="s">
        <v>675</v>
      </c>
      <c r="G673" t="s">
        <v>676</v>
      </c>
      <c r="H673" t="s">
        <v>677</v>
      </c>
      <c r="I673" t="s">
        <v>678</v>
      </c>
      <c r="J673" t="s">
        <v>679</v>
      </c>
      <c r="K673" t="s">
        <v>680</v>
      </c>
      <c r="L673" t="s">
        <v>681</v>
      </c>
      <c r="M673" t="s">
        <v>682</v>
      </c>
      <c r="N673" t="s">
        <v>683</v>
      </c>
      <c r="O673" t="s">
        <v>684</v>
      </c>
      <c r="P673" t="s">
        <v>685</v>
      </c>
    </row>
    <row r="674" spans="2:16" ht="15">
      <c r="B674" s="11"/>
      <c r="C674" t="s">
        <v>686</v>
      </c>
      <c r="D674" t="s">
        <v>3677</v>
      </c>
      <c r="E674" t="s">
        <v>3678</v>
      </c>
      <c r="F674" t="s">
        <v>3679</v>
      </c>
      <c r="G674" t="s">
        <v>688</v>
      </c>
      <c r="H674" t="s">
        <v>688</v>
      </c>
      <c r="I674" t="s">
        <v>688</v>
      </c>
      <c r="J674" t="s">
        <v>688</v>
      </c>
      <c r="K674" t="s">
        <v>688</v>
      </c>
      <c r="L674" t="s">
        <v>688</v>
      </c>
      <c r="M674" t="s">
        <v>688</v>
      </c>
      <c r="N674" t="s">
        <v>688</v>
      </c>
      <c r="O674" s="13">
        <v>1.04</v>
      </c>
      <c r="P674" t="s">
        <v>688</v>
      </c>
    </row>
    <row r="675" spans="2:16" ht="15">
      <c r="B675" s="9">
        <v>297</v>
      </c>
      <c r="C675" t="str">
        <f ca="1">IFERROR(__xludf.DUMMYFUNCTION((TRANSPOSE(ImportHTML("http://spending.data.al/sq/moneypower/view/id/297/year/2012",  "table", 0)))),"*Emër Subjekti*")</f>
        <v>*Emër Subjekti*</v>
      </c>
      <c r="D675" t="s">
        <v>698</v>
      </c>
      <c r="E675" t="s">
        <v>699</v>
      </c>
      <c r="F675" t="s">
        <v>700</v>
      </c>
      <c r="G675" t="s">
        <v>701</v>
      </c>
      <c r="H675" t="s">
        <v>702</v>
      </c>
    </row>
    <row r="676" spans="2:16" ht="15">
      <c r="B676" s="11"/>
    </row>
    <row r="677" spans="2:16" ht="15">
      <c r="B677" s="11"/>
      <c r="C677" t="s">
        <v>3680</v>
      </c>
      <c r="D677" t="s">
        <v>711</v>
      </c>
      <c r="E677" s="12">
        <v>41526</v>
      </c>
      <c r="F677" t="s">
        <v>712</v>
      </c>
      <c r="G677" t="s">
        <v>3681</v>
      </c>
      <c r="H677" t="s">
        <v>3682</v>
      </c>
    </row>
    <row r="678" spans="2:16" ht="15">
      <c r="B678" s="9">
        <v>298</v>
      </c>
      <c r="C678" t="str">
        <f ca="1">IFERROR(__xludf.DUMMYFUNCTION((TRANSPOSE(ImportHTML("http://spending.data.al/sq/moneypower/view/id/298/year/2012",  "table", 0)))),"*Kategoria*")</f>
        <v>*Kategoria*</v>
      </c>
      <c r="D678" t="s">
        <v>673</v>
      </c>
      <c r="E678" t="s">
        <v>674</v>
      </c>
      <c r="F678" t="s">
        <v>675</v>
      </c>
      <c r="G678" t="s">
        <v>676</v>
      </c>
      <c r="H678" t="s">
        <v>677</v>
      </c>
      <c r="I678" t="s">
        <v>678</v>
      </c>
      <c r="J678" t="s">
        <v>679</v>
      </c>
      <c r="K678" t="s">
        <v>680</v>
      </c>
      <c r="L678" t="s">
        <v>681</v>
      </c>
      <c r="M678" t="s">
        <v>682</v>
      </c>
      <c r="N678" t="s">
        <v>683</v>
      </c>
      <c r="O678" t="s">
        <v>684</v>
      </c>
      <c r="P678" t="s">
        <v>685</v>
      </c>
    </row>
    <row r="679" spans="2:16" ht="15">
      <c r="B679" s="11"/>
      <c r="C679" t="s">
        <v>686</v>
      </c>
      <c r="D679" t="s">
        <v>3683</v>
      </c>
      <c r="E679" t="s">
        <v>688</v>
      </c>
      <c r="F679" t="s">
        <v>3684</v>
      </c>
      <c r="G679" t="s">
        <v>3685</v>
      </c>
      <c r="H679" t="s">
        <v>688</v>
      </c>
      <c r="I679" t="s">
        <v>688</v>
      </c>
      <c r="J679" t="s">
        <v>688</v>
      </c>
      <c r="K679" t="s">
        <v>688</v>
      </c>
      <c r="L679" t="s">
        <v>688</v>
      </c>
      <c r="M679" t="s">
        <v>3686</v>
      </c>
      <c r="N679" t="s">
        <v>688</v>
      </c>
      <c r="O679" s="13">
        <v>1.0900000000000001</v>
      </c>
      <c r="P679" t="s">
        <v>3687</v>
      </c>
    </row>
    <row r="680" spans="2:16" ht="15">
      <c r="B680" s="9">
        <v>299</v>
      </c>
      <c r="C680" t="str">
        <f ca="1">IFERROR(__xludf.DUMMYFUNCTION((TRANSPOSE(ImportHTML("http://spending.data.al/sq/moneypower/view/id/299/year/2012",  "table", 0)))),"*Kategoria*")</f>
        <v>*Kategoria*</v>
      </c>
      <c r="D680" t="s">
        <v>673</v>
      </c>
      <c r="E680" t="s">
        <v>674</v>
      </c>
      <c r="F680" t="s">
        <v>675</v>
      </c>
      <c r="G680" t="s">
        <v>676</v>
      </c>
      <c r="H680" t="s">
        <v>677</v>
      </c>
      <c r="I680" t="s">
        <v>678</v>
      </c>
      <c r="J680" t="s">
        <v>679</v>
      </c>
      <c r="K680" t="s">
        <v>680</v>
      </c>
      <c r="L680" t="s">
        <v>681</v>
      </c>
      <c r="M680" t="s">
        <v>682</v>
      </c>
      <c r="N680" t="s">
        <v>683</v>
      </c>
      <c r="O680" t="s">
        <v>684</v>
      </c>
      <c r="P680" t="s">
        <v>685</v>
      </c>
    </row>
    <row r="681" spans="2:16" ht="15">
      <c r="B681" s="11"/>
      <c r="C681" t="s">
        <v>686</v>
      </c>
      <c r="D681" t="s">
        <v>3688</v>
      </c>
      <c r="E681" t="s">
        <v>688</v>
      </c>
      <c r="F681" t="s">
        <v>688</v>
      </c>
      <c r="G681" t="s">
        <v>688</v>
      </c>
      <c r="H681" t="s">
        <v>688</v>
      </c>
      <c r="I681" t="s">
        <v>688</v>
      </c>
      <c r="J681" t="s">
        <v>688</v>
      </c>
      <c r="K681" t="s">
        <v>688</v>
      </c>
      <c r="L681" t="s">
        <v>688</v>
      </c>
      <c r="M681" t="s">
        <v>3689</v>
      </c>
      <c r="N681" t="s">
        <v>688</v>
      </c>
      <c r="O681" s="13">
        <v>1</v>
      </c>
      <c r="P681" t="s">
        <v>688</v>
      </c>
    </row>
    <row r="682" spans="2:16" ht="15">
      <c r="B682" s="9">
        <v>300</v>
      </c>
      <c r="C682" t="str">
        <f ca="1">IFERROR(__xludf.DUMMYFUNCTION((TRANSPOSE(ImportHTML("http://spending.data.al/sq/moneypower/view/id/300/year/2012",  "table", 0)))),"*Kategoria*")</f>
        <v>*Kategoria*</v>
      </c>
      <c r="D682" t="s">
        <v>673</v>
      </c>
      <c r="E682" t="s">
        <v>674</v>
      </c>
      <c r="F682" t="s">
        <v>675</v>
      </c>
      <c r="G682" t="s">
        <v>676</v>
      </c>
      <c r="H682" t="s">
        <v>677</v>
      </c>
      <c r="I682" t="s">
        <v>678</v>
      </c>
      <c r="J682" t="s">
        <v>679</v>
      </c>
      <c r="K682" t="s">
        <v>680</v>
      </c>
      <c r="L682" t="s">
        <v>681</v>
      </c>
      <c r="M682" t="s">
        <v>682</v>
      </c>
      <c r="N682" t="s">
        <v>683</v>
      </c>
      <c r="O682" t="s">
        <v>684</v>
      </c>
      <c r="P682" t="s">
        <v>685</v>
      </c>
    </row>
    <row r="683" spans="2:16" ht="15">
      <c r="B683" s="11"/>
      <c r="C683" t="s">
        <v>686</v>
      </c>
      <c r="D683" t="s">
        <v>3690</v>
      </c>
      <c r="E683" t="s">
        <v>688</v>
      </c>
      <c r="F683" t="s">
        <v>688</v>
      </c>
      <c r="G683" t="s">
        <v>688</v>
      </c>
      <c r="H683" t="s">
        <v>688</v>
      </c>
      <c r="I683" t="s">
        <v>688</v>
      </c>
      <c r="J683" t="s">
        <v>688</v>
      </c>
      <c r="K683" t="s">
        <v>688</v>
      </c>
      <c r="L683" t="s">
        <v>688</v>
      </c>
      <c r="M683" t="s">
        <v>3691</v>
      </c>
      <c r="N683" t="s">
        <v>688</v>
      </c>
      <c r="O683" s="13">
        <v>1.1599999999999999</v>
      </c>
      <c r="P683" t="s">
        <v>688</v>
      </c>
    </row>
    <row r="684" spans="2:16" ht="15">
      <c r="B684" s="9">
        <v>301</v>
      </c>
      <c r="C684" t="str">
        <f ca="1">IFERROR(__xludf.DUMMYFUNCTION((TRANSPOSE(ImportHTML("http://spending.data.al/sq/moneypower/view/id/301/year/2012",  "table", 0)))),"*Kategoria*")</f>
        <v>*Kategoria*</v>
      </c>
      <c r="D684" t="s">
        <v>673</v>
      </c>
      <c r="E684" t="s">
        <v>674</v>
      </c>
      <c r="F684" t="s">
        <v>675</v>
      </c>
      <c r="G684" t="s">
        <v>676</v>
      </c>
      <c r="H684" t="s">
        <v>677</v>
      </c>
      <c r="I684" t="s">
        <v>678</v>
      </c>
      <c r="J684" t="s">
        <v>679</v>
      </c>
      <c r="K684" t="s">
        <v>680</v>
      </c>
      <c r="L684" t="s">
        <v>681</v>
      </c>
      <c r="M684" t="s">
        <v>682</v>
      </c>
      <c r="N684" t="s">
        <v>683</v>
      </c>
      <c r="O684" t="s">
        <v>684</v>
      </c>
      <c r="P684" t="s">
        <v>685</v>
      </c>
    </row>
    <row r="685" spans="2:16" ht="15">
      <c r="B685" s="11"/>
      <c r="C685" t="s">
        <v>686</v>
      </c>
      <c r="D685" t="s">
        <v>3692</v>
      </c>
      <c r="E685" t="s">
        <v>688</v>
      </c>
      <c r="F685" t="s">
        <v>3693</v>
      </c>
      <c r="G685" t="s">
        <v>688</v>
      </c>
      <c r="H685" t="s">
        <v>688</v>
      </c>
      <c r="I685" t="s">
        <v>688</v>
      </c>
      <c r="J685" t="s">
        <v>688</v>
      </c>
      <c r="K685" t="s">
        <v>688</v>
      </c>
      <c r="L685" t="s">
        <v>688</v>
      </c>
      <c r="M685" t="s">
        <v>688</v>
      </c>
      <c r="N685" t="s">
        <v>688</v>
      </c>
      <c r="O685" s="13">
        <v>1.07</v>
      </c>
      <c r="P685" t="s">
        <v>688</v>
      </c>
    </row>
    <row r="686" spans="2:16" ht="15">
      <c r="B686" s="9">
        <v>302</v>
      </c>
      <c r="C686" t="str">
        <f ca="1">IFERROR(__xludf.DUMMYFUNCTION((TRANSPOSE(ImportHTML("http://spending.data.al/sq/moneypower/view/id/302/year/2012",  "table", 0)))),"*Kategoria*")</f>
        <v>*Kategoria*</v>
      </c>
      <c r="D686" t="s">
        <v>673</v>
      </c>
      <c r="E686" t="s">
        <v>674</v>
      </c>
      <c r="F686" t="s">
        <v>675</v>
      </c>
      <c r="G686" t="s">
        <v>676</v>
      </c>
      <c r="H686" t="s">
        <v>677</v>
      </c>
      <c r="I686" t="s">
        <v>678</v>
      </c>
      <c r="J686" t="s">
        <v>679</v>
      </c>
      <c r="K686" t="s">
        <v>680</v>
      </c>
      <c r="L686" t="s">
        <v>681</v>
      </c>
      <c r="M686" t="s">
        <v>682</v>
      </c>
      <c r="N686" t="s">
        <v>683</v>
      </c>
      <c r="O686" t="s">
        <v>684</v>
      </c>
      <c r="P686" t="s">
        <v>685</v>
      </c>
    </row>
    <row r="687" spans="2:16" ht="15">
      <c r="B687" s="11"/>
      <c r="C687" t="s">
        <v>686</v>
      </c>
      <c r="D687" t="s">
        <v>3694</v>
      </c>
      <c r="E687" t="s">
        <v>688</v>
      </c>
      <c r="F687" t="s">
        <v>688</v>
      </c>
      <c r="G687" t="s">
        <v>688</v>
      </c>
      <c r="H687" t="s">
        <v>688</v>
      </c>
      <c r="I687" t="s">
        <v>688</v>
      </c>
      <c r="J687" t="s">
        <v>688</v>
      </c>
      <c r="K687" t="s">
        <v>688</v>
      </c>
      <c r="L687" t="s">
        <v>688</v>
      </c>
      <c r="M687" t="s">
        <v>688</v>
      </c>
      <c r="N687" t="s">
        <v>688</v>
      </c>
      <c r="O687" s="13">
        <v>1</v>
      </c>
      <c r="P687" t="s">
        <v>688</v>
      </c>
    </row>
    <row r="688" spans="2:16" ht="15">
      <c r="B688" s="9">
        <v>303</v>
      </c>
      <c r="C688" t="str">
        <f ca="1">IFERROR(__xludf.DUMMYFUNCTION((TRANSPOSE(ImportHTML("http://spending.data.al/sq/moneypower/view/id/303/year/2012",  "table", 0)))),"*Emër Subjekti*")</f>
        <v>*Emër Subjekti*</v>
      </c>
      <c r="D688" t="s">
        <v>698</v>
      </c>
      <c r="E688" t="s">
        <v>699</v>
      </c>
      <c r="F688" t="s">
        <v>700</v>
      </c>
      <c r="G688" t="s">
        <v>701</v>
      </c>
      <c r="H688" t="s">
        <v>702</v>
      </c>
    </row>
    <row r="689" spans="2:16" ht="15">
      <c r="B689" s="11"/>
    </row>
    <row r="690" spans="2:16" ht="15">
      <c r="B690" s="11"/>
      <c r="C690" t="s">
        <v>3695</v>
      </c>
      <c r="D690" t="s">
        <v>711</v>
      </c>
      <c r="E690" s="12">
        <v>41526</v>
      </c>
      <c r="F690" t="s">
        <v>2226</v>
      </c>
      <c r="G690" t="s">
        <v>3696</v>
      </c>
      <c r="H690" t="s">
        <v>707</v>
      </c>
    </row>
    <row r="691" spans="2:16" ht="15">
      <c r="B691" s="9">
        <v>304</v>
      </c>
      <c r="C691" t="str">
        <f ca="1">IFERROR(__xludf.DUMMYFUNCTION((TRANSPOSE(ImportHTML("http://spending.data.al/sq/moneypower/view/id/304/year/2012",  "table", 0)))),"*Kategoria*")</f>
        <v>*Kategoria*</v>
      </c>
      <c r="D691" t="s">
        <v>673</v>
      </c>
      <c r="E691" t="s">
        <v>674</v>
      </c>
      <c r="F691" t="s">
        <v>675</v>
      </c>
      <c r="G691" t="s">
        <v>676</v>
      </c>
      <c r="H691" t="s">
        <v>677</v>
      </c>
      <c r="I691" t="s">
        <v>678</v>
      </c>
      <c r="J691" t="s">
        <v>679</v>
      </c>
      <c r="K691" t="s">
        <v>680</v>
      </c>
      <c r="L691" t="s">
        <v>681</v>
      </c>
      <c r="M691" t="s">
        <v>682</v>
      </c>
      <c r="N691" t="s">
        <v>683</v>
      </c>
      <c r="O691" t="s">
        <v>684</v>
      </c>
      <c r="P691" t="s">
        <v>685</v>
      </c>
    </row>
    <row r="692" spans="2:16" ht="15">
      <c r="B692" s="11"/>
      <c r="C692" t="s">
        <v>686</v>
      </c>
      <c r="D692" t="s">
        <v>3697</v>
      </c>
      <c r="E692" t="s">
        <v>688</v>
      </c>
      <c r="F692" t="s">
        <v>688</v>
      </c>
      <c r="G692" t="s">
        <v>688</v>
      </c>
      <c r="H692" t="s">
        <v>3698</v>
      </c>
      <c r="I692" t="s">
        <v>688</v>
      </c>
      <c r="J692" t="s">
        <v>688</v>
      </c>
      <c r="K692" t="s">
        <v>688</v>
      </c>
      <c r="L692" t="s">
        <v>688</v>
      </c>
      <c r="M692" t="s">
        <v>688</v>
      </c>
      <c r="N692" t="s">
        <v>688</v>
      </c>
      <c r="O692" s="13">
        <v>1.78</v>
      </c>
      <c r="P692" t="s">
        <v>3699</v>
      </c>
    </row>
    <row r="693" spans="2:16" ht="15">
      <c r="B693" s="9">
        <v>305</v>
      </c>
      <c r="C693" t="str">
        <f ca="1">IFERROR(__xludf.DUMMYFUNCTION((TRANSPOSE(ImportHTML("http://spending.data.al/sq/moneypower/view/id/305/year/2012",  "table", 0)))),"*Emër Subjekti*")</f>
        <v>*Emër Subjekti*</v>
      </c>
      <c r="D693" t="s">
        <v>698</v>
      </c>
      <c r="E693" t="s">
        <v>699</v>
      </c>
      <c r="F693" t="s">
        <v>700</v>
      </c>
      <c r="G693" t="s">
        <v>701</v>
      </c>
      <c r="H693" t="s">
        <v>702</v>
      </c>
    </row>
    <row r="694" spans="2:16" ht="15">
      <c r="B694" s="11"/>
    </row>
    <row r="695" spans="2:16" ht="15">
      <c r="B695" s="11"/>
      <c r="C695" t="s">
        <v>3700</v>
      </c>
      <c r="D695" t="s">
        <v>711</v>
      </c>
      <c r="E695" s="12">
        <v>41526</v>
      </c>
      <c r="F695" t="s">
        <v>712</v>
      </c>
      <c r="G695" t="s">
        <v>3701</v>
      </c>
      <c r="H695" t="s">
        <v>1918</v>
      </c>
    </row>
    <row r="696" spans="2:16" ht="15">
      <c r="B696" s="9">
        <v>306</v>
      </c>
      <c r="C696" t="str">
        <f ca="1">IFERROR(__xludf.DUMMYFUNCTION((TRANSPOSE(ImportHTML("http://spending.data.al/sq/moneypower/view/id/306/year/2012",  "table", 0)))),"*Kategoria*")</f>
        <v>*Kategoria*</v>
      </c>
      <c r="D696" t="s">
        <v>673</v>
      </c>
      <c r="E696" t="s">
        <v>674</v>
      </c>
      <c r="F696" t="s">
        <v>675</v>
      </c>
      <c r="G696" t="s">
        <v>676</v>
      </c>
      <c r="H696" t="s">
        <v>677</v>
      </c>
      <c r="I696" t="s">
        <v>678</v>
      </c>
      <c r="J696" t="s">
        <v>679</v>
      </c>
      <c r="K696" t="s">
        <v>680</v>
      </c>
      <c r="L696" t="s">
        <v>681</v>
      </c>
      <c r="M696" t="s">
        <v>682</v>
      </c>
      <c r="N696" t="s">
        <v>683</v>
      </c>
      <c r="O696" t="s">
        <v>684</v>
      </c>
      <c r="P696" t="s">
        <v>685</v>
      </c>
    </row>
    <row r="697" spans="2:16" ht="15">
      <c r="B697" s="11"/>
      <c r="C697" t="s">
        <v>686</v>
      </c>
      <c r="D697" t="s">
        <v>3702</v>
      </c>
      <c r="E697" t="s">
        <v>688</v>
      </c>
      <c r="F697" t="s">
        <v>688</v>
      </c>
      <c r="G697" t="s">
        <v>688</v>
      </c>
      <c r="H697" t="s">
        <v>3703</v>
      </c>
      <c r="I697" t="s">
        <v>688</v>
      </c>
      <c r="J697" t="s">
        <v>688</v>
      </c>
      <c r="K697" t="s">
        <v>688</v>
      </c>
      <c r="L697" t="s">
        <v>688</v>
      </c>
      <c r="M697" t="s">
        <v>3704</v>
      </c>
      <c r="N697" t="s">
        <v>3705</v>
      </c>
      <c r="O697" s="13">
        <v>2.2400000000000002</v>
      </c>
      <c r="P697" t="s">
        <v>688</v>
      </c>
    </row>
    <row r="698" spans="2:16" ht="15">
      <c r="B698" s="9">
        <v>307</v>
      </c>
      <c r="C698" t="str">
        <f ca="1">IFERROR(__xludf.DUMMYFUNCTION((TRANSPOSE(ImportHTML("http://spending.data.al/sq/moneypower/view/id/307/year/2012",  "table", 0)))),"*Emër Subjekti*")</f>
        <v>*Emër Subjekti*</v>
      </c>
      <c r="D698" t="s">
        <v>698</v>
      </c>
      <c r="E698" t="s">
        <v>699</v>
      </c>
      <c r="F698" t="s">
        <v>700</v>
      </c>
      <c r="G698" t="s">
        <v>701</v>
      </c>
      <c r="H698" t="s">
        <v>702</v>
      </c>
    </row>
    <row r="699" spans="2:16" ht="15">
      <c r="B699" s="11"/>
    </row>
    <row r="700" spans="2:16" ht="15">
      <c r="B700" s="9"/>
      <c r="C700" t="s">
        <v>3706</v>
      </c>
      <c r="D700" t="s">
        <v>711</v>
      </c>
      <c r="E700" s="12">
        <v>41527</v>
      </c>
      <c r="F700" t="s">
        <v>1845</v>
      </c>
      <c r="G700" t="s">
        <v>3707</v>
      </c>
      <c r="H700" t="s">
        <v>707</v>
      </c>
    </row>
    <row r="701" spans="2:16" ht="15">
      <c r="B701" s="9">
        <v>308</v>
      </c>
      <c r="C701" t="str">
        <f ca="1">IFERROR(__xludf.DUMMYFUNCTION((TRANSPOSE(ImportHTML("http://spending.data.al/sq/moneypower/view/id/308/year/2012",  "table", 0)))),"*Emër Subjekti*")</f>
        <v>*Emër Subjekti*</v>
      </c>
      <c r="D701" t="s">
        <v>698</v>
      </c>
      <c r="E701" t="s">
        <v>699</v>
      </c>
      <c r="F701" t="s">
        <v>700</v>
      </c>
      <c r="G701" t="s">
        <v>701</v>
      </c>
      <c r="H701" t="s">
        <v>702</v>
      </c>
    </row>
    <row r="702" spans="2:16" ht="15">
      <c r="B702" s="11"/>
    </row>
    <row r="703" spans="2:16" ht="15">
      <c r="B703" s="9"/>
      <c r="C703" t="s">
        <v>3708</v>
      </c>
      <c r="D703" t="s">
        <v>711</v>
      </c>
      <c r="E703" s="12">
        <v>41527</v>
      </c>
      <c r="F703" t="s">
        <v>1845</v>
      </c>
      <c r="G703" t="s">
        <v>3709</v>
      </c>
      <c r="H703" t="s">
        <v>707</v>
      </c>
    </row>
    <row r="704" spans="2:16" ht="15">
      <c r="B704" s="9">
        <v>309</v>
      </c>
      <c r="C704" t="str">
        <f ca="1">IFERROR(__xludf.DUMMYFUNCTION((TRANSPOSE(ImportHTML("http://spending.data.al/sq/moneypower/view/id/309/year/2012",  "table", 0)))),"*Emër Subjekti*")</f>
        <v>*Emër Subjekti*</v>
      </c>
      <c r="D704" t="s">
        <v>698</v>
      </c>
      <c r="E704" t="s">
        <v>699</v>
      </c>
      <c r="F704" t="s">
        <v>700</v>
      </c>
      <c r="G704" t="s">
        <v>701</v>
      </c>
      <c r="H704" t="s">
        <v>702</v>
      </c>
    </row>
    <row r="705" spans="2:16" ht="15">
      <c r="B705" s="9"/>
    </row>
    <row r="706" spans="2:16" ht="15">
      <c r="B706" s="11"/>
      <c r="C706" t="s">
        <v>3710</v>
      </c>
      <c r="D706" t="s">
        <v>711</v>
      </c>
      <c r="E706" s="12">
        <v>41527</v>
      </c>
      <c r="F706" t="s">
        <v>1845</v>
      </c>
      <c r="G706" t="s">
        <v>3711</v>
      </c>
      <c r="H706" t="s">
        <v>707</v>
      </c>
    </row>
    <row r="707" spans="2:16" ht="15">
      <c r="B707" s="9">
        <v>310</v>
      </c>
      <c r="C707" t="str">
        <f ca="1">IFERROR(__xludf.DUMMYFUNCTION((TRANSPOSE(ImportHTML("http://spending.data.al/sq/moneypower/view/id/310/year/2012",  "table", 0)))),"*Kategoria*")</f>
        <v>*Kategoria*</v>
      </c>
      <c r="D707" t="s">
        <v>673</v>
      </c>
      <c r="E707" t="s">
        <v>674</v>
      </c>
      <c r="F707" t="s">
        <v>675</v>
      </c>
      <c r="G707" t="s">
        <v>676</v>
      </c>
      <c r="H707" t="s">
        <v>677</v>
      </c>
      <c r="I707" t="s">
        <v>678</v>
      </c>
      <c r="J707" t="s">
        <v>679</v>
      </c>
      <c r="K707" t="s">
        <v>680</v>
      </c>
      <c r="L707" t="s">
        <v>681</v>
      </c>
      <c r="M707" t="s">
        <v>682</v>
      </c>
      <c r="N707" t="s">
        <v>683</v>
      </c>
      <c r="O707" t="s">
        <v>684</v>
      </c>
      <c r="P707" t="s">
        <v>685</v>
      </c>
    </row>
    <row r="708" spans="2:16" ht="15">
      <c r="B708" s="11"/>
      <c r="C708" t="s">
        <v>686</v>
      </c>
      <c r="D708" t="s">
        <v>3712</v>
      </c>
      <c r="E708" t="s">
        <v>688</v>
      </c>
      <c r="F708" t="s">
        <v>688</v>
      </c>
      <c r="G708" t="s">
        <v>688</v>
      </c>
      <c r="H708" t="s">
        <v>688</v>
      </c>
      <c r="I708" t="s">
        <v>688</v>
      </c>
      <c r="J708" t="s">
        <v>688</v>
      </c>
      <c r="K708" t="s">
        <v>688</v>
      </c>
      <c r="L708" t="s">
        <v>688</v>
      </c>
      <c r="M708" t="s">
        <v>3713</v>
      </c>
      <c r="N708" t="s">
        <v>688</v>
      </c>
      <c r="O708" s="13">
        <v>1</v>
      </c>
      <c r="P708" t="s">
        <v>3714</v>
      </c>
    </row>
    <row r="709" spans="2:16" ht="15">
      <c r="B709" s="11"/>
    </row>
    <row r="710" spans="2:16" ht="15">
      <c r="B710" s="9">
        <v>311</v>
      </c>
      <c r="C710" t="str">
        <f ca="1">IFERROR(__xludf.DUMMYFUNCTION((TRANSPOSE(ImportHTML("http://spending.data.al/sq/moneypower/view/id/311/year/2012",  "table", 0)))),"*Emër Subjekti*")</f>
        <v>*Emër Subjekti*</v>
      </c>
      <c r="D710" t="s">
        <v>698</v>
      </c>
      <c r="E710" t="s">
        <v>699</v>
      </c>
      <c r="F710" t="s">
        <v>700</v>
      </c>
      <c r="G710" t="s">
        <v>701</v>
      </c>
      <c r="H710" t="s">
        <v>702</v>
      </c>
    </row>
    <row r="711" spans="2:16" ht="15">
      <c r="B711" s="9"/>
    </row>
    <row r="712" spans="2:16" ht="15">
      <c r="B712" s="11"/>
      <c r="C712" t="s">
        <v>3715</v>
      </c>
      <c r="D712" t="s">
        <v>711</v>
      </c>
      <c r="E712" s="12">
        <v>41526</v>
      </c>
      <c r="F712" t="s">
        <v>712</v>
      </c>
      <c r="G712" t="s">
        <v>3716</v>
      </c>
      <c r="H712" t="s">
        <v>707</v>
      </c>
    </row>
    <row r="713" spans="2:16" ht="15">
      <c r="B713" s="9">
        <v>312</v>
      </c>
      <c r="C713" t="str">
        <f ca="1">IFERROR(__xludf.DUMMYFUNCTION((TRANSPOSE(ImportHTML("http://spending.data.al/sq/moneypower/view/id/312/year/2012",  "table", 0)))),"*Emër Subjekti*")</f>
        <v>*Emër Subjekti*</v>
      </c>
      <c r="D713" t="s">
        <v>698</v>
      </c>
      <c r="E713" t="s">
        <v>699</v>
      </c>
      <c r="F713" t="s">
        <v>700</v>
      </c>
      <c r="G713" t="s">
        <v>701</v>
      </c>
      <c r="H713" t="s">
        <v>702</v>
      </c>
    </row>
    <row r="714" spans="2:16" ht="15">
      <c r="B714" s="11"/>
    </row>
    <row r="715" spans="2:16" ht="15">
      <c r="B715" s="11"/>
      <c r="C715" t="s">
        <v>3717</v>
      </c>
      <c r="D715" t="s">
        <v>711</v>
      </c>
      <c r="E715" s="12">
        <v>41526</v>
      </c>
      <c r="F715" t="s">
        <v>712</v>
      </c>
      <c r="G715" t="s">
        <v>3718</v>
      </c>
      <c r="H715" t="s">
        <v>707</v>
      </c>
    </row>
    <row r="716" spans="2:16" ht="15">
      <c r="B716" s="9">
        <v>313</v>
      </c>
      <c r="C716" t="str">
        <f ca="1">IFERROR(__xludf.DUMMYFUNCTION((TRANSPOSE(ImportHTML("http://spending.data.al/sq/moneypower/view/id/313/year/2012",  "table", 0)))),"*Emër Subjekti*")</f>
        <v>*Emër Subjekti*</v>
      </c>
      <c r="D716" t="s">
        <v>698</v>
      </c>
      <c r="E716" t="s">
        <v>699</v>
      </c>
      <c r="F716" t="s">
        <v>700</v>
      </c>
      <c r="G716" t="s">
        <v>701</v>
      </c>
      <c r="H716" t="s">
        <v>702</v>
      </c>
    </row>
    <row r="717" spans="2:16" ht="15">
      <c r="B717" s="9"/>
    </row>
    <row r="718" spans="2:16" ht="15">
      <c r="B718" s="11"/>
      <c r="C718" t="s">
        <v>3719</v>
      </c>
      <c r="D718" t="s">
        <v>711</v>
      </c>
      <c r="E718" s="12">
        <v>41526</v>
      </c>
      <c r="F718" t="s">
        <v>1845</v>
      </c>
      <c r="G718" t="s">
        <v>3720</v>
      </c>
      <c r="H718" t="s">
        <v>707</v>
      </c>
    </row>
    <row r="719" spans="2:16" ht="15">
      <c r="B719" s="9">
        <v>314</v>
      </c>
      <c r="C719" t="str">
        <f ca="1">IFERROR(__xludf.DUMMYFUNCTION((TRANSPOSE(ImportHTML("http://spending.data.al/sq/moneypower/view/id/314/year/2012",  "table", 0)))),"*Kategoria*")</f>
        <v>*Kategoria*</v>
      </c>
      <c r="D719" t="s">
        <v>673</v>
      </c>
      <c r="E719" t="s">
        <v>674</v>
      </c>
      <c r="F719" t="s">
        <v>675</v>
      </c>
      <c r="G719" t="s">
        <v>676</v>
      </c>
      <c r="H719" t="s">
        <v>677</v>
      </c>
      <c r="I719" t="s">
        <v>678</v>
      </c>
      <c r="J719" t="s">
        <v>679</v>
      </c>
      <c r="K719" t="s">
        <v>680</v>
      </c>
      <c r="L719" t="s">
        <v>681</v>
      </c>
      <c r="M719" t="s">
        <v>682</v>
      </c>
      <c r="N719" t="s">
        <v>683</v>
      </c>
      <c r="O719" t="s">
        <v>684</v>
      </c>
      <c r="P719" t="s">
        <v>685</v>
      </c>
    </row>
    <row r="720" spans="2:16" ht="15">
      <c r="B720" s="11"/>
      <c r="C720" t="s">
        <v>686</v>
      </c>
      <c r="D720" t="s">
        <v>3721</v>
      </c>
      <c r="E720" t="s">
        <v>688</v>
      </c>
      <c r="F720" t="s">
        <v>688</v>
      </c>
      <c r="G720" t="s">
        <v>688</v>
      </c>
      <c r="H720" t="s">
        <v>688</v>
      </c>
      <c r="I720" t="s">
        <v>688</v>
      </c>
      <c r="J720" t="s">
        <v>688</v>
      </c>
      <c r="K720" t="s">
        <v>688</v>
      </c>
      <c r="L720" t="s">
        <v>688</v>
      </c>
      <c r="M720" t="s">
        <v>3722</v>
      </c>
      <c r="N720" t="s">
        <v>688</v>
      </c>
      <c r="O720" s="13">
        <v>1</v>
      </c>
      <c r="P720" t="s">
        <v>688</v>
      </c>
    </row>
    <row r="721" spans="2:16" ht="15">
      <c r="B721" s="9">
        <v>315</v>
      </c>
      <c r="C721" t="str">
        <f ca="1">IFERROR(__xludf.DUMMYFUNCTION((TRANSPOSE(ImportHTML("http://spending.data.al/sq/moneypower/view/id/315/year/2012",  "table", 0)))),"*Kategoria*")</f>
        <v>*Kategoria*</v>
      </c>
      <c r="D721" t="s">
        <v>673</v>
      </c>
      <c r="E721" t="s">
        <v>674</v>
      </c>
      <c r="F721" t="s">
        <v>675</v>
      </c>
      <c r="G721" t="s">
        <v>676</v>
      </c>
      <c r="H721" t="s">
        <v>677</v>
      </c>
      <c r="I721" t="s">
        <v>678</v>
      </c>
      <c r="J721" t="s">
        <v>679</v>
      </c>
      <c r="K721" t="s">
        <v>680</v>
      </c>
      <c r="L721" t="s">
        <v>681</v>
      </c>
      <c r="M721" t="s">
        <v>682</v>
      </c>
      <c r="N721" t="s">
        <v>683</v>
      </c>
      <c r="O721" t="s">
        <v>684</v>
      </c>
      <c r="P721" t="s">
        <v>685</v>
      </c>
    </row>
    <row r="722" spans="2:16" ht="15">
      <c r="B722" s="11"/>
      <c r="C722" t="s">
        <v>686</v>
      </c>
      <c r="D722" t="s">
        <v>3723</v>
      </c>
      <c r="E722" t="s">
        <v>688</v>
      </c>
      <c r="F722" t="s">
        <v>688</v>
      </c>
      <c r="G722" t="s">
        <v>3724</v>
      </c>
      <c r="H722" t="s">
        <v>3725</v>
      </c>
      <c r="I722" t="s">
        <v>688</v>
      </c>
      <c r="J722" t="s">
        <v>688</v>
      </c>
      <c r="K722" t="s">
        <v>688</v>
      </c>
      <c r="L722" t="s">
        <v>688</v>
      </c>
      <c r="M722" t="s">
        <v>3726</v>
      </c>
      <c r="N722" t="s">
        <v>688</v>
      </c>
      <c r="O722" s="13">
        <v>1.43</v>
      </c>
      <c r="P722" t="s">
        <v>3727</v>
      </c>
    </row>
    <row r="723" spans="2:16" ht="15">
      <c r="B723" s="9">
        <v>316</v>
      </c>
      <c r="C723" t="str">
        <f ca="1">IFERROR(__xludf.DUMMYFUNCTION((TRANSPOSE(ImportHTML("http://spending.data.al/sq/moneypower/view/id/316/year/2012",  "table", 0)))),"*Kategoria*")</f>
        <v>*Kategoria*</v>
      </c>
      <c r="D723" t="s">
        <v>673</v>
      </c>
      <c r="E723" t="s">
        <v>674</v>
      </c>
      <c r="F723" t="s">
        <v>675</v>
      </c>
      <c r="G723" t="s">
        <v>676</v>
      </c>
      <c r="H723" t="s">
        <v>677</v>
      </c>
      <c r="I723" t="s">
        <v>678</v>
      </c>
      <c r="J723" t="s">
        <v>679</v>
      </c>
      <c r="K723" t="s">
        <v>680</v>
      </c>
      <c r="L723" t="s">
        <v>681</v>
      </c>
      <c r="M723" t="s">
        <v>682</v>
      </c>
      <c r="N723" t="s">
        <v>683</v>
      </c>
      <c r="O723" t="s">
        <v>684</v>
      </c>
      <c r="P723" t="s">
        <v>685</v>
      </c>
    </row>
    <row r="724" spans="2:16" ht="15">
      <c r="B724" s="11"/>
      <c r="C724" t="s">
        <v>686</v>
      </c>
      <c r="D724" t="s">
        <v>3728</v>
      </c>
      <c r="E724" t="s">
        <v>688</v>
      </c>
      <c r="F724" t="s">
        <v>688</v>
      </c>
      <c r="G724" t="s">
        <v>3729</v>
      </c>
      <c r="H724" t="s">
        <v>688</v>
      </c>
      <c r="I724" t="s">
        <v>688</v>
      </c>
      <c r="J724" t="s">
        <v>688</v>
      </c>
      <c r="K724" t="s">
        <v>688</v>
      </c>
      <c r="L724" t="s">
        <v>688</v>
      </c>
      <c r="M724" t="s">
        <v>3730</v>
      </c>
      <c r="N724" t="s">
        <v>688</v>
      </c>
      <c r="O724" s="13">
        <v>1</v>
      </c>
      <c r="P724" t="s">
        <v>3731</v>
      </c>
    </row>
    <row r="725" spans="2:16" ht="15">
      <c r="B725" s="9">
        <v>317</v>
      </c>
      <c r="C725" t="str">
        <f ca="1">IFERROR(__xludf.DUMMYFUNCTION((TRANSPOSE(ImportHTML("http://spending.data.al/sq/moneypower/view/id/317/year/2012",  "table", 0)))),"*Emër Subjekti*")</f>
        <v>*Emër Subjekti*</v>
      </c>
      <c r="D725" t="s">
        <v>698</v>
      </c>
      <c r="E725" t="s">
        <v>699</v>
      </c>
      <c r="F725" t="s">
        <v>700</v>
      </c>
      <c r="G725" t="s">
        <v>701</v>
      </c>
      <c r="H725" t="s">
        <v>702</v>
      </c>
    </row>
    <row r="726" spans="2:16" ht="15">
      <c r="B726" s="9"/>
    </row>
    <row r="727" spans="2:16" ht="15">
      <c r="B727" s="11"/>
      <c r="C727" t="s">
        <v>3732</v>
      </c>
      <c r="D727" t="s">
        <v>711</v>
      </c>
      <c r="E727" s="12">
        <v>41631</v>
      </c>
      <c r="F727" t="s">
        <v>1845</v>
      </c>
      <c r="G727" t="s">
        <v>3733</v>
      </c>
      <c r="H727" t="s">
        <v>707</v>
      </c>
    </row>
    <row r="728" spans="2:16" ht="15">
      <c r="B728" s="9">
        <v>318</v>
      </c>
      <c r="C728" t="str">
        <f ca="1">IFERROR(__xludf.DUMMYFUNCTION((TRANSPOSE(ImportHTML("http://spending.data.al/sq/moneypower/view/id/318/year/2012",  "table", 0)))),"*Emër Subjekti*")</f>
        <v>*Emër Subjekti*</v>
      </c>
      <c r="D728" t="s">
        <v>698</v>
      </c>
      <c r="E728" t="s">
        <v>699</v>
      </c>
      <c r="F728" t="s">
        <v>700</v>
      </c>
      <c r="G728" t="s">
        <v>701</v>
      </c>
      <c r="H728" t="s">
        <v>702</v>
      </c>
    </row>
    <row r="729" spans="2:16" ht="15">
      <c r="B729" s="9"/>
    </row>
    <row r="730" spans="2:16" ht="15">
      <c r="B730" s="11"/>
      <c r="C730" t="s">
        <v>3734</v>
      </c>
      <c r="D730" t="s">
        <v>711</v>
      </c>
      <c r="E730" s="12">
        <v>41526</v>
      </c>
      <c r="F730" t="s">
        <v>3735</v>
      </c>
      <c r="G730" t="s">
        <v>3736</v>
      </c>
      <c r="H730" t="s">
        <v>707</v>
      </c>
    </row>
    <row r="731" spans="2:16" ht="15">
      <c r="B731" s="9">
        <v>319</v>
      </c>
      <c r="C731" t="str">
        <f ca="1">IFERROR(__xludf.DUMMYFUNCTION((TRANSPOSE(ImportHTML("http://spending.data.al/sq/moneypower/view/id/319/year/2012",  "table", 0)))),"*Kategoria*")</f>
        <v>*Kategoria*</v>
      </c>
      <c r="D731" t="s">
        <v>673</v>
      </c>
      <c r="E731" t="s">
        <v>674</v>
      </c>
      <c r="F731" t="s">
        <v>675</v>
      </c>
      <c r="G731" t="s">
        <v>676</v>
      </c>
      <c r="H731" t="s">
        <v>677</v>
      </c>
      <c r="I731" t="s">
        <v>678</v>
      </c>
      <c r="J731" t="s">
        <v>679</v>
      </c>
      <c r="K731" t="s">
        <v>680</v>
      </c>
      <c r="L731" t="s">
        <v>681</v>
      </c>
      <c r="M731" t="s">
        <v>682</v>
      </c>
      <c r="N731" t="s">
        <v>683</v>
      </c>
      <c r="O731" t="s">
        <v>684</v>
      </c>
      <c r="P731" t="s">
        <v>685</v>
      </c>
    </row>
    <row r="732" spans="2:16" ht="15">
      <c r="B732" s="11"/>
      <c r="C732" t="s">
        <v>686</v>
      </c>
      <c r="D732" t="s">
        <v>3737</v>
      </c>
      <c r="E732" t="s">
        <v>688</v>
      </c>
      <c r="F732" t="s">
        <v>688</v>
      </c>
      <c r="G732" t="s">
        <v>688</v>
      </c>
      <c r="H732" t="s">
        <v>688</v>
      </c>
      <c r="I732" t="s">
        <v>688</v>
      </c>
      <c r="J732" t="s">
        <v>688</v>
      </c>
      <c r="K732" t="s">
        <v>688</v>
      </c>
      <c r="L732" t="s">
        <v>688</v>
      </c>
      <c r="M732" t="s">
        <v>3738</v>
      </c>
      <c r="N732" t="s">
        <v>688</v>
      </c>
      <c r="O732" s="13">
        <v>1</v>
      </c>
      <c r="P732" t="s">
        <v>3739</v>
      </c>
    </row>
    <row r="733" spans="2:16" ht="15">
      <c r="B733" s="9">
        <v>320</v>
      </c>
      <c r="C733" t="str">
        <f ca="1">IFERROR(__xludf.DUMMYFUNCTION((TRANSPOSE(ImportHTML("http://spending.data.al/sq/moneypower/view/id/320/year/2012",  "table", 0)))),"*Emër Subjekti*")</f>
        <v>*Emër Subjekti*</v>
      </c>
      <c r="D733" t="s">
        <v>698</v>
      </c>
      <c r="E733" t="s">
        <v>699</v>
      </c>
      <c r="F733" t="s">
        <v>700</v>
      </c>
      <c r="G733" t="s">
        <v>701</v>
      </c>
      <c r="H733" t="s">
        <v>702</v>
      </c>
    </row>
    <row r="734" spans="2:16" ht="15">
      <c r="B734" s="11"/>
    </row>
    <row r="735" spans="2:16" ht="15">
      <c r="B735" s="11"/>
      <c r="C735" t="s">
        <v>3740</v>
      </c>
      <c r="D735" t="s">
        <v>711</v>
      </c>
      <c r="E735" s="12">
        <v>41526</v>
      </c>
      <c r="F735" t="s">
        <v>712</v>
      </c>
      <c r="G735" t="s">
        <v>3741</v>
      </c>
      <c r="H735" t="s">
        <v>707</v>
      </c>
    </row>
    <row r="736" spans="2:16" ht="15">
      <c r="B736" s="9">
        <v>321</v>
      </c>
      <c r="C736" t="str">
        <f ca="1">IFERROR(__xludf.DUMMYFUNCTION((TRANSPOSE(ImportHTML("http://spending.data.al/sq/moneypower/view/id/321/year/2012",  "table", 0)))),"*Kategoria*")</f>
        <v>*Kategoria*</v>
      </c>
      <c r="D736" t="s">
        <v>673</v>
      </c>
      <c r="E736" t="s">
        <v>674</v>
      </c>
      <c r="F736" t="s">
        <v>675</v>
      </c>
      <c r="G736" t="s">
        <v>676</v>
      </c>
      <c r="H736" t="s">
        <v>677</v>
      </c>
      <c r="I736" t="s">
        <v>678</v>
      </c>
      <c r="J736" t="s">
        <v>679</v>
      </c>
      <c r="K736" t="s">
        <v>680</v>
      </c>
      <c r="L736" t="s">
        <v>681</v>
      </c>
      <c r="M736" t="s">
        <v>682</v>
      </c>
      <c r="N736" t="s">
        <v>683</v>
      </c>
      <c r="O736" t="s">
        <v>684</v>
      </c>
      <c r="P736" t="s">
        <v>685</v>
      </c>
    </row>
    <row r="737" spans="2:16" ht="15">
      <c r="B737" s="11"/>
      <c r="C737" t="s">
        <v>686</v>
      </c>
      <c r="D737" t="s">
        <v>3742</v>
      </c>
      <c r="E737" t="s">
        <v>688</v>
      </c>
      <c r="F737" t="s">
        <v>688</v>
      </c>
      <c r="G737" t="s">
        <v>688</v>
      </c>
      <c r="H737" t="s">
        <v>688</v>
      </c>
      <c r="I737" t="s">
        <v>688</v>
      </c>
      <c r="J737" t="s">
        <v>688</v>
      </c>
      <c r="K737" t="s">
        <v>688</v>
      </c>
      <c r="L737" t="s">
        <v>688</v>
      </c>
      <c r="M737" t="s">
        <v>688</v>
      </c>
      <c r="N737" t="s">
        <v>688</v>
      </c>
      <c r="O737" s="13">
        <v>1</v>
      </c>
      <c r="P737" t="s">
        <v>3743</v>
      </c>
    </row>
    <row r="738" spans="2:16" ht="15">
      <c r="B738" s="9">
        <v>322</v>
      </c>
      <c r="C738" t="str">
        <f ca="1">IFERROR(__xludf.DUMMYFUNCTION((TRANSPOSE(ImportHTML("http://spending.data.al/sq/moneypower/view/id/322/year/2012",  "table", 0)))),"*Kategoria*")</f>
        <v>*Kategoria*</v>
      </c>
      <c r="D738" t="s">
        <v>673</v>
      </c>
      <c r="E738" t="s">
        <v>674</v>
      </c>
      <c r="F738" t="s">
        <v>675</v>
      </c>
      <c r="G738" t="s">
        <v>676</v>
      </c>
      <c r="H738" t="s">
        <v>677</v>
      </c>
      <c r="I738" t="s">
        <v>678</v>
      </c>
      <c r="J738" t="s">
        <v>679</v>
      </c>
      <c r="K738" t="s">
        <v>680</v>
      </c>
      <c r="L738" t="s">
        <v>681</v>
      </c>
      <c r="M738" t="s">
        <v>682</v>
      </c>
      <c r="N738" t="s">
        <v>683</v>
      </c>
      <c r="O738" t="s">
        <v>684</v>
      </c>
      <c r="P738" t="s">
        <v>685</v>
      </c>
    </row>
    <row r="739" spans="2:16" ht="15">
      <c r="B739" s="11"/>
      <c r="C739" t="s">
        <v>686</v>
      </c>
      <c r="D739" t="s">
        <v>3744</v>
      </c>
      <c r="E739" t="s">
        <v>3745</v>
      </c>
      <c r="F739" t="s">
        <v>688</v>
      </c>
      <c r="G739" t="s">
        <v>3746</v>
      </c>
      <c r="H739" t="s">
        <v>688</v>
      </c>
      <c r="I739" t="s">
        <v>688</v>
      </c>
      <c r="J739" t="s">
        <v>688</v>
      </c>
      <c r="K739" t="s">
        <v>3747</v>
      </c>
      <c r="L739" t="s">
        <v>688</v>
      </c>
      <c r="M739" t="s">
        <v>3748</v>
      </c>
      <c r="N739" t="s">
        <v>688</v>
      </c>
      <c r="O739" s="13">
        <v>1.49</v>
      </c>
      <c r="P739" t="s">
        <v>3749</v>
      </c>
    </row>
    <row r="740" spans="2:16" ht="15">
      <c r="B740" s="9">
        <v>323</v>
      </c>
      <c r="C740" t="str">
        <f ca="1">IFERROR(__xludf.DUMMYFUNCTION((TRANSPOSE(ImportHTML("http://spending.data.al/sq/moneypower/view/id/323/year/2012",  "table", 0)))),"*Emër Subjekti*")</f>
        <v>*Emër Subjekti*</v>
      </c>
      <c r="D740" t="s">
        <v>698</v>
      </c>
      <c r="E740" t="s">
        <v>699</v>
      </c>
      <c r="F740" t="s">
        <v>700</v>
      </c>
      <c r="G740" t="s">
        <v>701</v>
      </c>
      <c r="H740" t="s">
        <v>702</v>
      </c>
    </row>
    <row r="741" spans="2:16" ht="15">
      <c r="B741" s="11"/>
    </row>
    <row r="742" spans="2:16" ht="15">
      <c r="B742" s="11"/>
      <c r="C742" t="s">
        <v>3750</v>
      </c>
      <c r="D742" t="s">
        <v>711</v>
      </c>
      <c r="E742" s="12">
        <v>41907</v>
      </c>
      <c r="F742" t="s">
        <v>712</v>
      </c>
      <c r="G742" t="s">
        <v>3751</v>
      </c>
      <c r="H742" t="s">
        <v>3752</v>
      </c>
    </row>
    <row r="743" spans="2:16" ht="15">
      <c r="B743" s="9">
        <v>324</v>
      </c>
      <c r="C743" t="str">
        <f ca="1">IFERROR(__xludf.DUMMYFUNCTION((TRANSPOSE(ImportHTML("http://spending.data.al/sq/moneypower/view/id/324/year/2012",  "table", 0)))),"*Emër Subjekti*")</f>
        <v>*Emër Subjekti*</v>
      </c>
      <c r="D743" t="s">
        <v>698</v>
      </c>
      <c r="E743" t="s">
        <v>699</v>
      </c>
      <c r="F743" t="s">
        <v>700</v>
      </c>
      <c r="G743" t="s">
        <v>701</v>
      </c>
      <c r="H743" t="s">
        <v>702</v>
      </c>
    </row>
    <row r="744" spans="2:16" ht="15">
      <c r="B744" s="11"/>
    </row>
    <row r="745" spans="2:16" ht="15">
      <c r="B745" s="11"/>
      <c r="C745" t="s">
        <v>3753</v>
      </c>
      <c r="D745" t="s">
        <v>711</v>
      </c>
      <c r="E745" s="12">
        <v>41907</v>
      </c>
      <c r="F745" t="s">
        <v>712</v>
      </c>
      <c r="G745" t="s">
        <v>3754</v>
      </c>
      <c r="H745" t="s">
        <v>3755</v>
      </c>
    </row>
    <row r="746" spans="2:16" ht="15">
      <c r="B746" s="9">
        <v>325</v>
      </c>
      <c r="C746" t="str">
        <f ca="1">IFERROR(__xludf.DUMMYFUNCTION((TRANSPOSE(ImportHTML("http://spending.data.al/sq/moneypower/view/id/325/year/2012",  "table", 0)))),"*Emër Subjekti*")</f>
        <v>*Emër Subjekti*</v>
      </c>
      <c r="D746" t="s">
        <v>698</v>
      </c>
      <c r="E746" t="s">
        <v>699</v>
      </c>
      <c r="F746" t="s">
        <v>700</v>
      </c>
      <c r="G746" t="s">
        <v>701</v>
      </c>
      <c r="H746" t="s">
        <v>702</v>
      </c>
    </row>
    <row r="747" spans="2:16" ht="15">
      <c r="B747" s="11"/>
    </row>
    <row r="748" spans="2:16" ht="15">
      <c r="B748" s="11"/>
      <c r="C748" t="s">
        <v>3756</v>
      </c>
      <c r="D748" t="s">
        <v>711</v>
      </c>
      <c r="E748" s="12">
        <v>41907</v>
      </c>
      <c r="F748" t="s">
        <v>712</v>
      </c>
      <c r="G748" t="s">
        <v>3757</v>
      </c>
      <c r="H748" t="s">
        <v>3758</v>
      </c>
    </row>
    <row r="749" spans="2:16" ht="15">
      <c r="B749" s="9">
        <v>326</v>
      </c>
      <c r="C749" t="str">
        <f ca="1">IFERROR(__xludf.DUMMYFUNCTION((TRANSPOSE(ImportHTML("http://spending.data.al/sq/moneypower/view/id/326/year/2012",  "table", 0)))),"*Emër Subjekti*")</f>
        <v>*Emër Subjekti*</v>
      </c>
      <c r="D749" t="s">
        <v>698</v>
      </c>
      <c r="E749" t="s">
        <v>699</v>
      </c>
      <c r="F749" t="s">
        <v>700</v>
      </c>
      <c r="G749" t="s">
        <v>701</v>
      </c>
      <c r="H749" t="s">
        <v>702</v>
      </c>
    </row>
    <row r="750" spans="2:16" ht="15">
      <c r="B750" s="11"/>
    </row>
    <row r="751" spans="2:16" ht="15">
      <c r="B751" s="11"/>
      <c r="C751" t="s">
        <v>3759</v>
      </c>
      <c r="D751" t="s">
        <v>711</v>
      </c>
      <c r="E751" s="12">
        <v>41977</v>
      </c>
      <c r="F751" t="s">
        <v>712</v>
      </c>
      <c r="G751" t="s">
        <v>3760</v>
      </c>
      <c r="H751" t="s">
        <v>708</v>
      </c>
    </row>
    <row r="752" spans="2:16" ht="15">
      <c r="B752" s="9">
        <v>327</v>
      </c>
      <c r="C752" t="str">
        <f ca="1">IFERROR(__xludf.DUMMYFUNCTION((TRANSPOSE(ImportHTML("http://spending.data.al/sq/moneypower/view/id/327/year/2012",  "table", 0)))),"*Emër Subjekti*")</f>
        <v>*Emër Subjekti*</v>
      </c>
      <c r="D752" t="s">
        <v>698</v>
      </c>
      <c r="E752" t="s">
        <v>699</v>
      </c>
      <c r="F752" t="s">
        <v>700</v>
      </c>
      <c r="G752" t="s">
        <v>701</v>
      </c>
      <c r="H752" t="s">
        <v>702</v>
      </c>
    </row>
    <row r="754" spans="3:8" ht="15.75" customHeight="1">
      <c r="C754" t="s">
        <v>3761</v>
      </c>
      <c r="D754" t="s">
        <v>711</v>
      </c>
      <c r="E754" s="12">
        <v>41907</v>
      </c>
      <c r="F754" t="s">
        <v>712</v>
      </c>
      <c r="G754" t="s">
        <v>3762</v>
      </c>
      <c r="H754" t="s">
        <v>3763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54"/>
  <sheetViews>
    <sheetView topLeftCell="A82" workbookViewId="0">
      <selection activeCell="E91" sqref="E91"/>
    </sheetView>
  </sheetViews>
  <sheetFormatPr defaultColWidth="14.42578125" defaultRowHeight="15.75" customHeight="1"/>
  <sheetData>
    <row r="1" spans="2:11" ht="15">
      <c r="B1" s="1">
        <v>1</v>
      </c>
      <c r="C1" t="str">
        <f ca="1">IFERROR(__xludf.DUMMYFUNCTION((TRANSPOSE(ImportHTML("http://spending.data.al/sq/moneypower/view/id/1/year/2012",  "table", 2)))),"*Kategoria*")</f>
        <v>*Kategoria*</v>
      </c>
      <c r="E1" t="s">
        <v>719</v>
      </c>
      <c r="F1" t="s">
        <v>720</v>
      </c>
      <c r="G1" t="s">
        <v>721</v>
      </c>
      <c r="H1" t="s">
        <v>722</v>
      </c>
      <c r="I1" t="s">
        <v>723</v>
      </c>
      <c r="J1" t="s">
        <v>724</v>
      </c>
      <c r="K1" t="s">
        <v>685</v>
      </c>
    </row>
    <row r="2" spans="2:11" ht="15">
      <c r="B2" s="7"/>
      <c r="C2" s="5" t="s">
        <v>686</v>
      </c>
      <c r="E2" t="s">
        <v>725</v>
      </c>
      <c r="F2" t="s">
        <v>726</v>
      </c>
      <c r="G2" t="s">
        <v>727</v>
      </c>
      <c r="H2" t="s">
        <v>728</v>
      </c>
      <c r="I2" t="s">
        <v>727</v>
      </c>
      <c r="J2" t="s">
        <v>707</v>
      </c>
      <c r="K2" t="s">
        <v>707</v>
      </c>
    </row>
    <row r="3" spans="2:11" ht="15">
      <c r="B3" s="1">
        <v>2</v>
      </c>
      <c r="C3" t="str">
        <f ca="1">IFERROR(__xludf.DUMMYFUNCTION((TRANSPOSE(ImportHTML("http://spending.data.al/sq/moneypower/view/id/2/year/2012",  "table", 2)))),"*Kategoria*")</f>
        <v>*Kategoria*</v>
      </c>
      <c r="D3" t="s">
        <v>2589</v>
      </c>
    </row>
    <row r="4" spans="2:11" ht="15">
      <c r="B4" s="7"/>
      <c r="C4" t="s">
        <v>686</v>
      </c>
    </row>
    <row r="5" spans="2:11" ht="15">
      <c r="B5" s="1">
        <v>3</v>
      </c>
      <c r="C5" t="str">
        <f ca="1">IFERROR(__xludf.DUMMYFUNCTION((TRANSPOSE(ImportHTML("http://spending.data.al/sq/moneypower/view/id/3/year/2012",  "table", 2)))),"*Kategoria*")</f>
        <v>*Kategoria*</v>
      </c>
      <c r="E5" t="s">
        <v>719</v>
      </c>
      <c r="F5" t="s">
        <v>720</v>
      </c>
      <c r="G5" t="s">
        <v>721</v>
      </c>
      <c r="H5" t="s">
        <v>722</v>
      </c>
      <c r="I5" t="s">
        <v>723</v>
      </c>
      <c r="J5" t="s">
        <v>724</v>
      </c>
      <c r="K5" t="s">
        <v>685</v>
      </c>
    </row>
    <row r="6" spans="2:11" ht="15">
      <c r="B6" s="7"/>
      <c r="C6" t="s">
        <v>686</v>
      </c>
      <c r="E6" t="s">
        <v>2695</v>
      </c>
      <c r="F6" t="s">
        <v>2696</v>
      </c>
      <c r="G6" t="s">
        <v>2697</v>
      </c>
      <c r="H6" t="s">
        <v>727</v>
      </c>
      <c r="I6" t="s">
        <v>727</v>
      </c>
      <c r="J6" t="s">
        <v>707</v>
      </c>
      <c r="K6" t="s">
        <v>707</v>
      </c>
    </row>
    <row r="7" spans="2:11" ht="15">
      <c r="B7" s="1">
        <v>4</v>
      </c>
      <c r="C7" t="str">
        <f ca="1">IFERROR(__xludf.DUMMYFUNCTION((TRANSPOSE(ImportHTML("http://spending.data.al/sq/moneypower/view/id/4/year/2012",  "table", 2)))),"*Kategoria*")</f>
        <v>*Kategoria*</v>
      </c>
      <c r="D7" t="s">
        <v>2589</v>
      </c>
    </row>
    <row r="8" spans="2:11" ht="15">
      <c r="B8" s="7"/>
      <c r="C8" t="s">
        <v>686</v>
      </c>
    </row>
    <row r="9" spans="2:11" ht="15">
      <c r="B9" s="1">
        <v>5</v>
      </c>
      <c r="C9" t="str">
        <f ca="1">IFERROR(__xludf.DUMMYFUNCTION((TRANSPOSE(ImportHTML("http://spending.data.al/sq/moneypower/view/id/5/year/2012",  "table", 2)))),"*Kategoria*")</f>
        <v>*Kategoria*</v>
      </c>
      <c r="D9" t="s">
        <v>2589</v>
      </c>
    </row>
    <row r="10" spans="2:11" ht="15">
      <c r="B10" s="7"/>
      <c r="C10" t="s">
        <v>686</v>
      </c>
    </row>
    <row r="11" spans="2:11" ht="15">
      <c r="B11" s="1">
        <v>6</v>
      </c>
      <c r="C11" t="str">
        <f ca="1">IFERROR(__xludf.DUMMYFUNCTION((TRANSPOSE(ImportHTML("http://spending.data.al/sq/moneypower/view/id/6/year/2012",  "table", 2)))),"*Kategoria*")</f>
        <v>*Kategoria*</v>
      </c>
      <c r="E11" t="s">
        <v>719</v>
      </c>
      <c r="F11" t="s">
        <v>720</v>
      </c>
      <c r="G11" t="s">
        <v>721</v>
      </c>
      <c r="H11" t="s">
        <v>722</v>
      </c>
      <c r="I11" t="s">
        <v>723</v>
      </c>
      <c r="J11" t="s">
        <v>724</v>
      </c>
      <c r="K11" t="s">
        <v>685</v>
      </c>
    </row>
    <row r="12" spans="2:11" ht="15">
      <c r="B12" s="7"/>
      <c r="C12" t="s">
        <v>686</v>
      </c>
      <c r="E12" t="s">
        <v>2698</v>
      </c>
      <c r="F12" t="s">
        <v>2699</v>
      </c>
      <c r="G12" t="s">
        <v>727</v>
      </c>
      <c r="H12" t="s">
        <v>727</v>
      </c>
      <c r="I12" t="s">
        <v>727</v>
      </c>
      <c r="J12" t="s">
        <v>2700</v>
      </c>
      <c r="K12" t="s">
        <v>727</v>
      </c>
    </row>
    <row r="13" spans="2:11" ht="15">
      <c r="B13" s="1">
        <v>7</v>
      </c>
      <c r="C13" t="str">
        <f ca="1">IFERROR(__xludf.DUMMYFUNCTION((TRANSPOSE(ImportHTML("http://spending.data.al/sq/moneypower/view/id/7/year/2012",  "table", 2)))),"*Kategoria*")</f>
        <v>*Kategoria*</v>
      </c>
      <c r="D13" t="s">
        <v>2589</v>
      </c>
    </row>
    <row r="14" spans="2:11" ht="15">
      <c r="B14" s="7"/>
      <c r="C14" t="s">
        <v>686</v>
      </c>
    </row>
    <row r="15" spans="2:11" ht="15">
      <c r="B15" s="1">
        <v>8</v>
      </c>
      <c r="C15" t="str">
        <f ca="1">IFERROR(__xludf.DUMMYFUNCTION((TRANSPOSE(ImportHTML("http://spending.data.al/sq/moneypower/view/id/8/year/2012",  "table", 2)))),"*Kategoria*")</f>
        <v>*Kategoria*</v>
      </c>
      <c r="D15" t="s">
        <v>2589</v>
      </c>
    </row>
    <row r="16" spans="2:11" ht="15">
      <c r="B16" s="7"/>
      <c r="C16" t="s">
        <v>686</v>
      </c>
    </row>
    <row r="17" spans="2:11" ht="15">
      <c r="B17" s="1">
        <v>9</v>
      </c>
      <c r="C17" t="str">
        <f ca="1">IFERROR(__xludf.DUMMYFUNCTION((TRANSPOSE(ImportHTML("http://spending.data.al/sq/moneypower/view/id/9/year/2012",  "table", 2)))),"*Kategoria*")</f>
        <v>*Kategoria*</v>
      </c>
      <c r="E17" t="s">
        <v>719</v>
      </c>
      <c r="F17" t="s">
        <v>720</v>
      </c>
      <c r="G17" t="s">
        <v>721</v>
      </c>
      <c r="H17" t="s">
        <v>722</v>
      </c>
      <c r="I17" t="s">
        <v>723</v>
      </c>
      <c r="J17" t="s">
        <v>724</v>
      </c>
      <c r="K17" t="s">
        <v>685</v>
      </c>
    </row>
    <row r="18" spans="2:11" ht="15">
      <c r="B18" s="7"/>
      <c r="C18" t="s">
        <v>686</v>
      </c>
      <c r="E18" t="s">
        <v>2701</v>
      </c>
      <c r="F18" t="s">
        <v>2702</v>
      </c>
      <c r="G18" t="s">
        <v>2703</v>
      </c>
      <c r="H18" t="s">
        <v>727</v>
      </c>
      <c r="I18" t="s">
        <v>727</v>
      </c>
      <c r="J18" t="s">
        <v>727</v>
      </c>
      <c r="K18" t="s">
        <v>707</v>
      </c>
    </row>
    <row r="19" spans="2:11" ht="15">
      <c r="B19" s="1">
        <v>10</v>
      </c>
      <c r="C19" t="str">
        <f ca="1">IFERROR(__xludf.DUMMYFUNCTION((TRANSPOSE(ImportHTML("http://spending.data.al/sq/moneypower/view/id/10/year/2012",  "table", 2)))),"*Kategoria*")</f>
        <v>*Kategoria*</v>
      </c>
      <c r="D19" t="s">
        <v>2589</v>
      </c>
    </row>
    <row r="20" spans="2:11" ht="15">
      <c r="B20" s="7"/>
      <c r="C20" t="s">
        <v>686</v>
      </c>
    </row>
    <row r="21" spans="2:11" ht="15">
      <c r="B21" s="1">
        <v>11</v>
      </c>
      <c r="C21" t="str">
        <f ca="1">IFERROR(__xludf.DUMMYFUNCTION((TRANSPOSE(ImportHTML("http://spending.data.al/sq/moneypower/view/id/11/year/2012",  "table", 2)))),"*Kategoria*")</f>
        <v>*Kategoria*</v>
      </c>
      <c r="E21" t="s">
        <v>719</v>
      </c>
      <c r="F21" t="s">
        <v>720</v>
      </c>
      <c r="G21" t="s">
        <v>721</v>
      </c>
      <c r="H21" t="s">
        <v>722</v>
      </c>
      <c r="I21" t="s">
        <v>723</v>
      </c>
      <c r="J21" t="s">
        <v>724</v>
      </c>
      <c r="K21" t="s">
        <v>685</v>
      </c>
    </row>
    <row r="22" spans="2:11" ht="15">
      <c r="B22" s="7"/>
      <c r="C22" t="s">
        <v>686</v>
      </c>
      <c r="E22" t="s">
        <v>2704</v>
      </c>
      <c r="F22" t="s">
        <v>2705</v>
      </c>
      <c r="G22" t="s">
        <v>727</v>
      </c>
      <c r="H22" t="s">
        <v>727</v>
      </c>
      <c r="I22" t="s">
        <v>727</v>
      </c>
      <c r="J22" t="s">
        <v>727</v>
      </c>
      <c r="K22" t="s">
        <v>2706</v>
      </c>
    </row>
    <row r="23" spans="2:11" ht="15">
      <c r="B23" s="1">
        <v>12</v>
      </c>
      <c r="C23" t="str">
        <f ca="1">IFERROR(__xludf.DUMMYFUNCTION((TRANSPOSE(ImportHTML("http://spending.data.al/sq/moneypower/view/id/12/year/2012",  "table", 2)))),"*Kategoria*")</f>
        <v>*Kategoria*</v>
      </c>
      <c r="D23" t="s">
        <v>2589</v>
      </c>
    </row>
    <row r="24" spans="2:11" ht="15">
      <c r="B24" s="7"/>
      <c r="C24" t="s">
        <v>686</v>
      </c>
    </row>
    <row r="25" spans="2:11" ht="15">
      <c r="B25" s="1">
        <v>13</v>
      </c>
      <c r="C25" t="str">
        <f ca="1">IFERROR(__xludf.DUMMYFUNCTION((TRANSPOSE(ImportHTML("http://spending.data.al/sq/moneypower/view/id/13/year/2012",  "table", 2)))),"*Kategoria*")</f>
        <v>*Kategoria*</v>
      </c>
      <c r="D25" t="s">
        <v>2589</v>
      </c>
    </row>
    <row r="26" spans="2:11" ht="15">
      <c r="B26" s="7"/>
      <c r="C26" t="s">
        <v>686</v>
      </c>
    </row>
    <row r="27" spans="2:11" ht="15">
      <c r="B27" s="1">
        <v>14</v>
      </c>
      <c r="C27" t="str">
        <f ca="1">IFERROR(__xludf.DUMMYFUNCTION((TRANSPOSE(ImportHTML("http://spending.data.al/sq/moneypower/view/id/14/year/2012",  "table", 2)))),"*Kategoria*")</f>
        <v>*Kategoria*</v>
      </c>
      <c r="E27" t="s">
        <v>719</v>
      </c>
      <c r="F27" t="s">
        <v>720</v>
      </c>
      <c r="G27" t="s">
        <v>721</v>
      </c>
      <c r="H27" t="s">
        <v>722</v>
      </c>
      <c r="I27" t="s">
        <v>723</v>
      </c>
      <c r="J27" t="s">
        <v>724</v>
      </c>
      <c r="K27" t="s">
        <v>685</v>
      </c>
    </row>
    <row r="28" spans="2:11" ht="15">
      <c r="B28" s="7"/>
      <c r="C28" t="s">
        <v>686</v>
      </c>
      <c r="E28" t="s">
        <v>2707</v>
      </c>
      <c r="F28" t="s">
        <v>2708</v>
      </c>
      <c r="G28" t="s">
        <v>727</v>
      </c>
      <c r="H28" t="s">
        <v>727</v>
      </c>
      <c r="I28" t="s">
        <v>727</v>
      </c>
      <c r="J28" t="s">
        <v>727</v>
      </c>
      <c r="K28" t="s">
        <v>2709</v>
      </c>
    </row>
    <row r="29" spans="2:11" ht="15">
      <c r="B29" s="1">
        <v>15</v>
      </c>
      <c r="C29" t="str">
        <f ca="1">IFERROR(__xludf.DUMMYFUNCTION((TRANSPOSE(ImportHTML("http://spending.data.al/sq/moneypower/view/id/15/year/2012",  "table", 2)))),"*Kategoria*")</f>
        <v>*Kategoria*</v>
      </c>
      <c r="D29" t="s">
        <v>2589</v>
      </c>
    </row>
    <row r="30" spans="2:11" ht="15">
      <c r="B30" s="7"/>
      <c r="C30" t="s">
        <v>686</v>
      </c>
    </row>
    <row r="31" spans="2:11" ht="15">
      <c r="B31" s="1">
        <v>16</v>
      </c>
      <c r="C31" t="str">
        <f ca="1">IFERROR(__xludf.DUMMYFUNCTION((TRANSPOSE(ImportHTML("http://spending.data.al/sq/moneypower/view/id/16/year/2012",  "table", 2)))),"*Kategoria*")</f>
        <v>*Kategoria*</v>
      </c>
      <c r="D31" t="s">
        <v>2589</v>
      </c>
    </row>
    <row r="32" spans="2:11" ht="15">
      <c r="B32" s="7"/>
      <c r="C32" t="s">
        <v>686</v>
      </c>
    </row>
    <row r="33" spans="2:11" ht="15">
      <c r="B33" s="1">
        <v>17</v>
      </c>
      <c r="C33" t="str">
        <f ca="1">IFERROR(__xludf.DUMMYFUNCTION((TRANSPOSE(ImportHTML("http://spending.data.al/sq/moneypower/view/id/17/year/2012",  "table", 2)))),"*Kategoria*")</f>
        <v>*Kategoria*</v>
      </c>
      <c r="E33" t="s">
        <v>719</v>
      </c>
      <c r="F33" t="s">
        <v>720</v>
      </c>
      <c r="G33" t="s">
        <v>721</v>
      </c>
      <c r="H33" t="s">
        <v>722</v>
      </c>
      <c r="I33" t="s">
        <v>723</v>
      </c>
      <c r="J33" t="s">
        <v>724</v>
      </c>
      <c r="K33" t="s">
        <v>685</v>
      </c>
    </row>
    <row r="34" spans="2:11" ht="15">
      <c r="B34" s="7"/>
      <c r="C34" t="s">
        <v>686</v>
      </c>
      <c r="E34" t="s">
        <v>2710</v>
      </c>
      <c r="F34" t="s">
        <v>2711</v>
      </c>
      <c r="G34" t="s">
        <v>727</v>
      </c>
      <c r="H34" t="s">
        <v>727</v>
      </c>
      <c r="I34" t="s">
        <v>727</v>
      </c>
      <c r="J34" t="s">
        <v>727</v>
      </c>
      <c r="K34" t="s">
        <v>707</v>
      </c>
    </row>
    <row r="35" spans="2:11" ht="15">
      <c r="B35" s="1">
        <v>18</v>
      </c>
      <c r="C35" t="str">
        <f ca="1">IFERROR(__xludf.DUMMYFUNCTION((TRANSPOSE(ImportHTML("http://spending.data.al/sq/moneypower/view/id/18/year/2012",  "table", 2)))),"*Kategoria*")</f>
        <v>*Kategoria*</v>
      </c>
      <c r="D35" t="s">
        <v>2589</v>
      </c>
    </row>
    <row r="36" spans="2:11" ht="15">
      <c r="B36" s="7"/>
      <c r="C36" t="s">
        <v>686</v>
      </c>
    </row>
    <row r="37" spans="2:11" ht="15">
      <c r="B37" s="1">
        <v>19</v>
      </c>
      <c r="C37" t="str">
        <f ca="1">IFERROR(__xludf.DUMMYFUNCTION((TRANSPOSE(ImportHTML("http://spending.data.al/sq/moneypower/view/id/19/year/2012",  "table", 2)))),"*Kategoria*")</f>
        <v>*Kategoria*</v>
      </c>
      <c r="D37" t="s">
        <v>2589</v>
      </c>
    </row>
    <row r="38" spans="2:11" ht="15">
      <c r="B38" s="7"/>
      <c r="C38" t="s">
        <v>686</v>
      </c>
    </row>
    <row r="39" spans="2:11" ht="15">
      <c r="B39" s="1">
        <v>20</v>
      </c>
      <c r="C39" t="str">
        <f ca="1">IFERROR(__xludf.DUMMYFUNCTION((TRANSPOSE(ImportHTML("http://spending.data.al/sq/moneypower/view/id/20/year/2012",  "table", 2)))),"*Kategoria*")</f>
        <v>*Kategoria*</v>
      </c>
      <c r="E39" t="s">
        <v>719</v>
      </c>
      <c r="F39" t="s">
        <v>720</v>
      </c>
      <c r="G39" t="s">
        <v>721</v>
      </c>
      <c r="H39" t="s">
        <v>722</v>
      </c>
      <c r="I39" t="s">
        <v>723</v>
      </c>
      <c r="J39" t="s">
        <v>724</v>
      </c>
      <c r="K39" t="s">
        <v>685</v>
      </c>
    </row>
    <row r="40" spans="2:11" ht="15">
      <c r="B40" s="7"/>
      <c r="C40" t="s">
        <v>686</v>
      </c>
      <c r="E40" t="s">
        <v>2712</v>
      </c>
      <c r="F40" t="s">
        <v>2713</v>
      </c>
      <c r="G40" t="s">
        <v>2714</v>
      </c>
      <c r="H40" t="s">
        <v>727</v>
      </c>
      <c r="I40" t="s">
        <v>2715</v>
      </c>
      <c r="J40" t="s">
        <v>727</v>
      </c>
      <c r="K40" t="s">
        <v>707</v>
      </c>
    </row>
    <row r="41" spans="2:11" ht="15">
      <c r="B41" s="1">
        <v>21</v>
      </c>
      <c r="C41" t="str">
        <f ca="1">IFERROR(__xludf.DUMMYFUNCTION((TRANSPOSE(ImportHTML("http://spending.data.al/sq/moneypower/view/id/21/year/2012",  "table", 2)))),"*Kategoria*")</f>
        <v>*Kategoria*</v>
      </c>
      <c r="D41" t="s">
        <v>2589</v>
      </c>
    </row>
    <row r="42" spans="2:11" ht="15">
      <c r="B42" s="7"/>
      <c r="C42" t="s">
        <v>686</v>
      </c>
    </row>
    <row r="43" spans="2:11" ht="15">
      <c r="B43" s="1">
        <v>22</v>
      </c>
      <c r="C43" t="str">
        <f ca="1">IFERROR(__xludf.DUMMYFUNCTION((TRANSPOSE(ImportHTML("http://spending.data.al/sq/moneypower/view/id/22/year/2012",  "table", 2)))),"*Kategoria*")</f>
        <v>*Kategoria*</v>
      </c>
      <c r="D43" t="s">
        <v>2589</v>
      </c>
    </row>
    <row r="44" spans="2:11" ht="15">
      <c r="B44" s="7"/>
      <c r="C44" t="s">
        <v>686</v>
      </c>
    </row>
    <row r="45" spans="2:11" ht="15">
      <c r="B45" s="1">
        <v>23</v>
      </c>
      <c r="C45" t="str">
        <f ca="1">IFERROR(__xludf.DUMMYFUNCTION((TRANSPOSE(ImportHTML("http://spending.data.al/sq/moneypower/view/id/23/year/2012",  "table", 2)))),"*Kategoria*")</f>
        <v>*Kategoria*</v>
      </c>
      <c r="D45" t="s">
        <v>2589</v>
      </c>
    </row>
    <row r="46" spans="2:11" ht="15">
      <c r="B46" s="7"/>
      <c r="C46" t="s">
        <v>686</v>
      </c>
    </row>
    <row r="47" spans="2:11" ht="15">
      <c r="B47" s="1">
        <v>24</v>
      </c>
      <c r="C47" t="str">
        <f ca="1">IFERROR(__xludf.DUMMYFUNCTION((TRANSPOSE(ImportHTML("http://spending.data.al/sq/moneypower/view/id/24/year/2012",  "table", 2)))),"*Kategoria*")</f>
        <v>*Kategoria*</v>
      </c>
      <c r="D47" t="s">
        <v>2589</v>
      </c>
    </row>
    <row r="48" spans="2:11" ht="15">
      <c r="B48" s="7"/>
      <c r="C48" t="s">
        <v>686</v>
      </c>
    </row>
    <row r="49" spans="2:11" ht="15">
      <c r="B49" s="1">
        <v>25</v>
      </c>
      <c r="C49" t="str">
        <f ca="1">IFERROR(__xludf.DUMMYFUNCTION((TRANSPOSE(ImportHTML("http://spending.data.al/sq/moneypower/view/id/25/year/2012",  "table", 2)))),"*Kategoria*")</f>
        <v>*Kategoria*</v>
      </c>
      <c r="E49" t="s">
        <v>719</v>
      </c>
      <c r="F49" t="s">
        <v>720</v>
      </c>
      <c r="G49" t="s">
        <v>721</v>
      </c>
      <c r="H49" t="s">
        <v>722</v>
      </c>
      <c r="I49" t="s">
        <v>723</v>
      </c>
      <c r="J49" t="s">
        <v>724</v>
      </c>
      <c r="K49" t="s">
        <v>685</v>
      </c>
    </row>
    <row r="50" spans="2:11" ht="15">
      <c r="B50" s="7"/>
      <c r="C50" t="s">
        <v>686</v>
      </c>
      <c r="E50" t="s">
        <v>2716</v>
      </c>
      <c r="F50" t="s">
        <v>2717</v>
      </c>
      <c r="G50" t="s">
        <v>2718</v>
      </c>
      <c r="H50" t="s">
        <v>727</v>
      </c>
      <c r="I50" t="s">
        <v>727</v>
      </c>
      <c r="J50" t="s">
        <v>727</v>
      </c>
      <c r="K50" t="s">
        <v>2719</v>
      </c>
    </row>
    <row r="51" spans="2:11" ht="15">
      <c r="B51" s="1">
        <v>26</v>
      </c>
      <c r="C51" t="str">
        <f ca="1">IFERROR(__xludf.DUMMYFUNCTION((TRANSPOSE(ImportHTML("http://spending.data.al/sq/moneypower/view/id/26/year/2012",  "table", 2)))),"*Kategoria*")</f>
        <v>*Kategoria*</v>
      </c>
      <c r="D51" t="s">
        <v>2589</v>
      </c>
    </row>
    <row r="52" spans="2:11" ht="15">
      <c r="B52" s="7"/>
      <c r="C52" t="s">
        <v>686</v>
      </c>
    </row>
    <row r="53" spans="2:11" ht="15">
      <c r="B53" s="1">
        <v>27</v>
      </c>
      <c r="C53" t="str">
        <f ca="1">IFERROR(__xludf.DUMMYFUNCTION((TRANSPOSE(ImportHTML("http://spending.data.al/sq/moneypower/view/id/27/year/2012",  "table", 2)))),"*Kategoria*")</f>
        <v>*Kategoria*</v>
      </c>
      <c r="D53" t="s">
        <v>2589</v>
      </c>
    </row>
    <row r="54" spans="2:11" ht="15">
      <c r="B54" s="7"/>
      <c r="C54" t="s">
        <v>686</v>
      </c>
    </row>
    <row r="55" spans="2:11" ht="15">
      <c r="B55" s="1">
        <v>28</v>
      </c>
      <c r="C55" t="str">
        <f ca="1">IFERROR(__xludf.DUMMYFUNCTION((TRANSPOSE(ImportHTML("http://spending.data.al/sq/moneypower/view/id/28/year/2012",  "table", 2)))),"*Kategoria*")</f>
        <v>*Kategoria*</v>
      </c>
      <c r="E55" t="s">
        <v>719</v>
      </c>
      <c r="F55" t="s">
        <v>720</v>
      </c>
      <c r="G55" t="s">
        <v>721</v>
      </c>
      <c r="H55" t="s">
        <v>722</v>
      </c>
      <c r="I55" t="s">
        <v>723</v>
      </c>
      <c r="J55" t="s">
        <v>724</v>
      </c>
      <c r="K55" t="s">
        <v>685</v>
      </c>
    </row>
    <row r="56" spans="2:11" ht="15">
      <c r="B56" s="7"/>
      <c r="C56" t="s">
        <v>686</v>
      </c>
      <c r="E56" t="s">
        <v>2720</v>
      </c>
      <c r="F56" t="s">
        <v>727</v>
      </c>
      <c r="G56" t="s">
        <v>2721</v>
      </c>
      <c r="H56" t="s">
        <v>727</v>
      </c>
      <c r="I56" t="s">
        <v>727</v>
      </c>
      <c r="J56" t="s">
        <v>707</v>
      </c>
      <c r="K56" t="s">
        <v>707</v>
      </c>
    </row>
    <row r="57" spans="2:11" ht="15">
      <c r="B57" s="1">
        <v>29</v>
      </c>
      <c r="C57" t="str">
        <f ca="1">IFERROR(__xludf.DUMMYFUNCTION((TRANSPOSE(ImportHTML("http://spending.data.al/sq/moneypower/view/id/29/year/2012",  "table", 2)))),"*Kategoria*")</f>
        <v>*Kategoria*</v>
      </c>
      <c r="E57" t="s">
        <v>719</v>
      </c>
      <c r="F57" t="s">
        <v>720</v>
      </c>
      <c r="G57" t="s">
        <v>721</v>
      </c>
      <c r="H57" t="s">
        <v>722</v>
      </c>
      <c r="I57" t="s">
        <v>723</v>
      </c>
      <c r="J57" t="s">
        <v>724</v>
      </c>
      <c r="K57" t="s">
        <v>685</v>
      </c>
    </row>
    <row r="58" spans="2:11" ht="15">
      <c r="B58" s="7"/>
      <c r="C58" t="s">
        <v>686</v>
      </c>
      <c r="E58" t="s">
        <v>2722</v>
      </c>
      <c r="F58" t="s">
        <v>2723</v>
      </c>
      <c r="G58" t="s">
        <v>727</v>
      </c>
      <c r="H58" t="s">
        <v>727</v>
      </c>
      <c r="I58" t="s">
        <v>727</v>
      </c>
      <c r="J58" t="s">
        <v>727</v>
      </c>
      <c r="K58" t="s">
        <v>727</v>
      </c>
    </row>
    <row r="59" spans="2:11" ht="15">
      <c r="B59" s="1">
        <v>30</v>
      </c>
      <c r="C59" t="str">
        <f ca="1">IFERROR(__xludf.DUMMYFUNCTION((TRANSPOSE(ImportHTML("http://spending.data.al/sq/moneypower/view/id/30/year/2012",  "table", 2)))),"*Kategoria*")</f>
        <v>*Kategoria*</v>
      </c>
      <c r="E59" t="s">
        <v>719</v>
      </c>
      <c r="F59" t="s">
        <v>720</v>
      </c>
      <c r="G59" t="s">
        <v>721</v>
      </c>
      <c r="H59" t="s">
        <v>722</v>
      </c>
      <c r="I59" t="s">
        <v>723</v>
      </c>
      <c r="J59" t="s">
        <v>724</v>
      </c>
      <c r="K59" t="s">
        <v>685</v>
      </c>
    </row>
    <row r="60" spans="2:11" ht="15">
      <c r="B60" s="7"/>
      <c r="C60" t="s">
        <v>686</v>
      </c>
      <c r="E60" t="s">
        <v>2724</v>
      </c>
      <c r="F60" t="s">
        <v>727</v>
      </c>
      <c r="G60" t="s">
        <v>2725</v>
      </c>
      <c r="H60" t="s">
        <v>727</v>
      </c>
      <c r="I60" t="s">
        <v>727</v>
      </c>
      <c r="J60" t="s">
        <v>727</v>
      </c>
      <c r="K60" t="s">
        <v>2726</v>
      </c>
    </row>
    <row r="61" spans="2:11" ht="15">
      <c r="B61" s="1">
        <v>31</v>
      </c>
      <c r="C61" t="str">
        <f ca="1">IFERROR(__xludf.DUMMYFUNCTION((TRANSPOSE(ImportHTML("http://spending.data.al/sq/moneypower/view/id/31/year/2012",  "table", 2)))),"*Kategoria*")</f>
        <v>*Kategoria*</v>
      </c>
      <c r="E61" t="s">
        <v>719</v>
      </c>
      <c r="F61" t="s">
        <v>720</v>
      </c>
      <c r="G61" t="s">
        <v>721</v>
      </c>
      <c r="H61" t="s">
        <v>722</v>
      </c>
      <c r="I61" t="s">
        <v>723</v>
      </c>
      <c r="J61" t="s">
        <v>724</v>
      </c>
      <c r="K61" t="s">
        <v>685</v>
      </c>
    </row>
    <row r="62" spans="2:11" ht="15">
      <c r="B62" s="7"/>
      <c r="C62" t="s">
        <v>686</v>
      </c>
      <c r="E62" t="s">
        <v>2727</v>
      </c>
      <c r="F62" t="s">
        <v>727</v>
      </c>
      <c r="G62" t="s">
        <v>727</v>
      </c>
      <c r="H62" t="s">
        <v>727</v>
      </c>
      <c r="I62" t="s">
        <v>727</v>
      </c>
      <c r="J62" t="s">
        <v>727</v>
      </c>
      <c r="K62" t="s">
        <v>727</v>
      </c>
    </row>
    <row r="63" spans="2:11" ht="15">
      <c r="B63" s="1">
        <v>32</v>
      </c>
      <c r="C63" t="str">
        <f ca="1">IFERROR(__xludf.DUMMYFUNCTION((TRANSPOSE(ImportHTML("http://spending.data.al/sq/moneypower/view/id/32/year/2012",  "table", 2)))),"*Kategoria*")</f>
        <v>*Kategoria*</v>
      </c>
      <c r="E63" t="s">
        <v>719</v>
      </c>
      <c r="F63" t="s">
        <v>720</v>
      </c>
      <c r="G63" t="s">
        <v>721</v>
      </c>
      <c r="H63" t="s">
        <v>722</v>
      </c>
      <c r="I63" t="s">
        <v>723</v>
      </c>
      <c r="J63" t="s">
        <v>724</v>
      </c>
      <c r="K63" t="s">
        <v>685</v>
      </c>
    </row>
    <row r="64" spans="2:11" ht="15">
      <c r="B64" s="7"/>
      <c r="C64" t="s">
        <v>686</v>
      </c>
      <c r="E64" t="s">
        <v>2728</v>
      </c>
      <c r="F64" t="s">
        <v>727</v>
      </c>
      <c r="G64" t="s">
        <v>727</v>
      </c>
      <c r="H64" t="s">
        <v>727</v>
      </c>
      <c r="I64" t="s">
        <v>727</v>
      </c>
      <c r="J64" t="s">
        <v>727</v>
      </c>
      <c r="K64" t="s">
        <v>727</v>
      </c>
    </row>
    <row r="65" spans="2:11" ht="15">
      <c r="B65" s="1">
        <v>33</v>
      </c>
      <c r="C65" t="str">
        <f ca="1">IFERROR(__xludf.DUMMYFUNCTION((TRANSPOSE(ImportHTML("http://spending.data.al/sq/moneypower/view/id/33/year/2012",  "table", 2)))),"*Kategoria*")</f>
        <v>*Kategoria*</v>
      </c>
      <c r="D65" t="s">
        <v>2589</v>
      </c>
    </row>
    <row r="66" spans="2:11" ht="15">
      <c r="B66" s="7"/>
      <c r="C66" t="s">
        <v>686</v>
      </c>
    </row>
    <row r="67" spans="2:11" ht="15">
      <c r="B67" s="1">
        <v>34</v>
      </c>
      <c r="C67" t="str">
        <f ca="1">IFERROR(__xludf.DUMMYFUNCTION((TRANSPOSE(ImportHTML("http://spending.data.al/sq/moneypower/view/id/34/year/2012",  "table", 2)))),"*Kategoria*")</f>
        <v>*Kategoria*</v>
      </c>
      <c r="D67" t="s">
        <v>2589</v>
      </c>
    </row>
    <row r="68" spans="2:11" ht="15">
      <c r="B68" s="7"/>
      <c r="C68" t="s">
        <v>686</v>
      </c>
    </row>
    <row r="69" spans="2:11" ht="15">
      <c r="B69" s="1">
        <v>35</v>
      </c>
      <c r="C69" t="str">
        <f ca="1">IFERROR(__xludf.DUMMYFUNCTION((TRANSPOSE(ImportHTML("http://spending.data.al/sq/moneypower/view/id/35/year/2012",  "table", 2)))),"*Kategoria*")</f>
        <v>*Kategoria*</v>
      </c>
      <c r="D69" t="s">
        <v>2589</v>
      </c>
    </row>
    <row r="70" spans="2:11" ht="15">
      <c r="B70" s="7"/>
      <c r="C70" t="s">
        <v>686</v>
      </c>
    </row>
    <row r="71" spans="2:11" ht="15">
      <c r="B71" s="1">
        <v>36</v>
      </c>
      <c r="C71" t="str">
        <f ca="1">IFERROR(__xludf.DUMMYFUNCTION((TRANSPOSE(ImportHTML("http://spending.data.al/sq/moneypower/view/id/36/year/2012",  "table", 2)))),"*Kategoria*")</f>
        <v>*Kategoria*</v>
      </c>
      <c r="D71" t="s">
        <v>2589</v>
      </c>
    </row>
    <row r="72" spans="2:11" ht="15">
      <c r="B72" s="7"/>
      <c r="C72" t="s">
        <v>686</v>
      </c>
    </row>
    <row r="73" spans="2:11" ht="15">
      <c r="B73" s="1">
        <v>37</v>
      </c>
      <c r="C73" t="str">
        <f ca="1">IFERROR(__xludf.DUMMYFUNCTION((TRANSPOSE(ImportHTML("http://spending.data.al/sq/moneypower/view/id/37/year/2012",  "table", 2)))),"*Kategoria*")</f>
        <v>*Kategoria*</v>
      </c>
      <c r="E73" t="s">
        <v>719</v>
      </c>
      <c r="F73" t="s">
        <v>720</v>
      </c>
      <c r="G73" t="s">
        <v>721</v>
      </c>
      <c r="H73" t="s">
        <v>722</v>
      </c>
      <c r="I73" t="s">
        <v>723</v>
      </c>
      <c r="J73" t="s">
        <v>724</v>
      </c>
      <c r="K73" t="s">
        <v>685</v>
      </c>
    </row>
    <row r="74" spans="2:11" ht="15">
      <c r="B74" s="7"/>
      <c r="C74" t="s">
        <v>686</v>
      </c>
      <c r="E74" t="s">
        <v>2729</v>
      </c>
      <c r="F74" t="s">
        <v>727</v>
      </c>
      <c r="G74" t="s">
        <v>727</v>
      </c>
      <c r="H74" t="s">
        <v>727</v>
      </c>
      <c r="I74" t="s">
        <v>727</v>
      </c>
      <c r="J74" t="s">
        <v>727</v>
      </c>
      <c r="K74" t="s">
        <v>727</v>
      </c>
    </row>
    <row r="75" spans="2:11" ht="15">
      <c r="B75" s="1">
        <v>38</v>
      </c>
      <c r="C75" t="str">
        <f ca="1">IFERROR(__xludf.DUMMYFUNCTION((TRANSPOSE(ImportHTML("http://spending.data.al/sq/moneypower/view/id/38/year/2012",  "table", 2)))),"*Kategoria*")</f>
        <v>*Kategoria*</v>
      </c>
      <c r="E75" t="s">
        <v>719</v>
      </c>
      <c r="F75" t="s">
        <v>720</v>
      </c>
      <c r="G75" t="s">
        <v>721</v>
      </c>
      <c r="H75" t="s">
        <v>722</v>
      </c>
      <c r="I75" t="s">
        <v>723</v>
      </c>
      <c r="J75" t="s">
        <v>724</v>
      </c>
      <c r="K75" t="s">
        <v>685</v>
      </c>
    </row>
    <row r="76" spans="2:11" ht="15">
      <c r="B76" s="7"/>
      <c r="C76" t="s">
        <v>686</v>
      </c>
      <c r="E76" t="s">
        <v>2730</v>
      </c>
      <c r="F76" t="s">
        <v>727</v>
      </c>
      <c r="G76" t="s">
        <v>2731</v>
      </c>
      <c r="H76" t="s">
        <v>727</v>
      </c>
      <c r="I76" t="s">
        <v>727</v>
      </c>
      <c r="J76" t="s">
        <v>727</v>
      </c>
      <c r="K76" t="s">
        <v>727</v>
      </c>
    </row>
    <row r="77" spans="2:11" ht="15">
      <c r="B77" s="1">
        <v>39</v>
      </c>
      <c r="C77" t="str">
        <f ca="1">IFERROR(__xludf.DUMMYFUNCTION((TRANSPOSE(ImportHTML("http://spending.data.al/sq/moneypower/view/id/39/year/2012",  "table", 2)))),"*Kategoria*")</f>
        <v>*Kategoria*</v>
      </c>
      <c r="E77" t="s">
        <v>719</v>
      </c>
      <c r="F77" t="s">
        <v>720</v>
      </c>
      <c r="G77" t="s">
        <v>721</v>
      </c>
      <c r="H77" t="s">
        <v>722</v>
      </c>
      <c r="I77" t="s">
        <v>723</v>
      </c>
      <c r="J77" t="s">
        <v>724</v>
      </c>
      <c r="K77" t="s">
        <v>685</v>
      </c>
    </row>
    <row r="78" spans="2:11" ht="15">
      <c r="B78" s="7"/>
      <c r="C78" t="s">
        <v>686</v>
      </c>
      <c r="E78" t="s">
        <v>2732</v>
      </c>
      <c r="F78" t="s">
        <v>2733</v>
      </c>
      <c r="G78" t="s">
        <v>2734</v>
      </c>
      <c r="H78" t="s">
        <v>2601</v>
      </c>
      <c r="I78" t="s">
        <v>2601</v>
      </c>
      <c r="J78" t="s">
        <v>2601</v>
      </c>
      <c r="K78" t="s">
        <v>2735</v>
      </c>
    </row>
    <row r="79" spans="2:11" ht="15">
      <c r="B79" s="1">
        <v>40</v>
      </c>
      <c r="C79" t="str">
        <f ca="1">IFERROR(__xludf.DUMMYFUNCTION((TRANSPOSE(ImportHTML("http://spending.data.al/sq/moneypower/view/id/40/year/2012",  "table", 2)))),"*Kategoria*")</f>
        <v>*Kategoria*</v>
      </c>
      <c r="E79" t="s">
        <v>719</v>
      </c>
      <c r="F79" t="s">
        <v>720</v>
      </c>
      <c r="G79" t="s">
        <v>721</v>
      </c>
      <c r="H79" t="s">
        <v>722</v>
      </c>
      <c r="I79" t="s">
        <v>723</v>
      </c>
      <c r="J79" t="s">
        <v>724</v>
      </c>
      <c r="K79" t="s">
        <v>685</v>
      </c>
    </row>
    <row r="80" spans="2:11" ht="15">
      <c r="B80" s="7"/>
      <c r="C80" t="s">
        <v>686</v>
      </c>
      <c r="E80" t="s">
        <v>2736</v>
      </c>
      <c r="F80" t="s">
        <v>2737</v>
      </c>
      <c r="G80" t="s">
        <v>727</v>
      </c>
      <c r="H80" t="s">
        <v>727</v>
      </c>
      <c r="I80" t="s">
        <v>727</v>
      </c>
      <c r="J80" t="s">
        <v>2601</v>
      </c>
      <c r="K80" t="s">
        <v>727</v>
      </c>
    </row>
    <row r="81" spans="2:11" ht="15">
      <c r="B81" s="1">
        <v>41</v>
      </c>
      <c r="C81" t="str">
        <f ca="1">IFERROR(__xludf.DUMMYFUNCTION((TRANSPOSE(ImportHTML("http://spending.data.al/sq/moneypower/view/id/41/year/2012",  "table", 2)))),"*Kategoria*")</f>
        <v>*Kategoria*</v>
      </c>
      <c r="D81" t="s">
        <v>2589</v>
      </c>
    </row>
    <row r="82" spans="2:11" ht="15">
      <c r="B82" s="7"/>
      <c r="C82" t="s">
        <v>686</v>
      </c>
    </row>
    <row r="83" spans="2:11" ht="15">
      <c r="B83" s="1">
        <v>42</v>
      </c>
      <c r="C83" t="str">
        <f ca="1">IFERROR(__xludf.DUMMYFUNCTION((TRANSPOSE(ImportHTML("http://spending.data.al/sq/moneypower/view/id/42/year/2012",  "table", 2)))),"*Kategoria*")</f>
        <v>*Kategoria*</v>
      </c>
      <c r="E83" t="s">
        <v>719</v>
      </c>
      <c r="F83" t="s">
        <v>720</v>
      </c>
      <c r="G83" t="s">
        <v>721</v>
      </c>
      <c r="H83" t="s">
        <v>722</v>
      </c>
      <c r="I83" t="s">
        <v>723</v>
      </c>
      <c r="J83" t="s">
        <v>724</v>
      </c>
      <c r="K83" t="s">
        <v>685</v>
      </c>
    </row>
    <row r="84" spans="2:11" ht="15">
      <c r="B84" s="7"/>
      <c r="C84" t="s">
        <v>686</v>
      </c>
      <c r="E84" t="s">
        <v>2738</v>
      </c>
      <c r="F84" t="s">
        <v>727</v>
      </c>
      <c r="G84" t="s">
        <v>2739</v>
      </c>
      <c r="H84" t="s">
        <v>727</v>
      </c>
      <c r="I84" t="s">
        <v>727</v>
      </c>
      <c r="J84" t="s">
        <v>727</v>
      </c>
      <c r="K84" t="s">
        <v>2740</v>
      </c>
    </row>
    <row r="85" spans="2:11" ht="15">
      <c r="B85" s="1">
        <v>43</v>
      </c>
      <c r="C85" t="str">
        <f ca="1">IFERROR(__xludf.DUMMYFUNCTION((TRANSPOSE(ImportHTML("http://spending.data.al/sq/moneypower/view/id/43/year/2012",  "table", 2)))),"*Kategoria*")</f>
        <v>*Kategoria*</v>
      </c>
      <c r="E85" t="s">
        <v>719</v>
      </c>
      <c r="F85" t="s">
        <v>720</v>
      </c>
      <c r="G85" t="s">
        <v>721</v>
      </c>
      <c r="H85" t="s">
        <v>722</v>
      </c>
      <c r="I85" t="s">
        <v>723</v>
      </c>
      <c r="J85" t="s">
        <v>724</v>
      </c>
      <c r="K85" t="s">
        <v>685</v>
      </c>
    </row>
    <row r="86" spans="2:11" ht="15">
      <c r="B86" s="7"/>
      <c r="C86" t="s">
        <v>686</v>
      </c>
      <c r="E86" t="s">
        <v>2741</v>
      </c>
      <c r="F86" t="s">
        <v>727</v>
      </c>
      <c r="G86" t="s">
        <v>727</v>
      </c>
      <c r="H86" t="s">
        <v>727</v>
      </c>
      <c r="I86" t="s">
        <v>727</v>
      </c>
      <c r="J86" t="s">
        <v>727</v>
      </c>
      <c r="K86" t="s">
        <v>2742</v>
      </c>
    </row>
    <row r="87" spans="2:11" ht="15">
      <c r="B87" s="1">
        <v>44</v>
      </c>
      <c r="C87" t="str">
        <f ca="1">IFERROR(__xludf.DUMMYFUNCTION((TRANSPOSE(ImportHTML("http://spending.data.al/sq/moneypower/view/id/44/year/2012",  "table", 2)))),"*Kategoria*")</f>
        <v>*Kategoria*</v>
      </c>
      <c r="E87" t="s">
        <v>719</v>
      </c>
      <c r="F87" t="s">
        <v>720</v>
      </c>
      <c r="G87" t="s">
        <v>721</v>
      </c>
      <c r="H87" t="s">
        <v>722</v>
      </c>
      <c r="I87" t="s">
        <v>723</v>
      </c>
      <c r="J87" t="s">
        <v>724</v>
      </c>
      <c r="K87" t="s">
        <v>685</v>
      </c>
    </row>
    <row r="88" spans="2:11" ht="15">
      <c r="B88" s="7"/>
      <c r="C88" t="s">
        <v>686</v>
      </c>
      <c r="E88" t="s">
        <v>2743</v>
      </c>
      <c r="F88" t="s">
        <v>2744</v>
      </c>
      <c r="G88" t="s">
        <v>2745</v>
      </c>
      <c r="H88" t="s">
        <v>727</v>
      </c>
      <c r="I88" t="s">
        <v>727</v>
      </c>
      <c r="J88" t="s">
        <v>727</v>
      </c>
      <c r="K88" t="s">
        <v>727</v>
      </c>
    </row>
    <row r="89" spans="2:11" ht="15">
      <c r="B89" s="1">
        <v>45</v>
      </c>
      <c r="C89" t="str">
        <f ca="1">IFERROR(__xludf.DUMMYFUNCTION((TRANSPOSE(ImportHTML("http://spending.data.al/sq/moneypower/view/id/45/year/2012",  "table", 2)))),"*Kategoria*")</f>
        <v>*Kategoria*</v>
      </c>
      <c r="E89" t="s">
        <v>719</v>
      </c>
      <c r="F89" t="s">
        <v>720</v>
      </c>
      <c r="G89" t="s">
        <v>721</v>
      </c>
      <c r="H89" t="s">
        <v>722</v>
      </c>
      <c r="I89" t="s">
        <v>723</v>
      </c>
      <c r="J89" t="s">
        <v>724</v>
      </c>
      <c r="K89" t="s">
        <v>685</v>
      </c>
    </row>
    <row r="90" spans="2:11" ht="15">
      <c r="B90" s="7"/>
      <c r="C90" t="s">
        <v>686</v>
      </c>
      <c r="E90" t="s">
        <v>2746</v>
      </c>
      <c r="F90" t="s">
        <v>2747</v>
      </c>
      <c r="G90" t="s">
        <v>2601</v>
      </c>
      <c r="H90" t="s">
        <v>2601</v>
      </c>
      <c r="I90" t="s">
        <v>2601</v>
      </c>
      <c r="J90" t="s">
        <v>2601</v>
      </c>
      <c r="K90" t="s">
        <v>2748</v>
      </c>
    </row>
    <row r="91" spans="2:11" ht="15">
      <c r="B91" s="1">
        <v>46</v>
      </c>
      <c r="C91" t="str">
        <f ca="1">IFERROR(__xludf.DUMMYFUNCTION((TRANSPOSE(ImportHTML("http://spending.data.al/sq/moneypower/view/id/46/year/2012",  "table", 2)))),"*Kategoria*")</f>
        <v>*Kategoria*</v>
      </c>
      <c r="E91" t="s">
        <v>719</v>
      </c>
      <c r="F91" t="s">
        <v>720</v>
      </c>
      <c r="G91" t="s">
        <v>721</v>
      </c>
      <c r="H91" t="s">
        <v>722</v>
      </c>
      <c r="I91" t="s">
        <v>723</v>
      </c>
      <c r="J91" t="s">
        <v>724</v>
      </c>
      <c r="K91" t="s">
        <v>685</v>
      </c>
    </row>
    <row r="92" spans="2:11" ht="15">
      <c r="B92" s="7"/>
      <c r="C92" t="s">
        <v>686</v>
      </c>
      <c r="E92" t="s">
        <v>2749</v>
      </c>
      <c r="F92" t="s">
        <v>2750</v>
      </c>
      <c r="G92" t="s">
        <v>2751</v>
      </c>
      <c r="H92" t="s">
        <v>727</v>
      </c>
      <c r="I92" t="s">
        <v>727</v>
      </c>
      <c r="J92" t="s">
        <v>727</v>
      </c>
      <c r="K92" t="s">
        <v>727</v>
      </c>
    </row>
    <row r="93" spans="2:11" ht="15">
      <c r="B93" s="1">
        <v>47</v>
      </c>
      <c r="C93" t="str">
        <f ca="1">IFERROR(__xludf.DUMMYFUNCTION((TRANSPOSE(ImportHTML("http://spending.data.al/sq/moneypower/view/id/47/year/2012",  "table", 2)))),"*Kategoria*")</f>
        <v>*Kategoria*</v>
      </c>
      <c r="E93" t="s">
        <v>719</v>
      </c>
      <c r="F93" t="s">
        <v>720</v>
      </c>
      <c r="G93" t="s">
        <v>721</v>
      </c>
      <c r="H93" t="s">
        <v>722</v>
      </c>
      <c r="I93" t="s">
        <v>723</v>
      </c>
      <c r="J93" t="s">
        <v>724</v>
      </c>
      <c r="K93" t="s">
        <v>685</v>
      </c>
    </row>
    <row r="94" spans="2:11" ht="15">
      <c r="B94" s="7"/>
      <c r="C94" t="s">
        <v>686</v>
      </c>
      <c r="E94" t="s">
        <v>2601</v>
      </c>
      <c r="F94" t="s">
        <v>2601</v>
      </c>
      <c r="G94" t="s">
        <v>2752</v>
      </c>
      <c r="H94" t="s">
        <v>2601</v>
      </c>
      <c r="I94" t="s">
        <v>2601</v>
      </c>
      <c r="J94" t="s">
        <v>2601</v>
      </c>
      <c r="K94" t="s">
        <v>2753</v>
      </c>
    </row>
    <row r="95" spans="2:11" ht="15">
      <c r="B95" s="1">
        <v>48</v>
      </c>
      <c r="C95" t="str">
        <f ca="1">IFERROR(__xludf.DUMMYFUNCTION((TRANSPOSE(ImportHTML("http://spending.data.al/sq/moneypower/view/id/48/year/2012",  "table", 2)))),"*Kategoria*")</f>
        <v>*Kategoria*</v>
      </c>
      <c r="E95" t="s">
        <v>719</v>
      </c>
      <c r="F95" t="s">
        <v>720</v>
      </c>
      <c r="G95" t="s">
        <v>721</v>
      </c>
      <c r="H95" t="s">
        <v>722</v>
      </c>
      <c r="I95" t="s">
        <v>723</v>
      </c>
      <c r="J95" t="s">
        <v>724</v>
      </c>
      <c r="K95" t="s">
        <v>685</v>
      </c>
    </row>
    <row r="96" spans="2:11" ht="15">
      <c r="B96" s="7"/>
      <c r="C96" t="s">
        <v>686</v>
      </c>
      <c r="E96" t="s">
        <v>2754</v>
      </c>
      <c r="F96" t="s">
        <v>2755</v>
      </c>
      <c r="G96" t="s">
        <v>2601</v>
      </c>
      <c r="H96" t="s">
        <v>2601</v>
      </c>
      <c r="I96" t="s">
        <v>2601</v>
      </c>
      <c r="J96" t="s">
        <v>2601</v>
      </c>
      <c r="K96" t="s">
        <v>2601</v>
      </c>
    </row>
    <row r="97" spans="2:11" ht="15">
      <c r="B97" s="1">
        <v>49</v>
      </c>
      <c r="C97" t="str">
        <f ca="1">IFERROR(__xludf.DUMMYFUNCTION((TRANSPOSE(ImportHTML("http://spending.data.al/sq/moneypower/view/id/49/year/2012",  "table", 2)))),"*Kategoria*")</f>
        <v>*Kategoria*</v>
      </c>
      <c r="D97" t="s">
        <v>2589</v>
      </c>
    </row>
    <row r="98" spans="2:11" ht="15">
      <c r="B98" s="7"/>
      <c r="C98" t="s">
        <v>686</v>
      </c>
    </row>
    <row r="99" spans="2:11" ht="15">
      <c r="B99" s="1">
        <v>50</v>
      </c>
      <c r="C99" t="str">
        <f ca="1">IFERROR(__xludf.DUMMYFUNCTION((TRANSPOSE(ImportHTML("http://spending.data.al/sq/moneypower/view/id/50/year/2012",  "table", 2)))),"*Kategoria*")</f>
        <v>*Kategoria*</v>
      </c>
      <c r="E99" t="s">
        <v>719</v>
      </c>
      <c r="F99" t="s">
        <v>720</v>
      </c>
      <c r="G99" t="s">
        <v>721</v>
      </c>
      <c r="H99" t="s">
        <v>722</v>
      </c>
      <c r="I99" t="s">
        <v>723</v>
      </c>
      <c r="J99" t="s">
        <v>724</v>
      </c>
      <c r="K99" t="s">
        <v>685</v>
      </c>
    </row>
    <row r="100" spans="2:11" ht="15">
      <c r="B100" s="7"/>
      <c r="C100" t="s">
        <v>686</v>
      </c>
      <c r="E100" t="s">
        <v>2601</v>
      </c>
      <c r="F100" t="s">
        <v>2601</v>
      </c>
      <c r="G100" t="s">
        <v>2756</v>
      </c>
      <c r="H100" t="s">
        <v>2601</v>
      </c>
      <c r="I100" t="s">
        <v>2601</v>
      </c>
      <c r="J100" t="s">
        <v>2601</v>
      </c>
      <c r="K100" t="s">
        <v>2601</v>
      </c>
    </row>
    <row r="101" spans="2:11" ht="15">
      <c r="B101" s="1">
        <v>51</v>
      </c>
      <c r="C101" t="str">
        <f ca="1">IFERROR(__xludf.DUMMYFUNCTION((TRANSPOSE(ImportHTML("http://spending.data.al/sq/moneypower/view/id/51/year/2012",  "table", 2)))),"*Kategoria*")</f>
        <v>*Kategoria*</v>
      </c>
      <c r="E101" t="s">
        <v>719</v>
      </c>
      <c r="F101" t="s">
        <v>720</v>
      </c>
      <c r="G101" t="s">
        <v>721</v>
      </c>
      <c r="H101" t="s">
        <v>722</v>
      </c>
      <c r="I101" t="s">
        <v>723</v>
      </c>
      <c r="J101" t="s">
        <v>724</v>
      </c>
      <c r="K101" t="s">
        <v>685</v>
      </c>
    </row>
    <row r="102" spans="2:11" ht="15">
      <c r="B102" s="7"/>
      <c r="C102" t="s">
        <v>686</v>
      </c>
      <c r="E102" t="s">
        <v>2757</v>
      </c>
      <c r="F102" t="s">
        <v>727</v>
      </c>
      <c r="G102" t="s">
        <v>727</v>
      </c>
      <c r="H102" t="s">
        <v>727</v>
      </c>
      <c r="I102" t="s">
        <v>727</v>
      </c>
      <c r="J102" t="s">
        <v>2758</v>
      </c>
      <c r="K102" t="s">
        <v>727</v>
      </c>
    </row>
    <row r="103" spans="2:11" ht="15">
      <c r="B103" s="1">
        <v>52</v>
      </c>
      <c r="C103" t="str">
        <f ca="1">IFERROR(__xludf.DUMMYFUNCTION((TRANSPOSE(ImportHTML("http://spending.data.al/sq/moneypower/view/id/52/year/2012",  "table", 2)))),"*Kategoria*")</f>
        <v>*Kategoria*</v>
      </c>
      <c r="D103" t="s">
        <v>2589</v>
      </c>
    </row>
    <row r="104" spans="2:11" ht="15">
      <c r="B104" s="7"/>
      <c r="C104" t="s">
        <v>686</v>
      </c>
    </row>
    <row r="105" spans="2:11" ht="15">
      <c r="B105" s="1">
        <v>53</v>
      </c>
      <c r="C105" t="str">
        <f ca="1">IFERROR(__xludf.DUMMYFUNCTION((TRANSPOSE(ImportHTML("http://spending.data.al/sq/moneypower/view/id/53/year/2012",  "table", 2)))),"*Kategoria*")</f>
        <v>*Kategoria*</v>
      </c>
      <c r="E105" t="s">
        <v>719</v>
      </c>
      <c r="F105" t="s">
        <v>720</v>
      </c>
      <c r="G105" t="s">
        <v>721</v>
      </c>
      <c r="H105" t="s">
        <v>722</v>
      </c>
      <c r="I105" t="s">
        <v>723</v>
      </c>
      <c r="J105" t="s">
        <v>724</v>
      </c>
      <c r="K105" t="s">
        <v>685</v>
      </c>
    </row>
    <row r="106" spans="2:11" ht="15">
      <c r="B106" s="7"/>
      <c r="C106" t="s">
        <v>686</v>
      </c>
      <c r="E106" t="s">
        <v>2759</v>
      </c>
      <c r="F106" t="s">
        <v>2760</v>
      </c>
      <c r="G106" t="s">
        <v>2761</v>
      </c>
      <c r="H106" t="s">
        <v>2601</v>
      </c>
      <c r="I106" t="s">
        <v>2601</v>
      </c>
      <c r="J106" t="s">
        <v>2601</v>
      </c>
      <c r="K106" t="s">
        <v>2601</v>
      </c>
    </row>
    <row r="107" spans="2:11" ht="15">
      <c r="B107" s="1">
        <v>54</v>
      </c>
      <c r="C107" t="str">
        <f ca="1">IFERROR(__xludf.DUMMYFUNCTION((TRANSPOSE(ImportHTML("http://spending.data.al/sq/moneypower/view/id/54/year/2012",  "table", 2)))),"*Kategoria*")</f>
        <v>*Kategoria*</v>
      </c>
      <c r="D107" t="s">
        <v>2589</v>
      </c>
    </row>
    <row r="108" spans="2:11" ht="15">
      <c r="B108" s="7"/>
      <c r="C108" t="s">
        <v>686</v>
      </c>
    </row>
    <row r="109" spans="2:11" ht="15">
      <c r="B109" s="1">
        <v>55</v>
      </c>
      <c r="C109" t="str">
        <f ca="1">IFERROR(__xludf.DUMMYFUNCTION((TRANSPOSE(ImportHTML("http://spending.data.al/sq/moneypower/view/id/55/year/2012",  "table", 2)))),"*Kategoria*")</f>
        <v>*Kategoria*</v>
      </c>
      <c r="E109" t="s">
        <v>719</v>
      </c>
      <c r="F109" t="s">
        <v>720</v>
      </c>
      <c r="G109" t="s">
        <v>721</v>
      </c>
      <c r="H109" t="s">
        <v>722</v>
      </c>
      <c r="I109" t="s">
        <v>723</v>
      </c>
      <c r="J109" t="s">
        <v>724</v>
      </c>
      <c r="K109" t="s">
        <v>685</v>
      </c>
    </row>
    <row r="110" spans="2:11" ht="15">
      <c r="B110" s="7"/>
      <c r="C110" t="s">
        <v>686</v>
      </c>
      <c r="E110" t="s">
        <v>2762</v>
      </c>
      <c r="F110" t="s">
        <v>2601</v>
      </c>
      <c r="G110" t="s">
        <v>2763</v>
      </c>
      <c r="H110" t="s">
        <v>2601</v>
      </c>
      <c r="I110" t="s">
        <v>2601</v>
      </c>
      <c r="J110" t="s">
        <v>2601</v>
      </c>
      <c r="K110" t="s">
        <v>2601</v>
      </c>
    </row>
    <row r="111" spans="2:11" ht="15">
      <c r="B111" s="1">
        <v>56</v>
      </c>
      <c r="C111" t="str">
        <f ca="1">IFERROR(__xludf.DUMMYFUNCTION((TRANSPOSE(ImportHTML("http://spending.data.al/sq/moneypower/view/id/56/year/2012",  "table", 2)))),"*Kategoria*")</f>
        <v>*Kategoria*</v>
      </c>
      <c r="E111" t="s">
        <v>719</v>
      </c>
      <c r="F111" t="s">
        <v>720</v>
      </c>
      <c r="G111" t="s">
        <v>721</v>
      </c>
      <c r="H111" t="s">
        <v>722</v>
      </c>
      <c r="I111" t="s">
        <v>723</v>
      </c>
      <c r="J111" t="s">
        <v>724</v>
      </c>
      <c r="K111" t="s">
        <v>685</v>
      </c>
    </row>
    <row r="112" spans="2:11" ht="15">
      <c r="B112" s="7"/>
      <c r="C112" t="s">
        <v>686</v>
      </c>
      <c r="E112" t="s">
        <v>2601</v>
      </c>
      <c r="F112" t="s">
        <v>2764</v>
      </c>
      <c r="G112" t="s">
        <v>2601</v>
      </c>
      <c r="H112" t="s">
        <v>2601</v>
      </c>
      <c r="I112" t="s">
        <v>2601</v>
      </c>
      <c r="J112" t="s">
        <v>2601</v>
      </c>
      <c r="K112" t="s">
        <v>2765</v>
      </c>
    </row>
    <row r="113" spans="2:11" ht="15">
      <c r="B113" s="1">
        <v>57</v>
      </c>
      <c r="C113" t="str">
        <f ca="1">IFERROR(__xludf.DUMMYFUNCTION((TRANSPOSE(ImportHTML("http://spending.data.al/sq/moneypower/view/id/57/year/2012",  "table", 2)))),"*Kategoria*")</f>
        <v>*Kategoria*</v>
      </c>
      <c r="E113" t="s">
        <v>719</v>
      </c>
      <c r="F113" t="s">
        <v>720</v>
      </c>
      <c r="G113" t="s">
        <v>721</v>
      </c>
      <c r="H113" t="s">
        <v>722</v>
      </c>
      <c r="I113" t="s">
        <v>723</v>
      </c>
      <c r="J113" t="s">
        <v>724</v>
      </c>
      <c r="K113" t="s">
        <v>685</v>
      </c>
    </row>
    <row r="114" spans="2:11" ht="15">
      <c r="B114" s="7"/>
      <c r="C114" t="s">
        <v>686</v>
      </c>
      <c r="E114" t="s">
        <v>2766</v>
      </c>
      <c r="F114" t="s">
        <v>2767</v>
      </c>
      <c r="G114" t="s">
        <v>2768</v>
      </c>
      <c r="H114" t="s">
        <v>2769</v>
      </c>
      <c r="I114" t="s">
        <v>2770</v>
      </c>
      <c r="J114" t="s">
        <v>727</v>
      </c>
      <c r="K114" t="s">
        <v>2771</v>
      </c>
    </row>
    <row r="115" spans="2:11" ht="15">
      <c r="B115" s="1">
        <v>58</v>
      </c>
      <c r="C115" t="str">
        <f ca="1">IFERROR(__xludf.DUMMYFUNCTION((TRANSPOSE(ImportHTML("http://spending.data.al/sq/moneypower/view/id/58/year/2012",  "table", 2)))),"*Kategoria*")</f>
        <v>*Kategoria*</v>
      </c>
      <c r="D115" t="s">
        <v>2589</v>
      </c>
    </row>
    <row r="116" spans="2:11" ht="15">
      <c r="B116" s="7"/>
      <c r="C116" t="s">
        <v>686</v>
      </c>
    </row>
    <row r="117" spans="2:11" ht="15">
      <c r="B117" s="1">
        <v>59</v>
      </c>
      <c r="C117" t="str">
        <f ca="1">IFERROR(__xludf.DUMMYFUNCTION((TRANSPOSE(ImportHTML("http://spending.data.al/sq/moneypower/view/id/59/year/2012",  "table", 2)))),"*Kategoria*")</f>
        <v>*Kategoria*</v>
      </c>
      <c r="E117" t="s">
        <v>719</v>
      </c>
      <c r="F117" t="s">
        <v>720</v>
      </c>
      <c r="G117" t="s">
        <v>721</v>
      </c>
      <c r="H117" t="s">
        <v>722</v>
      </c>
      <c r="I117" t="s">
        <v>723</v>
      </c>
      <c r="J117" t="s">
        <v>724</v>
      </c>
      <c r="K117" t="s">
        <v>685</v>
      </c>
    </row>
    <row r="118" spans="2:11" ht="15">
      <c r="B118" s="7"/>
      <c r="C118" t="s">
        <v>686</v>
      </c>
      <c r="E118" t="s">
        <v>2772</v>
      </c>
      <c r="F118" t="s">
        <v>2601</v>
      </c>
      <c r="G118" t="s">
        <v>2773</v>
      </c>
      <c r="H118" t="s">
        <v>2601</v>
      </c>
      <c r="I118" t="s">
        <v>2601</v>
      </c>
      <c r="J118" t="s">
        <v>2601</v>
      </c>
      <c r="K118" t="s">
        <v>2774</v>
      </c>
    </row>
    <row r="119" spans="2:11" ht="15">
      <c r="B119" s="1">
        <v>60</v>
      </c>
      <c r="C119" t="str">
        <f ca="1">IFERROR(__xludf.DUMMYFUNCTION((TRANSPOSE(ImportHTML("http://spending.data.al/sq/moneypower/view/id/60/year/2012",  "table", 2)))),"*Kategoria*")</f>
        <v>*Kategoria*</v>
      </c>
      <c r="E119" t="s">
        <v>719</v>
      </c>
      <c r="F119" t="s">
        <v>720</v>
      </c>
      <c r="G119" t="s">
        <v>721</v>
      </c>
      <c r="H119" t="s">
        <v>722</v>
      </c>
      <c r="I119" t="s">
        <v>723</v>
      </c>
      <c r="J119" t="s">
        <v>724</v>
      </c>
      <c r="K119" t="s">
        <v>685</v>
      </c>
    </row>
    <row r="120" spans="2:11" ht="15">
      <c r="B120" s="7"/>
      <c r="C120" t="s">
        <v>686</v>
      </c>
      <c r="E120" t="s">
        <v>2775</v>
      </c>
      <c r="F120" t="s">
        <v>727</v>
      </c>
      <c r="G120" t="s">
        <v>2776</v>
      </c>
      <c r="H120" t="s">
        <v>727</v>
      </c>
      <c r="I120" t="s">
        <v>727</v>
      </c>
      <c r="J120" t="s">
        <v>727</v>
      </c>
      <c r="K120" t="s">
        <v>2777</v>
      </c>
    </row>
    <row r="121" spans="2:11" ht="15">
      <c r="B121" s="1">
        <v>61</v>
      </c>
      <c r="C121" t="str">
        <f ca="1">IFERROR(__xludf.DUMMYFUNCTION((TRANSPOSE(ImportHTML("http://spending.data.al/sq/moneypower/view/id/61/year/2012",  "table", 2)))),"*Kategoria*")</f>
        <v>*Kategoria*</v>
      </c>
      <c r="E121" t="s">
        <v>719</v>
      </c>
      <c r="F121" t="s">
        <v>720</v>
      </c>
      <c r="G121" t="s">
        <v>721</v>
      </c>
      <c r="H121" t="s">
        <v>722</v>
      </c>
      <c r="I121" t="s">
        <v>723</v>
      </c>
      <c r="J121" t="s">
        <v>724</v>
      </c>
      <c r="K121" t="s">
        <v>685</v>
      </c>
    </row>
    <row r="122" spans="2:11" ht="15">
      <c r="B122" s="7"/>
      <c r="C122" t="s">
        <v>686</v>
      </c>
      <c r="E122" t="s">
        <v>2778</v>
      </c>
      <c r="F122" t="s">
        <v>2779</v>
      </c>
      <c r="G122" t="s">
        <v>2780</v>
      </c>
      <c r="H122" t="s">
        <v>727</v>
      </c>
      <c r="I122" t="s">
        <v>727</v>
      </c>
      <c r="J122" t="s">
        <v>727</v>
      </c>
      <c r="K122" t="s">
        <v>727</v>
      </c>
    </row>
    <row r="123" spans="2:11" ht="15">
      <c r="B123" s="1">
        <v>62</v>
      </c>
      <c r="C123" t="str">
        <f ca="1">IFERROR(__xludf.DUMMYFUNCTION((TRANSPOSE(ImportHTML("http://spending.data.al/sq/moneypower/view/id/62/year/2012",  "table", 2)))),"*Kategoria*")</f>
        <v>*Kategoria*</v>
      </c>
      <c r="E123" t="s">
        <v>719</v>
      </c>
      <c r="F123" t="s">
        <v>720</v>
      </c>
      <c r="G123" t="s">
        <v>721</v>
      </c>
      <c r="H123" t="s">
        <v>722</v>
      </c>
      <c r="I123" t="s">
        <v>723</v>
      </c>
      <c r="J123" t="s">
        <v>724</v>
      </c>
      <c r="K123" t="s">
        <v>685</v>
      </c>
    </row>
    <row r="124" spans="2:11" ht="15">
      <c r="B124" s="7"/>
      <c r="C124" t="s">
        <v>686</v>
      </c>
      <c r="E124" t="s">
        <v>2781</v>
      </c>
      <c r="F124" t="s">
        <v>2782</v>
      </c>
      <c r="G124" t="s">
        <v>707</v>
      </c>
      <c r="J124" t="s">
        <v>707</v>
      </c>
      <c r="K124" t="s">
        <v>707</v>
      </c>
    </row>
    <row r="125" spans="2:11" ht="15">
      <c r="B125" s="1">
        <v>63</v>
      </c>
      <c r="C125" t="str">
        <f ca="1">IFERROR(__xludf.DUMMYFUNCTION((TRANSPOSE(ImportHTML("http://spending.data.al/sq/moneypower/view/id/63/year/2012",  "table", 2)))),"*Kategoria*")</f>
        <v>*Kategoria*</v>
      </c>
      <c r="E125" t="s">
        <v>719</v>
      </c>
      <c r="F125" t="s">
        <v>720</v>
      </c>
      <c r="G125" t="s">
        <v>721</v>
      </c>
      <c r="H125" t="s">
        <v>722</v>
      </c>
      <c r="I125" t="s">
        <v>723</v>
      </c>
      <c r="J125" t="s">
        <v>724</v>
      </c>
      <c r="K125" t="s">
        <v>685</v>
      </c>
    </row>
    <row r="126" spans="2:11" ht="15">
      <c r="B126" s="7"/>
      <c r="C126" t="s">
        <v>686</v>
      </c>
      <c r="E126" t="s">
        <v>2783</v>
      </c>
      <c r="F126" t="s">
        <v>2784</v>
      </c>
      <c r="G126" t="s">
        <v>2785</v>
      </c>
      <c r="H126" t="s">
        <v>2601</v>
      </c>
      <c r="I126" t="s">
        <v>2786</v>
      </c>
      <c r="J126" t="s">
        <v>2601</v>
      </c>
      <c r="K126" t="s">
        <v>2787</v>
      </c>
    </row>
    <row r="127" spans="2:11" ht="15">
      <c r="B127" s="1">
        <v>64</v>
      </c>
      <c r="C127" t="str">
        <f ca="1">IFERROR(__xludf.DUMMYFUNCTION((TRANSPOSE(ImportHTML("http://spending.data.al/sq/moneypower/view/id/64/year/2012",  "table", 2)))),"*Kategoria*")</f>
        <v>*Kategoria*</v>
      </c>
      <c r="E127" t="s">
        <v>719</v>
      </c>
      <c r="F127" t="s">
        <v>720</v>
      </c>
      <c r="G127" t="s">
        <v>721</v>
      </c>
      <c r="H127" t="s">
        <v>722</v>
      </c>
      <c r="I127" t="s">
        <v>723</v>
      </c>
      <c r="J127" t="s">
        <v>724</v>
      </c>
      <c r="K127" t="s">
        <v>685</v>
      </c>
    </row>
    <row r="128" spans="2:11" ht="15">
      <c r="B128" s="7"/>
      <c r="C128" t="s">
        <v>686</v>
      </c>
      <c r="E128" t="s">
        <v>2788</v>
      </c>
      <c r="F128" t="s">
        <v>2601</v>
      </c>
      <c r="G128" t="s">
        <v>2601</v>
      </c>
      <c r="H128" t="s">
        <v>2601</v>
      </c>
      <c r="I128" t="s">
        <v>2601</v>
      </c>
      <c r="J128" t="s">
        <v>2601</v>
      </c>
      <c r="K128" t="s">
        <v>2601</v>
      </c>
    </row>
    <row r="129" spans="2:11" ht="15">
      <c r="B129" s="1">
        <v>65</v>
      </c>
      <c r="C129" t="str">
        <f ca="1">IFERROR(__xludf.DUMMYFUNCTION((TRANSPOSE(ImportHTML("http://spending.data.al/sq/moneypower/view/id/65/year/2012",  "table", 2)))),"*Kategoria*")</f>
        <v>*Kategoria*</v>
      </c>
      <c r="E129" t="s">
        <v>719</v>
      </c>
      <c r="F129" t="s">
        <v>720</v>
      </c>
      <c r="G129" t="s">
        <v>721</v>
      </c>
      <c r="H129" t="s">
        <v>722</v>
      </c>
      <c r="I129" t="s">
        <v>723</v>
      </c>
      <c r="J129" t="s">
        <v>724</v>
      </c>
      <c r="K129" t="s">
        <v>685</v>
      </c>
    </row>
    <row r="130" spans="2:11" ht="15">
      <c r="B130" s="7"/>
      <c r="C130" t="s">
        <v>686</v>
      </c>
      <c r="E130" t="s">
        <v>2789</v>
      </c>
      <c r="F130" t="s">
        <v>707</v>
      </c>
      <c r="G130" t="s">
        <v>2790</v>
      </c>
      <c r="H130" t="s">
        <v>707</v>
      </c>
      <c r="J130" t="s">
        <v>707</v>
      </c>
      <c r="K130" t="s">
        <v>707</v>
      </c>
    </row>
    <row r="131" spans="2:11" ht="15">
      <c r="B131" s="1">
        <v>66</v>
      </c>
      <c r="C131" t="str">
        <f ca="1">IFERROR(__xludf.DUMMYFUNCTION((TRANSPOSE(ImportHTML("http://spending.data.al/sq/moneypower/view/id/66/year/2012",  "table", 2)))),"*Kategoria*")</f>
        <v>*Kategoria*</v>
      </c>
      <c r="E131" t="s">
        <v>719</v>
      </c>
      <c r="F131" t="s">
        <v>720</v>
      </c>
      <c r="G131" t="s">
        <v>721</v>
      </c>
      <c r="H131" t="s">
        <v>722</v>
      </c>
      <c r="I131" t="s">
        <v>723</v>
      </c>
      <c r="J131" t="s">
        <v>724</v>
      </c>
      <c r="K131" t="s">
        <v>685</v>
      </c>
    </row>
    <row r="132" spans="2:11" ht="15">
      <c r="B132" s="7"/>
      <c r="C132" t="s">
        <v>686</v>
      </c>
      <c r="E132" t="s">
        <v>2791</v>
      </c>
      <c r="F132" t="s">
        <v>2601</v>
      </c>
      <c r="G132" t="s">
        <v>2792</v>
      </c>
      <c r="H132" t="s">
        <v>2601</v>
      </c>
      <c r="I132" t="s">
        <v>2601</v>
      </c>
      <c r="J132" t="s">
        <v>2601</v>
      </c>
      <c r="K132" t="s">
        <v>2601</v>
      </c>
    </row>
    <row r="133" spans="2:11" ht="15">
      <c r="B133" s="1">
        <v>67</v>
      </c>
      <c r="C133" t="str">
        <f ca="1">IFERROR(__xludf.DUMMYFUNCTION((TRANSPOSE(ImportHTML("http://spending.data.al/sq/moneypower/view/id/67/year/2012",  "table", 2)))),"*Kategoria*")</f>
        <v>*Kategoria*</v>
      </c>
      <c r="E133" t="s">
        <v>719</v>
      </c>
      <c r="F133" t="s">
        <v>720</v>
      </c>
      <c r="G133" t="s">
        <v>721</v>
      </c>
      <c r="H133" t="s">
        <v>722</v>
      </c>
      <c r="I133" t="s">
        <v>723</v>
      </c>
      <c r="J133" t="s">
        <v>724</v>
      </c>
      <c r="K133" t="s">
        <v>685</v>
      </c>
    </row>
    <row r="134" spans="2:11" ht="15">
      <c r="B134" s="7"/>
      <c r="C134" t="s">
        <v>686</v>
      </c>
      <c r="E134" t="s">
        <v>2793</v>
      </c>
      <c r="F134" t="s">
        <v>2794</v>
      </c>
      <c r="G134" t="s">
        <v>2795</v>
      </c>
      <c r="H134" t="s">
        <v>2601</v>
      </c>
      <c r="I134" t="s">
        <v>2601</v>
      </c>
      <c r="J134" t="s">
        <v>2601</v>
      </c>
      <c r="K134" t="s">
        <v>2601</v>
      </c>
    </row>
    <row r="135" spans="2:11" ht="15">
      <c r="B135" s="1">
        <v>68</v>
      </c>
      <c r="C135" t="str">
        <f ca="1">IFERROR(__xludf.DUMMYFUNCTION((TRANSPOSE(ImportHTML("http://spending.data.al/sq/moneypower/view/id/68/year/2012",  "table", 2)))),"*Kategoria*")</f>
        <v>*Kategoria*</v>
      </c>
      <c r="E135" t="s">
        <v>719</v>
      </c>
      <c r="F135" t="s">
        <v>720</v>
      </c>
      <c r="G135" t="s">
        <v>721</v>
      </c>
      <c r="H135" t="s">
        <v>722</v>
      </c>
      <c r="I135" t="s">
        <v>723</v>
      </c>
      <c r="J135" t="s">
        <v>724</v>
      </c>
      <c r="K135" t="s">
        <v>685</v>
      </c>
    </row>
    <row r="136" spans="2:11" ht="15">
      <c r="B136" s="7"/>
      <c r="C136" t="s">
        <v>686</v>
      </c>
      <c r="E136" t="s">
        <v>2796</v>
      </c>
      <c r="F136" t="s">
        <v>727</v>
      </c>
      <c r="G136" t="s">
        <v>727</v>
      </c>
      <c r="H136" t="s">
        <v>727</v>
      </c>
      <c r="I136" t="s">
        <v>727</v>
      </c>
      <c r="J136" t="s">
        <v>727</v>
      </c>
      <c r="K136" t="s">
        <v>727</v>
      </c>
    </row>
    <row r="137" spans="2:11" ht="15">
      <c r="B137" s="1">
        <v>69</v>
      </c>
      <c r="C137" t="str">
        <f ca="1">IFERROR(__xludf.DUMMYFUNCTION((TRANSPOSE(ImportHTML("http://spending.data.al/sq/moneypower/view/id/69/year/2012",  "table", 2)))),"*Kategoria*")</f>
        <v>*Kategoria*</v>
      </c>
      <c r="E137" t="s">
        <v>719</v>
      </c>
      <c r="F137" t="s">
        <v>720</v>
      </c>
      <c r="G137" t="s">
        <v>721</v>
      </c>
      <c r="H137" t="s">
        <v>722</v>
      </c>
      <c r="I137" t="s">
        <v>723</v>
      </c>
      <c r="J137" t="s">
        <v>724</v>
      </c>
      <c r="K137" t="s">
        <v>685</v>
      </c>
    </row>
    <row r="138" spans="2:11" ht="15">
      <c r="B138" s="7"/>
      <c r="C138" t="s">
        <v>686</v>
      </c>
      <c r="E138" t="s">
        <v>2797</v>
      </c>
      <c r="F138" t="s">
        <v>2798</v>
      </c>
      <c r="G138" t="s">
        <v>2799</v>
      </c>
      <c r="H138" t="s">
        <v>727</v>
      </c>
      <c r="I138" t="s">
        <v>727</v>
      </c>
      <c r="J138" t="s">
        <v>727</v>
      </c>
      <c r="K138" t="s">
        <v>727</v>
      </c>
    </row>
    <row r="139" spans="2:11" ht="15">
      <c r="B139" s="1">
        <v>70</v>
      </c>
      <c r="C139" t="str">
        <f ca="1">IFERROR(__xludf.DUMMYFUNCTION((TRANSPOSE(ImportHTML("http://spending.data.al/sq/moneypower/view/id/70/year/2012",  "table", 2)))),"*Kategoria*")</f>
        <v>*Kategoria*</v>
      </c>
      <c r="E139" t="s">
        <v>719</v>
      </c>
      <c r="F139" t="s">
        <v>720</v>
      </c>
      <c r="G139" t="s">
        <v>721</v>
      </c>
      <c r="H139" t="s">
        <v>722</v>
      </c>
      <c r="I139" t="s">
        <v>723</v>
      </c>
      <c r="J139" t="s">
        <v>724</v>
      </c>
      <c r="K139" t="s">
        <v>685</v>
      </c>
    </row>
    <row r="140" spans="2:11" ht="15">
      <c r="B140" s="7"/>
      <c r="C140" t="s">
        <v>686</v>
      </c>
      <c r="E140" t="s">
        <v>2800</v>
      </c>
      <c r="F140" t="s">
        <v>2801</v>
      </c>
      <c r="G140" t="s">
        <v>727</v>
      </c>
      <c r="H140" t="s">
        <v>727</v>
      </c>
      <c r="I140" t="s">
        <v>727</v>
      </c>
      <c r="J140" t="s">
        <v>727</v>
      </c>
      <c r="K140" t="s">
        <v>2802</v>
      </c>
    </row>
    <row r="141" spans="2:11" ht="15">
      <c r="B141" s="1">
        <v>71</v>
      </c>
      <c r="C141" t="str">
        <f ca="1">IFERROR(__xludf.DUMMYFUNCTION((TRANSPOSE(ImportHTML("http://spending.data.al/sq/moneypower/view/id/71/year/2012",  "table", 2)))),"*Kategoria*")</f>
        <v>*Kategoria*</v>
      </c>
      <c r="D141" t="s">
        <v>2589</v>
      </c>
    </row>
    <row r="142" spans="2:11" ht="15">
      <c r="B142" s="7"/>
      <c r="C142" t="s">
        <v>686</v>
      </c>
    </row>
    <row r="143" spans="2:11" ht="15">
      <c r="B143" s="1">
        <v>72</v>
      </c>
      <c r="C143" t="str">
        <f ca="1">IFERROR(__xludf.DUMMYFUNCTION((TRANSPOSE(ImportHTML("http://spending.data.al/sq/moneypower/view/id/72/year/2012",  "table", 2)))),"*Kategoria*")</f>
        <v>*Kategoria*</v>
      </c>
      <c r="E143" t="s">
        <v>719</v>
      </c>
      <c r="F143" t="s">
        <v>720</v>
      </c>
      <c r="G143" t="s">
        <v>721</v>
      </c>
      <c r="H143" t="s">
        <v>722</v>
      </c>
      <c r="I143" t="s">
        <v>723</v>
      </c>
      <c r="J143" t="s">
        <v>724</v>
      </c>
      <c r="K143" t="s">
        <v>685</v>
      </c>
    </row>
    <row r="144" spans="2:11" ht="15">
      <c r="B144" s="7"/>
      <c r="C144" t="s">
        <v>686</v>
      </c>
      <c r="E144" t="s">
        <v>2803</v>
      </c>
      <c r="F144" t="s">
        <v>727</v>
      </c>
      <c r="G144" t="s">
        <v>2804</v>
      </c>
      <c r="H144" t="s">
        <v>727</v>
      </c>
      <c r="I144" t="s">
        <v>727</v>
      </c>
      <c r="J144" t="s">
        <v>727</v>
      </c>
      <c r="K144" t="s">
        <v>727</v>
      </c>
    </row>
    <row r="145" spans="2:4" ht="15">
      <c r="B145" s="1">
        <v>73</v>
      </c>
      <c r="C145" t="str">
        <f ca="1">IFERROR(__xludf.DUMMYFUNCTION((TRANSPOSE(ImportHTML("http://spending.data.al/sq/moneypower/view/id/73/year/2012",  "table", 2)))),"*Kategoria*")</f>
        <v>*Kategoria*</v>
      </c>
      <c r="D145" t="s">
        <v>2589</v>
      </c>
    </row>
    <row r="146" spans="2:4" ht="15">
      <c r="B146" s="7"/>
      <c r="C146" t="s">
        <v>686</v>
      </c>
    </row>
    <row r="147" spans="2:4" ht="15">
      <c r="B147" s="1">
        <v>74</v>
      </c>
      <c r="C147" t="str">
        <f ca="1">IFERROR(__xludf.DUMMYFUNCTION((TRANSPOSE(ImportHTML("http://spending.data.al/sq/moneypower/view/id/74/year/2012",  "table", 2)))),"*Kategoria*")</f>
        <v>*Kategoria*</v>
      </c>
      <c r="D147" t="s">
        <v>2589</v>
      </c>
    </row>
    <row r="148" spans="2:4" ht="15">
      <c r="B148" s="7"/>
      <c r="C148" t="s">
        <v>686</v>
      </c>
    </row>
    <row r="149" spans="2:4" ht="15">
      <c r="B149" s="1">
        <v>75</v>
      </c>
      <c r="C149" t="str">
        <f ca="1">IFERROR(__xludf.DUMMYFUNCTION((TRANSPOSE(ImportHTML("http://spending.data.al/sq/moneypower/view/id/75/year/2012",  "table", 2)))),"*Kategoria*")</f>
        <v>*Kategoria*</v>
      </c>
      <c r="D149" t="s">
        <v>2589</v>
      </c>
    </row>
    <row r="150" spans="2:4" ht="15">
      <c r="B150" s="7"/>
      <c r="C150" t="s">
        <v>686</v>
      </c>
    </row>
    <row r="151" spans="2:4" ht="15">
      <c r="B151" s="1">
        <v>76</v>
      </c>
      <c r="C151" t="str">
        <f ca="1">IFERROR(__xludf.DUMMYFUNCTION((TRANSPOSE(ImportHTML("http://spending.data.al/sq/moneypower/view/id/76/year/2012",  "table", 2)))),"*Kategoria*")</f>
        <v>*Kategoria*</v>
      </c>
      <c r="D151" t="s">
        <v>2589</v>
      </c>
    </row>
    <row r="152" spans="2:4" ht="15">
      <c r="B152" s="7"/>
      <c r="C152" t="s">
        <v>686</v>
      </c>
    </row>
    <row r="153" spans="2:4" ht="15">
      <c r="B153" s="1">
        <v>77</v>
      </c>
      <c r="C153" t="str">
        <f ca="1">IFERROR(__xludf.DUMMYFUNCTION((TRANSPOSE(ImportHTML("http://spending.data.al/sq/moneypower/view/id/77/year/2012",  "table", 2)))),"*Kategoria*")</f>
        <v>*Kategoria*</v>
      </c>
      <c r="D153" t="s">
        <v>2589</v>
      </c>
    </row>
    <row r="154" spans="2:4" ht="15">
      <c r="B154" s="7"/>
      <c r="C154" t="s">
        <v>686</v>
      </c>
    </row>
    <row r="155" spans="2:4" ht="15">
      <c r="B155" s="1">
        <v>78</v>
      </c>
      <c r="C155" t="str">
        <f ca="1">IFERROR(__xludf.DUMMYFUNCTION((TRANSPOSE(ImportHTML("http://spending.data.al/sq/moneypower/view/id/78/year/2012",  "table", 2)))),"*Kategoria*")</f>
        <v>*Kategoria*</v>
      </c>
      <c r="D155" t="s">
        <v>2589</v>
      </c>
    </row>
    <row r="156" spans="2:4" ht="15">
      <c r="B156" s="7"/>
      <c r="C156" t="s">
        <v>686</v>
      </c>
    </row>
    <row r="157" spans="2:4" ht="15">
      <c r="B157" s="1">
        <v>79</v>
      </c>
      <c r="C157" t="str">
        <f ca="1">IFERROR(__xludf.DUMMYFUNCTION((TRANSPOSE(ImportHTML("http://spending.data.al/sq/moneypower/view/id/79/year/2012",  "table", 2)))),"*Kategoria*")</f>
        <v>*Kategoria*</v>
      </c>
      <c r="D157" t="s">
        <v>2589</v>
      </c>
    </row>
    <row r="158" spans="2:4" ht="15">
      <c r="B158" s="7"/>
      <c r="C158" t="s">
        <v>686</v>
      </c>
    </row>
    <row r="159" spans="2:4" ht="15">
      <c r="B159" s="1">
        <v>80</v>
      </c>
      <c r="C159" t="str">
        <f ca="1">IFERROR(__xludf.DUMMYFUNCTION((TRANSPOSE(ImportHTML("http://spending.data.al/sq/moneypower/view/id/80/year/2012",  "table", 2)))),"*Kategoria*")</f>
        <v>*Kategoria*</v>
      </c>
      <c r="D159" t="s">
        <v>2589</v>
      </c>
    </row>
    <row r="160" spans="2:4" ht="15">
      <c r="B160" s="7"/>
      <c r="C160" t="s">
        <v>686</v>
      </c>
    </row>
    <row r="161" spans="2:4" ht="15">
      <c r="B161" s="1">
        <v>81</v>
      </c>
      <c r="C161" t="str">
        <f ca="1">IFERROR(__xludf.DUMMYFUNCTION((TRANSPOSE(ImportHTML("http://spending.data.al/sq/moneypower/view/id/81/year/2012",  "table", 2)))),"*Kategoria*")</f>
        <v>*Kategoria*</v>
      </c>
      <c r="D161" t="s">
        <v>2589</v>
      </c>
    </row>
    <row r="162" spans="2:4" ht="15">
      <c r="B162" s="7"/>
      <c r="C162" t="s">
        <v>686</v>
      </c>
    </row>
    <row r="163" spans="2:4" ht="15">
      <c r="B163" s="1">
        <v>82</v>
      </c>
      <c r="C163" t="str">
        <f ca="1">IFERROR(__xludf.DUMMYFUNCTION((TRANSPOSE(ImportHTML("http://spending.data.al/sq/moneypower/view/id/82/year/2012",  "table", 2)))),"*Kategoria*")</f>
        <v>*Kategoria*</v>
      </c>
      <c r="D163" t="s">
        <v>2589</v>
      </c>
    </row>
    <row r="164" spans="2:4" ht="15">
      <c r="B164" s="7"/>
      <c r="C164" t="s">
        <v>686</v>
      </c>
    </row>
    <row r="165" spans="2:4" ht="15">
      <c r="B165" s="1">
        <v>83</v>
      </c>
      <c r="C165" t="str">
        <f ca="1">IFERROR(__xludf.DUMMYFUNCTION((TRANSPOSE(ImportHTML("http://spending.data.al/sq/moneypower/view/id/83/year/2012",  "table", 2)))),"*Kategoria*")</f>
        <v>*Kategoria*</v>
      </c>
      <c r="D165" t="s">
        <v>2589</v>
      </c>
    </row>
    <row r="166" spans="2:4" ht="15">
      <c r="B166" s="7"/>
      <c r="C166" t="s">
        <v>686</v>
      </c>
    </row>
    <row r="167" spans="2:4" ht="15">
      <c r="B167" s="1">
        <v>84</v>
      </c>
      <c r="C167" t="str">
        <f ca="1">IFERROR(__xludf.DUMMYFUNCTION((TRANSPOSE(ImportHTML("http://spending.data.al/sq/moneypower/view/id/84/year/2012",  "table", 2)))),"*Kategoria*")</f>
        <v>*Kategoria*</v>
      </c>
      <c r="D167" t="s">
        <v>2589</v>
      </c>
    </row>
    <row r="168" spans="2:4" ht="15">
      <c r="B168" s="7"/>
      <c r="C168" t="s">
        <v>686</v>
      </c>
    </row>
    <row r="169" spans="2:4" ht="15">
      <c r="B169" s="1">
        <v>85</v>
      </c>
      <c r="C169" t="str">
        <f ca="1">IFERROR(__xludf.DUMMYFUNCTION((TRANSPOSE(ImportHTML("http://spending.data.al/sq/moneypower/view/id/85/year/2012",  "table", 2)))),"*Kategoria*")</f>
        <v>*Kategoria*</v>
      </c>
      <c r="D169" t="s">
        <v>2589</v>
      </c>
    </row>
    <row r="170" spans="2:4" ht="15">
      <c r="B170" s="7"/>
      <c r="C170" t="s">
        <v>686</v>
      </c>
    </row>
    <row r="171" spans="2:4" ht="15">
      <c r="B171" s="1">
        <v>86</v>
      </c>
      <c r="C171" t="str">
        <f ca="1">IFERROR(__xludf.DUMMYFUNCTION((TRANSPOSE(ImportHTML("http://spending.data.al/sq/moneypower/view/id/86/year/2012",  "table", 2)))),"*Kategoria*")</f>
        <v>*Kategoria*</v>
      </c>
      <c r="D171" t="s">
        <v>2589</v>
      </c>
    </row>
    <row r="172" spans="2:4" ht="15">
      <c r="B172" s="7"/>
      <c r="C172" t="s">
        <v>686</v>
      </c>
    </row>
    <row r="173" spans="2:4" ht="15">
      <c r="B173" s="1">
        <v>87</v>
      </c>
      <c r="C173" t="str">
        <f ca="1">IFERROR(__xludf.DUMMYFUNCTION((TRANSPOSE(ImportHTML("http://spending.data.al/sq/moneypower/view/id/87/year/2012",  "table", 2)))),"*Kategoria*")</f>
        <v>*Kategoria*</v>
      </c>
      <c r="D173" t="s">
        <v>2589</v>
      </c>
    </row>
    <row r="174" spans="2:4" ht="15">
      <c r="B174" s="7"/>
      <c r="C174" t="s">
        <v>686</v>
      </c>
    </row>
    <row r="175" spans="2:4" ht="15">
      <c r="B175" s="1">
        <v>88</v>
      </c>
      <c r="C175" t="str">
        <f ca="1">IFERROR(__xludf.DUMMYFUNCTION((TRANSPOSE(ImportHTML("http://spending.data.al/sq/moneypower/view/id/88/year/2012",  "table", 2)))),"*Kategoria*")</f>
        <v>*Kategoria*</v>
      </c>
      <c r="D175" t="s">
        <v>2589</v>
      </c>
    </row>
    <row r="176" spans="2:4" ht="15">
      <c r="B176" s="7"/>
      <c r="C176" t="s">
        <v>686</v>
      </c>
    </row>
    <row r="177" spans="2:11" ht="15">
      <c r="B177" s="1">
        <v>89</v>
      </c>
      <c r="C177" t="str">
        <f ca="1">IFERROR(__xludf.DUMMYFUNCTION((TRANSPOSE(ImportHTML("http://spending.data.al/sq/moneypower/view/id/89/year/2012",  "table", 2)))),"*Kategoria*")</f>
        <v>*Kategoria*</v>
      </c>
      <c r="D177" t="s">
        <v>2589</v>
      </c>
    </row>
    <row r="178" spans="2:11" ht="15">
      <c r="B178" s="7"/>
      <c r="C178" t="s">
        <v>686</v>
      </c>
    </row>
    <row r="179" spans="2:11" ht="15">
      <c r="B179" s="1">
        <v>90</v>
      </c>
      <c r="C179" t="str">
        <f ca="1">IFERROR(__xludf.DUMMYFUNCTION((TRANSPOSE(ImportHTML("http://spending.data.al/sq/moneypower/view/id/90/year/2012",  "table", 2)))),"*Kategoria*")</f>
        <v>*Kategoria*</v>
      </c>
      <c r="D179" t="s">
        <v>2589</v>
      </c>
    </row>
    <row r="180" spans="2:11" ht="15">
      <c r="B180" s="7"/>
      <c r="C180" t="s">
        <v>686</v>
      </c>
    </row>
    <row r="181" spans="2:11" ht="15">
      <c r="B181" s="1">
        <v>91</v>
      </c>
      <c r="C181" t="str">
        <f ca="1">IFERROR(__xludf.DUMMYFUNCTION((TRANSPOSE(ImportHTML("http://spending.data.al/sq/moneypower/view/id/91/year/2012",  "table", 2)))),"*Kategoria*")</f>
        <v>*Kategoria*</v>
      </c>
      <c r="E181" t="s">
        <v>719</v>
      </c>
      <c r="F181" t="s">
        <v>720</v>
      </c>
      <c r="G181" t="s">
        <v>721</v>
      </c>
      <c r="H181" t="s">
        <v>722</v>
      </c>
      <c r="I181" t="s">
        <v>723</v>
      </c>
      <c r="J181" t="s">
        <v>724</v>
      </c>
      <c r="K181" t="s">
        <v>685</v>
      </c>
    </row>
    <row r="182" spans="2:11" ht="15">
      <c r="B182" s="7"/>
      <c r="C182" t="s">
        <v>686</v>
      </c>
      <c r="E182" t="s">
        <v>2805</v>
      </c>
      <c r="F182" t="s">
        <v>2806</v>
      </c>
      <c r="G182" t="s">
        <v>2807</v>
      </c>
      <c r="H182" t="s">
        <v>727</v>
      </c>
      <c r="I182" t="s">
        <v>727</v>
      </c>
      <c r="J182" t="s">
        <v>727</v>
      </c>
      <c r="K182" t="s">
        <v>707</v>
      </c>
    </row>
    <row r="183" spans="2:11" ht="15">
      <c r="B183" s="1">
        <v>92</v>
      </c>
      <c r="C183" t="str">
        <f ca="1">IFERROR(__xludf.DUMMYFUNCTION((TRANSPOSE(ImportHTML("http://spending.data.al/sq/moneypower/view/id/92/year/2012",  "table", 2)))),"*Kategoria*")</f>
        <v>*Kategoria*</v>
      </c>
      <c r="E183" t="s">
        <v>719</v>
      </c>
      <c r="F183" t="s">
        <v>720</v>
      </c>
      <c r="G183" t="s">
        <v>721</v>
      </c>
      <c r="H183" t="s">
        <v>722</v>
      </c>
      <c r="I183" t="s">
        <v>723</v>
      </c>
      <c r="J183" t="s">
        <v>724</v>
      </c>
      <c r="K183" t="s">
        <v>685</v>
      </c>
    </row>
    <row r="184" spans="2:11" ht="15">
      <c r="B184" s="7"/>
      <c r="C184" t="s">
        <v>686</v>
      </c>
      <c r="E184" t="s">
        <v>2808</v>
      </c>
      <c r="F184" t="s">
        <v>2809</v>
      </c>
      <c r="G184" t="s">
        <v>2810</v>
      </c>
      <c r="H184" t="s">
        <v>2811</v>
      </c>
      <c r="I184" t="s">
        <v>2601</v>
      </c>
      <c r="J184" t="s">
        <v>2601</v>
      </c>
      <c r="K184" t="s">
        <v>707</v>
      </c>
    </row>
    <row r="185" spans="2:11" ht="15">
      <c r="B185" s="1">
        <v>93</v>
      </c>
      <c r="C185" t="str">
        <f ca="1">IFERROR(__xludf.DUMMYFUNCTION((TRANSPOSE(ImportHTML("http://spending.data.al/sq/moneypower/view/id/93/year/2012",  "table", 2)))),"*Kategoria*")</f>
        <v>*Kategoria*</v>
      </c>
      <c r="E185" t="s">
        <v>719</v>
      </c>
      <c r="F185" t="s">
        <v>720</v>
      </c>
      <c r="G185" t="s">
        <v>721</v>
      </c>
      <c r="H185" t="s">
        <v>722</v>
      </c>
      <c r="I185" t="s">
        <v>723</v>
      </c>
      <c r="J185" t="s">
        <v>724</v>
      </c>
      <c r="K185" t="s">
        <v>685</v>
      </c>
    </row>
    <row r="186" spans="2:11" ht="15">
      <c r="B186" s="7"/>
      <c r="C186" t="s">
        <v>686</v>
      </c>
      <c r="E186" t="s">
        <v>2812</v>
      </c>
      <c r="F186" t="s">
        <v>2813</v>
      </c>
      <c r="G186" t="s">
        <v>727</v>
      </c>
      <c r="H186" t="s">
        <v>727</v>
      </c>
      <c r="I186" t="s">
        <v>727</v>
      </c>
      <c r="J186" t="s">
        <v>727</v>
      </c>
      <c r="K186" t="s">
        <v>707</v>
      </c>
    </row>
    <row r="187" spans="2:11" ht="15">
      <c r="B187" s="1">
        <v>94</v>
      </c>
      <c r="C187" t="str">
        <f ca="1">IFERROR(__xludf.DUMMYFUNCTION((TRANSPOSE(ImportHTML("http://spending.data.al/sq/moneypower/view/id/94/year/2012",  "table", 2)))),"*Kategoria*")</f>
        <v>*Kategoria*</v>
      </c>
      <c r="D187" t="s">
        <v>2589</v>
      </c>
    </row>
    <row r="188" spans="2:11" ht="15">
      <c r="B188" s="7"/>
      <c r="C188" t="s">
        <v>686</v>
      </c>
    </row>
    <row r="189" spans="2:11" ht="15">
      <c r="B189" s="1">
        <v>95</v>
      </c>
      <c r="C189" t="str">
        <f ca="1">IFERROR(__xludf.DUMMYFUNCTION((TRANSPOSE(ImportHTML("http://spending.data.al/sq/moneypower/view/id/95/year/2012",  "table", 2)))),"*Kategoria*")</f>
        <v>*Kategoria*</v>
      </c>
      <c r="D189" t="s">
        <v>2589</v>
      </c>
    </row>
    <row r="190" spans="2:11" ht="15">
      <c r="B190" s="7"/>
      <c r="C190" t="s">
        <v>686</v>
      </c>
    </row>
    <row r="191" spans="2:11" ht="15">
      <c r="B191" s="1">
        <v>96</v>
      </c>
      <c r="C191" t="str">
        <f ca="1">IFERROR(__xludf.DUMMYFUNCTION((TRANSPOSE(ImportHTML("http://spending.data.al/sq/moneypower/view/id/96/year/2012",  "table", 2)))),"*Kategoria*")</f>
        <v>*Kategoria*</v>
      </c>
      <c r="E191" t="s">
        <v>719</v>
      </c>
      <c r="F191" t="s">
        <v>720</v>
      </c>
      <c r="G191" t="s">
        <v>721</v>
      </c>
      <c r="H191" t="s">
        <v>722</v>
      </c>
      <c r="I191" t="s">
        <v>723</v>
      </c>
      <c r="J191" t="s">
        <v>724</v>
      </c>
      <c r="K191" t="s">
        <v>685</v>
      </c>
    </row>
    <row r="192" spans="2:11" ht="15">
      <c r="B192" s="7"/>
      <c r="C192" t="s">
        <v>686</v>
      </c>
      <c r="E192" t="s">
        <v>2601</v>
      </c>
      <c r="F192" t="s">
        <v>2814</v>
      </c>
      <c r="G192" t="s">
        <v>2815</v>
      </c>
      <c r="H192" t="s">
        <v>2601</v>
      </c>
      <c r="I192" t="s">
        <v>2601</v>
      </c>
      <c r="J192" t="s">
        <v>2601</v>
      </c>
      <c r="K192" t="s">
        <v>707</v>
      </c>
    </row>
    <row r="193" spans="2:10" ht="15">
      <c r="B193" s="1">
        <v>97</v>
      </c>
      <c r="C193" t="str">
        <f ca="1">IFERROR(__xludf.DUMMYFUNCTION((TRANSPOSE(ImportHTML("http://spending.data.al/sq/moneypower/view/id/97/year/2012",  "table", 2)))),"*Kategoria*")</f>
        <v>*Kategoria*</v>
      </c>
      <c r="D193" t="s">
        <v>2589</v>
      </c>
    </row>
    <row r="194" spans="2:10" ht="15">
      <c r="B194" s="7"/>
      <c r="C194" t="s">
        <v>686</v>
      </c>
    </row>
    <row r="195" spans="2:10" ht="15">
      <c r="B195" s="1">
        <v>98</v>
      </c>
      <c r="C195" t="str">
        <f ca="1">IFERROR(__xludf.DUMMYFUNCTION((TRANSPOSE(ImportHTML("http://spending.data.al/sq/moneypower/view/id/98/year/2012",  "table", 2)))),"*Kategoria*")</f>
        <v>*Kategoria*</v>
      </c>
      <c r="D195" t="s">
        <v>2589</v>
      </c>
    </row>
    <row r="196" spans="2:10" ht="15">
      <c r="B196" s="7"/>
      <c r="C196" t="s">
        <v>686</v>
      </c>
    </row>
    <row r="197" spans="2:10" ht="15">
      <c r="B197" s="1">
        <v>99</v>
      </c>
      <c r="C197" t="str">
        <f ca="1">IFERROR(__xludf.DUMMYFUNCTION((TRANSPOSE(ImportHTML("http://spending.data.al/sq/moneypower/view/id/99/year/2012",  "table", 2)))),"*Kategoria*")</f>
        <v>*Kategoria*</v>
      </c>
      <c r="D197" t="s">
        <v>2589</v>
      </c>
    </row>
    <row r="198" spans="2:10" ht="15">
      <c r="B198" s="7"/>
      <c r="C198" t="s">
        <v>686</v>
      </c>
    </row>
    <row r="199" spans="2:10" ht="15">
      <c r="B199" s="1">
        <v>100</v>
      </c>
      <c r="C199" t="str">
        <f ca="1">IFERROR(__xludf.DUMMYFUNCTION((TRANSPOSE(ImportHTML("http://spending.data.al/sq/moneypower/view/id/100/year/2012",  "table", 2)))),"*Kategoria*")</f>
        <v>*Kategoria*</v>
      </c>
      <c r="E199" t="s">
        <v>719</v>
      </c>
      <c r="F199" t="s">
        <v>720</v>
      </c>
      <c r="G199" t="s">
        <v>721</v>
      </c>
      <c r="H199" t="s">
        <v>722</v>
      </c>
      <c r="I199" t="s">
        <v>723</v>
      </c>
      <c r="J199" t="s">
        <v>724</v>
      </c>
    </row>
    <row r="200" spans="2:10" ht="15">
      <c r="B200" s="7"/>
      <c r="C200" t="s">
        <v>686</v>
      </c>
      <c r="E200" t="s">
        <v>2816</v>
      </c>
      <c r="F200" t="s">
        <v>2817</v>
      </c>
      <c r="G200" t="s">
        <v>727</v>
      </c>
      <c r="H200" t="s">
        <v>727</v>
      </c>
      <c r="I200" t="s">
        <v>727</v>
      </c>
      <c r="J200" t="s">
        <v>727</v>
      </c>
    </row>
    <row r="201" spans="2:10" ht="15">
      <c r="B201" s="1">
        <v>101</v>
      </c>
      <c r="C201" t="str">
        <f ca="1">IFERROR(__xludf.DUMMYFUNCTION((TRANSPOSE(ImportHTML("http://spending.data.al/sq/moneypower/view/id/101/year/2012",  "table", 2)))),"*Kategoria*")</f>
        <v>*Kategoria*</v>
      </c>
      <c r="D201" t="s">
        <v>2589</v>
      </c>
    </row>
    <row r="202" spans="2:10" ht="15">
      <c r="B202" s="7"/>
      <c r="C202" t="s">
        <v>686</v>
      </c>
    </row>
    <row r="203" spans="2:10" ht="15">
      <c r="B203" s="1">
        <v>102</v>
      </c>
      <c r="C203" t="str">
        <f ca="1">IFERROR(__xludf.DUMMYFUNCTION((TRANSPOSE(ImportHTML("http://spending.data.al/sq/moneypower/view/id/102/year/2012",  "table", 2)))),"*Kategoria*")</f>
        <v>*Kategoria*</v>
      </c>
      <c r="D203" t="s">
        <v>2589</v>
      </c>
    </row>
    <row r="204" spans="2:10" ht="15">
      <c r="B204" s="7"/>
      <c r="C204" t="s">
        <v>686</v>
      </c>
    </row>
    <row r="205" spans="2:10" ht="15">
      <c r="B205" s="1">
        <v>103</v>
      </c>
      <c r="C205" t="str">
        <f ca="1">IFERROR(__xludf.DUMMYFUNCTION((TRANSPOSE(ImportHTML("http://spending.data.al/sq/moneypower/view/id/103/year/2012",  "table", 2)))),"*Kategoria*")</f>
        <v>*Kategoria*</v>
      </c>
      <c r="D205" t="s">
        <v>2589</v>
      </c>
    </row>
    <row r="206" spans="2:10" ht="15">
      <c r="B206" s="7"/>
      <c r="C206" t="s">
        <v>686</v>
      </c>
    </row>
    <row r="207" spans="2:10" ht="15">
      <c r="B207" s="1">
        <v>104</v>
      </c>
      <c r="C207" t="str">
        <f ca="1">IFERROR(__xludf.DUMMYFUNCTION((TRANSPOSE(ImportHTML("http://spending.data.al/sq/moneypower/view/id/104/year/2012",  "table", 2)))),"*Kategoria*")</f>
        <v>*Kategoria*</v>
      </c>
      <c r="D207" t="s">
        <v>2589</v>
      </c>
    </row>
    <row r="208" spans="2:10" ht="15">
      <c r="B208" s="7"/>
      <c r="C208" t="s">
        <v>686</v>
      </c>
    </row>
    <row r="209" spans="2:11" ht="15">
      <c r="B209" s="1">
        <v>105</v>
      </c>
      <c r="C209" t="str">
        <f ca="1">IFERROR(__xludf.DUMMYFUNCTION((TRANSPOSE(ImportHTML("http://spending.data.al/sq/moneypower/view/id/105/year/2012",  "table", 2)))),"*Kategoria*")</f>
        <v>*Kategoria*</v>
      </c>
      <c r="D209" t="s">
        <v>2589</v>
      </c>
    </row>
    <row r="210" spans="2:11" ht="15">
      <c r="B210" s="7"/>
      <c r="C210" t="s">
        <v>686</v>
      </c>
    </row>
    <row r="211" spans="2:11" ht="15">
      <c r="B211" s="1">
        <v>106</v>
      </c>
      <c r="C211" t="str">
        <f ca="1">IFERROR(__xludf.DUMMYFUNCTION((TRANSPOSE(ImportHTML("http://spending.data.al/sq/moneypower/view/id/106/year/2012",  "table", 2)))),"*Kategoria*")</f>
        <v>*Kategoria*</v>
      </c>
      <c r="D211" t="s">
        <v>2589</v>
      </c>
    </row>
    <row r="212" spans="2:11" ht="15">
      <c r="B212" s="7"/>
      <c r="C212" t="s">
        <v>686</v>
      </c>
    </row>
    <row r="213" spans="2:11" ht="15">
      <c r="B213" s="1">
        <v>107</v>
      </c>
      <c r="C213" t="str">
        <f ca="1">IFERROR(__xludf.DUMMYFUNCTION((TRANSPOSE(ImportHTML("http://spending.data.al/sq/moneypower/view/id/107/year/2012",  "table", 2)))),"*Kategoria*")</f>
        <v>*Kategoria*</v>
      </c>
      <c r="D213" t="s">
        <v>2589</v>
      </c>
    </row>
    <row r="214" spans="2:11" ht="15">
      <c r="B214" s="7"/>
      <c r="C214" t="s">
        <v>686</v>
      </c>
    </row>
    <row r="215" spans="2:11" ht="15">
      <c r="B215" s="1">
        <v>108</v>
      </c>
      <c r="C215" t="str">
        <f ca="1">IFERROR(__xludf.DUMMYFUNCTION((TRANSPOSE(ImportHTML("http://spending.data.al/sq/moneypower/view/id/108/year/2012",  "table", 2)))),"*Kategoria*")</f>
        <v>*Kategoria*</v>
      </c>
      <c r="D215" t="s">
        <v>2589</v>
      </c>
    </row>
    <row r="216" spans="2:11" ht="15">
      <c r="B216" s="7"/>
      <c r="C216" t="s">
        <v>686</v>
      </c>
    </row>
    <row r="217" spans="2:11" ht="15">
      <c r="B217" s="1">
        <v>109</v>
      </c>
      <c r="C217" t="str">
        <f ca="1">IFERROR(__xludf.DUMMYFUNCTION((TRANSPOSE(ImportHTML("http://spending.data.al/sq/moneypower/view/id/109/year/2012",  "table", 2)))),"*Kategoria*")</f>
        <v>*Kategoria*</v>
      </c>
      <c r="D217" t="s">
        <v>2589</v>
      </c>
    </row>
    <row r="218" spans="2:11" ht="15">
      <c r="B218" s="7"/>
      <c r="C218" t="s">
        <v>686</v>
      </c>
    </row>
    <row r="219" spans="2:11" ht="15">
      <c r="B219" s="1">
        <v>110</v>
      </c>
      <c r="C219" t="str">
        <f ca="1">IFERROR(__xludf.DUMMYFUNCTION((TRANSPOSE(ImportHTML("http://spending.data.al/sq/moneypower/view/id/110/year/2012",  "table", 2)))),"*Kategoria*")</f>
        <v>*Kategoria*</v>
      </c>
      <c r="E219" t="s">
        <v>719</v>
      </c>
      <c r="F219" t="s">
        <v>720</v>
      </c>
      <c r="G219" t="s">
        <v>721</v>
      </c>
      <c r="H219" t="s">
        <v>722</v>
      </c>
      <c r="I219" t="s">
        <v>723</v>
      </c>
      <c r="J219" t="s">
        <v>724</v>
      </c>
      <c r="K219" t="s">
        <v>685</v>
      </c>
    </row>
    <row r="220" spans="2:11" ht="15">
      <c r="B220" s="7"/>
      <c r="C220" t="s">
        <v>686</v>
      </c>
      <c r="E220" t="s">
        <v>2818</v>
      </c>
      <c r="F220" t="s">
        <v>2819</v>
      </c>
      <c r="G220" t="s">
        <v>2820</v>
      </c>
      <c r="H220" t="s">
        <v>688</v>
      </c>
      <c r="I220" t="s">
        <v>688</v>
      </c>
      <c r="J220" t="s">
        <v>688</v>
      </c>
      <c r="K220" t="s">
        <v>688</v>
      </c>
    </row>
    <row r="221" spans="2:11" ht="15">
      <c r="B221" s="1">
        <v>111</v>
      </c>
      <c r="C221" t="str">
        <f ca="1">IFERROR(__xludf.DUMMYFUNCTION((TRANSPOSE(ImportHTML("http://spending.data.al/sq/moneypower/view/id/111/year/2012",  "table", 2)))),"*Kategoria*")</f>
        <v>*Kategoria*</v>
      </c>
      <c r="E221" t="s">
        <v>719</v>
      </c>
      <c r="F221" t="s">
        <v>720</v>
      </c>
      <c r="G221" t="s">
        <v>721</v>
      </c>
      <c r="H221" t="s">
        <v>722</v>
      </c>
      <c r="I221" t="s">
        <v>723</v>
      </c>
      <c r="J221" t="s">
        <v>724</v>
      </c>
      <c r="K221" t="s">
        <v>685</v>
      </c>
    </row>
    <row r="222" spans="2:11" ht="15">
      <c r="B222" s="7"/>
      <c r="C222" t="s">
        <v>686</v>
      </c>
      <c r="E222" t="s">
        <v>2821</v>
      </c>
      <c r="F222" t="s">
        <v>2822</v>
      </c>
      <c r="G222" t="s">
        <v>2823</v>
      </c>
      <c r="H222" t="s">
        <v>688</v>
      </c>
      <c r="I222" t="s">
        <v>688</v>
      </c>
      <c r="J222" t="s">
        <v>688</v>
      </c>
      <c r="K222" t="s">
        <v>2824</v>
      </c>
    </row>
    <row r="223" spans="2:11" ht="15">
      <c r="B223" s="1">
        <v>112</v>
      </c>
      <c r="C223" t="str">
        <f ca="1">IFERROR(__xludf.DUMMYFUNCTION((TRANSPOSE(ImportHTML("http://spending.data.al/sq/moneypower/view/id/112/year/2012",  "table", 2)))),"*Kategoria*")</f>
        <v>*Kategoria*</v>
      </c>
      <c r="E223" t="s">
        <v>719</v>
      </c>
      <c r="F223" t="s">
        <v>720</v>
      </c>
      <c r="G223" t="s">
        <v>721</v>
      </c>
      <c r="H223" t="s">
        <v>722</v>
      </c>
      <c r="I223" t="s">
        <v>723</v>
      </c>
      <c r="J223" t="s">
        <v>724</v>
      </c>
      <c r="K223" t="s">
        <v>685</v>
      </c>
    </row>
    <row r="224" spans="2:11" ht="15">
      <c r="B224" s="7"/>
      <c r="C224" t="s">
        <v>686</v>
      </c>
      <c r="E224" t="s">
        <v>2825</v>
      </c>
      <c r="F224" t="s">
        <v>688</v>
      </c>
      <c r="G224" t="s">
        <v>2826</v>
      </c>
      <c r="H224" t="s">
        <v>688</v>
      </c>
      <c r="I224" t="s">
        <v>688</v>
      </c>
      <c r="J224" t="s">
        <v>2827</v>
      </c>
      <c r="K224" t="s">
        <v>2828</v>
      </c>
    </row>
    <row r="225" spans="2:4" ht="15">
      <c r="B225" s="1">
        <v>113</v>
      </c>
      <c r="C225" t="str">
        <f ca="1">IFERROR(__xludf.DUMMYFUNCTION((TRANSPOSE(ImportHTML("http://spending.data.al/sq/moneypower/view/id/113/year/2012",  "table", 2)))),"*Kategoria*")</f>
        <v>*Kategoria*</v>
      </c>
      <c r="D225" t="s">
        <v>2589</v>
      </c>
    </row>
    <row r="226" spans="2:4" ht="15">
      <c r="B226" s="7"/>
      <c r="C226" t="s">
        <v>686</v>
      </c>
    </row>
    <row r="227" spans="2:4" ht="15">
      <c r="B227" s="1">
        <v>114</v>
      </c>
      <c r="C227" t="str">
        <f ca="1">IFERROR(__xludf.DUMMYFUNCTION((TRANSPOSE(ImportHTML("http://spending.data.al/sq/moneypower/view/id/114/year/2012",  "table", 2)))),"*Kategoria*")</f>
        <v>*Kategoria*</v>
      </c>
      <c r="D227" t="s">
        <v>2589</v>
      </c>
    </row>
    <row r="228" spans="2:4" ht="15">
      <c r="B228" s="7"/>
      <c r="C228" t="s">
        <v>686</v>
      </c>
    </row>
    <row r="229" spans="2:4" ht="15">
      <c r="B229" s="1">
        <v>115</v>
      </c>
      <c r="C229" t="str">
        <f ca="1">IFERROR(__xludf.DUMMYFUNCTION((TRANSPOSE(ImportHTML("http://spending.data.al/sq/moneypower/view/id/115/year/2012",  "table", 2)))),"*Kategoria*")</f>
        <v>*Kategoria*</v>
      </c>
      <c r="D229" t="s">
        <v>2589</v>
      </c>
    </row>
    <row r="230" spans="2:4" ht="15">
      <c r="B230" s="7"/>
      <c r="C230" t="s">
        <v>686</v>
      </c>
    </row>
    <row r="231" spans="2:4" ht="15">
      <c r="B231" s="1">
        <v>116</v>
      </c>
      <c r="C231" t="str">
        <f ca="1">IFERROR(__xludf.DUMMYFUNCTION((TRANSPOSE(ImportHTML("http://spending.data.al/sq/moneypower/view/id/116/year/2012",  "table", 2)))),"*Kategoria*")</f>
        <v>*Kategoria*</v>
      </c>
      <c r="D231" t="s">
        <v>2589</v>
      </c>
    </row>
    <row r="232" spans="2:4" ht="15">
      <c r="B232" s="7"/>
      <c r="C232" t="s">
        <v>686</v>
      </c>
    </row>
    <row r="233" spans="2:4" ht="15">
      <c r="B233" s="1">
        <v>117</v>
      </c>
      <c r="C233" t="str">
        <f ca="1">IFERROR(__xludf.DUMMYFUNCTION((TRANSPOSE(ImportHTML("http://spending.data.al/sq/moneypower/view/id/117/year/2012",  "table", 2)))),"*Kategoria*")</f>
        <v>*Kategoria*</v>
      </c>
      <c r="D233" t="s">
        <v>2589</v>
      </c>
    </row>
    <row r="234" spans="2:4" ht="15">
      <c r="B234" s="7"/>
      <c r="C234" t="s">
        <v>686</v>
      </c>
    </row>
    <row r="235" spans="2:4" ht="15">
      <c r="B235" s="1">
        <v>118</v>
      </c>
      <c r="C235" t="str">
        <f ca="1">IFERROR(__xludf.DUMMYFUNCTION((TRANSPOSE(ImportHTML("http://spending.data.al/sq/moneypower/view/id/118/year/2012",  "table", 2)))),"*Kategoria*")</f>
        <v>*Kategoria*</v>
      </c>
      <c r="D235" t="s">
        <v>2589</v>
      </c>
    </row>
    <row r="236" spans="2:4" ht="15">
      <c r="B236" s="7"/>
      <c r="C236" t="s">
        <v>686</v>
      </c>
    </row>
    <row r="237" spans="2:4" ht="15">
      <c r="B237" s="1">
        <v>119</v>
      </c>
      <c r="C237" t="str">
        <f ca="1">IFERROR(__xludf.DUMMYFUNCTION((TRANSPOSE(ImportHTML("http://spending.data.al/sq/moneypower/view/id/119/year/2012",  "table", 2)))),"*Kategoria*")</f>
        <v>*Kategoria*</v>
      </c>
      <c r="D237" t="s">
        <v>2589</v>
      </c>
    </row>
    <row r="238" spans="2:4" ht="15">
      <c r="B238" s="7"/>
      <c r="C238" t="s">
        <v>686</v>
      </c>
    </row>
    <row r="239" spans="2:4" ht="15">
      <c r="B239" s="1">
        <v>120</v>
      </c>
      <c r="C239" t="str">
        <f ca="1">IFERROR(__xludf.DUMMYFUNCTION((TRANSPOSE(ImportHTML("http://spending.data.al/sq/moneypower/view/id/120/year/2012",  "table", 2)))),"*Kategoria*")</f>
        <v>*Kategoria*</v>
      </c>
      <c r="D239" t="s">
        <v>2589</v>
      </c>
    </row>
    <row r="240" spans="2:4" ht="15">
      <c r="B240" s="7"/>
      <c r="C240" t="s">
        <v>686</v>
      </c>
    </row>
    <row r="241" spans="2:11" ht="15">
      <c r="B241" s="1">
        <v>121</v>
      </c>
      <c r="C241" t="str">
        <f ca="1">IFERROR(__xludf.DUMMYFUNCTION((TRANSPOSE(ImportHTML("http://spending.data.al/sq/moneypower/view/id/121/year/2012",  "table", 2)))),"*Kategoria*")</f>
        <v>*Kategoria*</v>
      </c>
      <c r="D241" t="s">
        <v>2589</v>
      </c>
    </row>
    <row r="242" spans="2:11" ht="15">
      <c r="B242" s="7"/>
      <c r="C242" t="s">
        <v>686</v>
      </c>
    </row>
    <row r="243" spans="2:11" ht="15">
      <c r="B243" s="1">
        <v>122</v>
      </c>
      <c r="C243" t="str">
        <f ca="1">IFERROR(__xludf.DUMMYFUNCTION((TRANSPOSE(ImportHTML("http://spending.data.al/sq/moneypower/view/id/122/year/2012",  "table", 2)))),"*Kategoria*")</f>
        <v>*Kategoria*</v>
      </c>
      <c r="D243" t="s">
        <v>2589</v>
      </c>
    </row>
    <row r="244" spans="2:11" ht="15">
      <c r="B244" s="7"/>
      <c r="C244" t="s">
        <v>686</v>
      </c>
    </row>
    <row r="245" spans="2:11" ht="15">
      <c r="B245" s="1">
        <v>123</v>
      </c>
      <c r="C245" t="str">
        <f ca="1">IFERROR(__xludf.DUMMYFUNCTION((TRANSPOSE(ImportHTML("http://spending.data.al/sq/moneypower/view/id/123/year/2012",  "table", 2)))),"*Kategoria*")</f>
        <v>*Kategoria*</v>
      </c>
      <c r="D245" t="s">
        <v>2589</v>
      </c>
    </row>
    <row r="246" spans="2:11" ht="15">
      <c r="B246" s="7"/>
      <c r="C246" t="s">
        <v>686</v>
      </c>
    </row>
    <row r="247" spans="2:11" ht="15">
      <c r="B247" s="1">
        <v>124</v>
      </c>
      <c r="C247" t="str">
        <f ca="1">IFERROR(__xludf.DUMMYFUNCTION((TRANSPOSE(ImportHTML("http://spending.data.al/sq/moneypower/view/id/124/year/2012",  "table", 2)))),"*Kategoria*")</f>
        <v>*Kategoria*</v>
      </c>
      <c r="E247" t="s">
        <v>719</v>
      </c>
      <c r="F247" t="s">
        <v>720</v>
      </c>
      <c r="G247" t="s">
        <v>721</v>
      </c>
      <c r="H247" t="s">
        <v>722</v>
      </c>
      <c r="I247" t="s">
        <v>723</v>
      </c>
      <c r="J247" t="s">
        <v>724</v>
      </c>
      <c r="K247" t="s">
        <v>685</v>
      </c>
    </row>
    <row r="248" spans="2:11" ht="15">
      <c r="B248" s="7"/>
      <c r="C248" t="s">
        <v>686</v>
      </c>
      <c r="E248" t="s">
        <v>2829</v>
      </c>
      <c r="F248" t="s">
        <v>2830</v>
      </c>
      <c r="G248" t="s">
        <v>2831</v>
      </c>
      <c r="H248" t="s">
        <v>688</v>
      </c>
      <c r="I248" t="s">
        <v>2832</v>
      </c>
      <c r="J248" t="s">
        <v>688</v>
      </c>
      <c r="K248" t="s">
        <v>2833</v>
      </c>
    </row>
    <row r="249" spans="2:11" ht="15">
      <c r="B249" s="1">
        <v>125</v>
      </c>
      <c r="C249" t="str">
        <f ca="1">IFERROR(__xludf.DUMMYFUNCTION((TRANSPOSE(ImportHTML("http://spending.data.al/sq/moneypower/view/id/125/year/2012",  "table", 2)))),"*Kategoria*")</f>
        <v>*Kategoria*</v>
      </c>
      <c r="D249" t="s">
        <v>2589</v>
      </c>
    </row>
    <row r="250" spans="2:11" ht="15">
      <c r="B250" s="7"/>
      <c r="C250" t="s">
        <v>686</v>
      </c>
    </row>
    <row r="251" spans="2:11" ht="15">
      <c r="B251" s="1">
        <v>126</v>
      </c>
      <c r="C251" t="str">
        <f ca="1">IFERROR(__xludf.DUMMYFUNCTION((TRANSPOSE(ImportHTML("http://spending.data.al/sq/moneypower/view/id/126/year/2012",  "table", 2)))),"*Kategoria*")</f>
        <v>*Kategoria*</v>
      </c>
      <c r="E251" t="s">
        <v>719</v>
      </c>
      <c r="F251" t="s">
        <v>720</v>
      </c>
      <c r="G251" t="s">
        <v>721</v>
      </c>
      <c r="H251" t="s">
        <v>722</v>
      </c>
      <c r="I251" t="s">
        <v>723</v>
      </c>
      <c r="J251" t="s">
        <v>724</v>
      </c>
      <c r="K251" t="s">
        <v>685</v>
      </c>
    </row>
    <row r="252" spans="2:11" ht="15">
      <c r="B252" s="7"/>
      <c r="C252" t="s">
        <v>686</v>
      </c>
      <c r="E252" t="s">
        <v>2834</v>
      </c>
      <c r="F252" t="s">
        <v>2835</v>
      </c>
      <c r="G252" t="s">
        <v>2836</v>
      </c>
      <c r="H252" t="s">
        <v>688</v>
      </c>
      <c r="I252" t="s">
        <v>688</v>
      </c>
      <c r="J252" t="s">
        <v>688</v>
      </c>
      <c r="K252" t="s">
        <v>688</v>
      </c>
    </row>
    <row r="253" spans="2:11" ht="15">
      <c r="B253" s="1">
        <v>127</v>
      </c>
      <c r="C253" t="str">
        <f ca="1">IFERROR(__xludf.DUMMYFUNCTION((TRANSPOSE(ImportHTML("http://spending.data.al/sq/moneypower/view/id/127/year/2012",  "table", 2)))),"*Kategoria*")</f>
        <v>*Kategoria*</v>
      </c>
      <c r="E253" t="s">
        <v>719</v>
      </c>
      <c r="F253" t="s">
        <v>720</v>
      </c>
      <c r="G253" t="s">
        <v>721</v>
      </c>
      <c r="H253" t="s">
        <v>722</v>
      </c>
      <c r="I253" t="s">
        <v>723</v>
      </c>
      <c r="J253" t="s">
        <v>724</v>
      </c>
      <c r="K253" t="s">
        <v>685</v>
      </c>
    </row>
    <row r="254" spans="2:11" ht="15">
      <c r="B254" s="7"/>
      <c r="C254" t="s">
        <v>686</v>
      </c>
      <c r="E254" t="s">
        <v>2837</v>
      </c>
      <c r="F254" t="s">
        <v>2838</v>
      </c>
      <c r="G254" t="s">
        <v>688</v>
      </c>
      <c r="H254" t="s">
        <v>688</v>
      </c>
      <c r="I254" t="s">
        <v>688</v>
      </c>
      <c r="J254" t="s">
        <v>688</v>
      </c>
      <c r="K254" t="s">
        <v>688</v>
      </c>
    </row>
    <row r="255" spans="2:11" ht="15">
      <c r="B255" s="1">
        <v>128</v>
      </c>
      <c r="C255" t="str">
        <f ca="1">IFERROR(__xludf.DUMMYFUNCTION((TRANSPOSE(ImportHTML("http://spending.data.al/sq/moneypower/view/id/128/year/2012",  "table", 2)))),"*Kategoria*")</f>
        <v>*Kategoria*</v>
      </c>
      <c r="E255" t="s">
        <v>719</v>
      </c>
      <c r="F255" t="s">
        <v>720</v>
      </c>
      <c r="G255" t="s">
        <v>721</v>
      </c>
      <c r="H255" t="s">
        <v>722</v>
      </c>
      <c r="I255" t="s">
        <v>723</v>
      </c>
      <c r="J255" t="s">
        <v>724</v>
      </c>
      <c r="K255" t="s">
        <v>685</v>
      </c>
    </row>
    <row r="256" spans="2:11" ht="15">
      <c r="B256" s="7"/>
      <c r="C256" t="s">
        <v>686</v>
      </c>
      <c r="E256" t="s">
        <v>2839</v>
      </c>
      <c r="F256" t="s">
        <v>2840</v>
      </c>
      <c r="G256" t="s">
        <v>2841</v>
      </c>
      <c r="H256" t="s">
        <v>688</v>
      </c>
      <c r="I256" t="s">
        <v>2842</v>
      </c>
      <c r="J256" t="s">
        <v>688</v>
      </c>
      <c r="K256" t="s">
        <v>688</v>
      </c>
    </row>
    <row r="257" spans="2:11" ht="15">
      <c r="B257" s="1">
        <v>129</v>
      </c>
      <c r="C257" t="str">
        <f ca="1">IFERROR(__xludf.DUMMYFUNCTION((TRANSPOSE(ImportHTML("http://spending.data.al/sq/moneypower/view/id/129/year/2012",  "table", 2)))),"*Kategoria*")</f>
        <v>*Kategoria*</v>
      </c>
      <c r="E257" t="s">
        <v>719</v>
      </c>
      <c r="F257" t="s">
        <v>720</v>
      </c>
      <c r="G257" t="s">
        <v>721</v>
      </c>
      <c r="H257" t="s">
        <v>722</v>
      </c>
      <c r="I257" t="s">
        <v>723</v>
      </c>
      <c r="J257" t="s">
        <v>724</v>
      </c>
      <c r="K257" t="s">
        <v>685</v>
      </c>
    </row>
    <row r="258" spans="2:11" ht="15">
      <c r="B258" s="7"/>
      <c r="C258" t="s">
        <v>686</v>
      </c>
      <c r="E258" t="s">
        <v>2843</v>
      </c>
      <c r="F258" t="s">
        <v>2844</v>
      </c>
      <c r="G258" t="s">
        <v>2845</v>
      </c>
      <c r="H258" t="s">
        <v>688</v>
      </c>
      <c r="I258" t="s">
        <v>688</v>
      </c>
      <c r="J258" t="s">
        <v>688</v>
      </c>
      <c r="K258" t="s">
        <v>688</v>
      </c>
    </row>
    <row r="259" spans="2:11" ht="15">
      <c r="B259" s="1">
        <v>130</v>
      </c>
      <c r="C259" t="str">
        <f ca="1">IFERROR(__xludf.DUMMYFUNCTION((TRANSPOSE(ImportHTML("http://spending.data.al/sq/moneypower/view/id/130/year/2012",  "table", 2)))),"*Kategoria*")</f>
        <v>*Kategoria*</v>
      </c>
      <c r="D259" t="s">
        <v>2589</v>
      </c>
    </row>
    <row r="260" spans="2:11" ht="15">
      <c r="B260" s="7"/>
      <c r="C260" t="s">
        <v>686</v>
      </c>
    </row>
    <row r="261" spans="2:11" ht="15">
      <c r="B261" s="1">
        <v>131</v>
      </c>
      <c r="C261" t="str">
        <f ca="1">IFERROR(__xludf.DUMMYFUNCTION((TRANSPOSE(ImportHTML("http://spending.data.al/sq/moneypower/view/id/131/year/2012",  "table", 2)))),"*Kategoria*")</f>
        <v>*Kategoria*</v>
      </c>
      <c r="E261" t="s">
        <v>719</v>
      </c>
      <c r="F261" t="s">
        <v>720</v>
      </c>
      <c r="G261" t="s">
        <v>721</v>
      </c>
      <c r="H261" t="s">
        <v>722</v>
      </c>
      <c r="I261" t="s">
        <v>723</v>
      </c>
      <c r="J261" t="s">
        <v>724</v>
      </c>
      <c r="K261" t="s">
        <v>685</v>
      </c>
    </row>
    <row r="262" spans="2:11" ht="15">
      <c r="B262" s="7"/>
      <c r="C262" t="s">
        <v>686</v>
      </c>
      <c r="E262" t="s">
        <v>2846</v>
      </c>
      <c r="F262" t="s">
        <v>2847</v>
      </c>
      <c r="G262" t="s">
        <v>2848</v>
      </c>
      <c r="I262" t="s">
        <v>2849</v>
      </c>
      <c r="J262" t="s">
        <v>688</v>
      </c>
      <c r="K262" t="s">
        <v>2850</v>
      </c>
    </row>
    <row r="263" spans="2:11" ht="15">
      <c r="B263" s="1">
        <v>132</v>
      </c>
      <c r="C263" t="str">
        <f ca="1">IFERROR(__xludf.DUMMYFUNCTION((TRANSPOSE(ImportHTML("http://spending.data.al/sq/moneypower/view/id/132/year/2012",  "table", 2)))),"*Kategoria*")</f>
        <v>*Kategoria*</v>
      </c>
      <c r="D263" t="s">
        <v>2589</v>
      </c>
    </row>
    <row r="264" spans="2:11" ht="15">
      <c r="B264" s="7"/>
      <c r="C264" t="s">
        <v>686</v>
      </c>
    </row>
    <row r="265" spans="2:11" ht="15">
      <c r="B265" s="1">
        <v>133</v>
      </c>
      <c r="C265" t="str">
        <f ca="1">IFERROR(__xludf.DUMMYFUNCTION((TRANSPOSE(ImportHTML("http://spending.data.al/sq/moneypower/view/id/133/year/2012",  "table", 2)))),"*Kategoria*")</f>
        <v>*Kategoria*</v>
      </c>
      <c r="D265" t="s">
        <v>2589</v>
      </c>
    </row>
    <row r="266" spans="2:11" ht="15">
      <c r="B266" s="7"/>
      <c r="C266" t="s">
        <v>686</v>
      </c>
    </row>
    <row r="267" spans="2:11" ht="15">
      <c r="B267" s="1">
        <v>134</v>
      </c>
      <c r="C267" t="str">
        <f ca="1">IFERROR(__xludf.DUMMYFUNCTION((TRANSPOSE(ImportHTML("http://spending.data.al/sq/moneypower/view/id/134/year/2012",  "table", 2)))),"*Kategoria*")</f>
        <v>*Kategoria*</v>
      </c>
      <c r="E267" t="s">
        <v>719</v>
      </c>
      <c r="F267" t="s">
        <v>720</v>
      </c>
      <c r="G267" t="s">
        <v>721</v>
      </c>
      <c r="H267" t="s">
        <v>722</v>
      </c>
      <c r="I267" t="s">
        <v>723</v>
      </c>
      <c r="J267" t="s">
        <v>724</v>
      </c>
      <c r="K267" t="s">
        <v>685</v>
      </c>
    </row>
    <row r="268" spans="2:11" ht="15">
      <c r="B268" s="7"/>
      <c r="C268" t="s">
        <v>686</v>
      </c>
      <c r="E268" t="s">
        <v>2851</v>
      </c>
      <c r="F268" t="s">
        <v>2852</v>
      </c>
      <c r="G268" t="s">
        <v>2853</v>
      </c>
      <c r="H268" t="s">
        <v>688</v>
      </c>
      <c r="I268" t="s">
        <v>688</v>
      </c>
      <c r="J268" t="s">
        <v>688</v>
      </c>
      <c r="K268" t="s">
        <v>2854</v>
      </c>
    </row>
    <row r="269" spans="2:11" ht="15">
      <c r="B269" s="1">
        <v>135</v>
      </c>
      <c r="C269" t="str">
        <f ca="1">IFERROR(__xludf.DUMMYFUNCTION((TRANSPOSE(ImportHTML("http://spending.data.al/sq/moneypower/view/id/135/year/2012",  "table", 2)))),"*Kategoria*")</f>
        <v>*Kategoria*</v>
      </c>
      <c r="D269" t="s">
        <v>2589</v>
      </c>
    </row>
    <row r="270" spans="2:11" ht="15">
      <c r="B270" s="7"/>
      <c r="C270" t="s">
        <v>686</v>
      </c>
    </row>
    <row r="271" spans="2:11" ht="15">
      <c r="B271" s="1">
        <v>136</v>
      </c>
      <c r="C271" t="str">
        <f ca="1">IFERROR(__xludf.DUMMYFUNCTION((TRANSPOSE(ImportHTML("http://spending.data.al/sq/moneypower/view/id/136/year/2012",  "table", 2)))),"*Kategoria*")</f>
        <v>*Kategoria*</v>
      </c>
      <c r="D271" t="s">
        <v>2589</v>
      </c>
    </row>
    <row r="272" spans="2:11" ht="15">
      <c r="B272" s="7"/>
      <c r="C272" t="s">
        <v>686</v>
      </c>
    </row>
    <row r="273" spans="2:11" ht="15">
      <c r="B273" s="1">
        <v>137</v>
      </c>
      <c r="C273" t="str">
        <f ca="1">IFERROR(__xludf.DUMMYFUNCTION((TRANSPOSE(ImportHTML("http://spending.data.al/sq/moneypower/view/id/137/year/2012",  "table", 2)))),"*Kategoria*")</f>
        <v>*Kategoria*</v>
      </c>
      <c r="D273" t="s">
        <v>2589</v>
      </c>
    </row>
    <row r="274" spans="2:11" ht="15">
      <c r="B274" s="7"/>
      <c r="C274" t="s">
        <v>686</v>
      </c>
    </row>
    <row r="275" spans="2:11" ht="15">
      <c r="B275" s="1">
        <v>138</v>
      </c>
      <c r="C275" t="str">
        <f ca="1">IFERROR(__xludf.DUMMYFUNCTION((TRANSPOSE(ImportHTML("http://spending.data.al/sq/moneypower/view/id/138/year/2012",  "table", 2)))),"*Kategoria*")</f>
        <v>*Kategoria*</v>
      </c>
      <c r="D275" t="s">
        <v>2589</v>
      </c>
    </row>
    <row r="276" spans="2:11" ht="15">
      <c r="B276" s="7"/>
      <c r="C276" t="s">
        <v>686</v>
      </c>
    </row>
    <row r="277" spans="2:11" ht="15">
      <c r="B277" s="1">
        <v>139</v>
      </c>
      <c r="C277" t="str">
        <f ca="1">IFERROR(__xludf.DUMMYFUNCTION((TRANSPOSE(ImportHTML("http://spending.data.al/sq/moneypower/view/id/139/year/2012",  "table", 2)))),"*Kategoria*")</f>
        <v>*Kategoria*</v>
      </c>
      <c r="D277" t="s">
        <v>2589</v>
      </c>
    </row>
    <row r="278" spans="2:11" ht="15">
      <c r="B278" s="7"/>
      <c r="C278" t="s">
        <v>686</v>
      </c>
    </row>
    <row r="279" spans="2:11" ht="15">
      <c r="B279" s="1">
        <v>140</v>
      </c>
      <c r="C279" t="str">
        <f ca="1">IFERROR(__xludf.DUMMYFUNCTION((TRANSPOSE(ImportHTML("http://spending.data.al/sq/moneypower/view/id/140/year/2012",  "table", 2)))),"*Kategoria*")</f>
        <v>*Kategoria*</v>
      </c>
      <c r="D279" t="s">
        <v>2589</v>
      </c>
    </row>
    <row r="280" spans="2:11" ht="15">
      <c r="B280" s="7"/>
      <c r="C280" t="s">
        <v>686</v>
      </c>
    </row>
    <row r="281" spans="2:11" ht="15">
      <c r="B281" s="1">
        <v>141</v>
      </c>
      <c r="C281" t="str">
        <f ca="1">IFERROR(__xludf.DUMMYFUNCTION((TRANSPOSE(ImportHTML("http://spending.data.al/sq/moneypower/view/id/141/year/2012",  "table", 2)))),"*Kategoria*")</f>
        <v>*Kategoria*</v>
      </c>
      <c r="D281" t="s">
        <v>2589</v>
      </c>
    </row>
    <row r="282" spans="2:11" ht="15">
      <c r="B282" s="7"/>
      <c r="C282" t="s">
        <v>686</v>
      </c>
    </row>
    <row r="283" spans="2:11" ht="15">
      <c r="B283" s="1">
        <v>142</v>
      </c>
      <c r="C283" t="str">
        <f ca="1">IFERROR(__xludf.DUMMYFUNCTION((TRANSPOSE(ImportHTML("http://spending.data.al/sq/moneypower/view/id/142/year/2012",  "table", 2)))),"*Kategoria*")</f>
        <v>*Kategoria*</v>
      </c>
      <c r="D283" t="s">
        <v>2589</v>
      </c>
    </row>
    <row r="284" spans="2:11" ht="15">
      <c r="B284" s="7"/>
      <c r="C284" t="s">
        <v>686</v>
      </c>
    </row>
    <row r="285" spans="2:11" ht="15">
      <c r="B285" s="1">
        <v>143</v>
      </c>
      <c r="C285" t="str">
        <f ca="1">IFERROR(__xludf.DUMMYFUNCTION((TRANSPOSE(ImportHTML("http://spending.data.al/sq/moneypower/view/id/143/year/2012",  "table", 2)))),"*Kategoria*")</f>
        <v>*Kategoria*</v>
      </c>
      <c r="E285" t="s">
        <v>719</v>
      </c>
      <c r="F285" t="s">
        <v>720</v>
      </c>
      <c r="G285" t="s">
        <v>721</v>
      </c>
      <c r="H285" t="s">
        <v>722</v>
      </c>
      <c r="I285" t="s">
        <v>723</v>
      </c>
      <c r="J285" t="s">
        <v>724</v>
      </c>
      <c r="K285" t="s">
        <v>685</v>
      </c>
    </row>
    <row r="286" spans="2:11" ht="15">
      <c r="B286" s="7"/>
      <c r="C286" t="s">
        <v>686</v>
      </c>
      <c r="E286" t="s">
        <v>2855</v>
      </c>
      <c r="F286" t="s">
        <v>2856</v>
      </c>
      <c r="G286" t="s">
        <v>2857</v>
      </c>
      <c r="H286" t="s">
        <v>2858</v>
      </c>
      <c r="I286" t="s">
        <v>2859</v>
      </c>
      <c r="J286" t="s">
        <v>2860</v>
      </c>
      <c r="K286" t="s">
        <v>688</v>
      </c>
    </row>
    <row r="287" spans="2:11" ht="15">
      <c r="B287" s="1">
        <v>144</v>
      </c>
      <c r="C287" t="str">
        <f ca="1">IFERROR(__xludf.DUMMYFUNCTION((TRANSPOSE(ImportHTML("http://spending.data.al/sq/moneypower/view/id/144/year/2012",  "table", 2)))),"*Kategoria*")</f>
        <v>*Kategoria*</v>
      </c>
      <c r="D287" t="s">
        <v>2589</v>
      </c>
    </row>
    <row r="288" spans="2:11" ht="15">
      <c r="B288" s="7"/>
      <c r="C288" t="s">
        <v>686</v>
      </c>
    </row>
    <row r="289" spans="2:11" ht="15">
      <c r="B289" s="1">
        <v>145</v>
      </c>
      <c r="C289" t="str">
        <f ca="1">IFERROR(__xludf.DUMMYFUNCTION((TRANSPOSE(ImportHTML("http://spending.data.al/sq/moneypower/view/id/145/year/2012",  "table", 2)))),"*Kategoria*")</f>
        <v>*Kategoria*</v>
      </c>
      <c r="D289" t="s">
        <v>2589</v>
      </c>
    </row>
    <row r="290" spans="2:11" ht="15">
      <c r="B290" s="7"/>
      <c r="C290" t="s">
        <v>686</v>
      </c>
    </row>
    <row r="291" spans="2:11" ht="15">
      <c r="B291" s="1">
        <v>146</v>
      </c>
      <c r="C291" t="str">
        <f ca="1">IFERROR(__xludf.DUMMYFUNCTION((TRANSPOSE(ImportHTML("http://spending.data.al/sq/moneypower/view/id/146/year/2012",  "table", 2)))),"*Kategoria*")</f>
        <v>*Kategoria*</v>
      </c>
      <c r="D291" t="s">
        <v>2589</v>
      </c>
    </row>
    <row r="292" spans="2:11" ht="15">
      <c r="B292" s="7"/>
      <c r="C292" t="s">
        <v>686</v>
      </c>
    </row>
    <row r="293" spans="2:11" ht="15">
      <c r="B293" s="1">
        <v>147</v>
      </c>
      <c r="C293" t="str">
        <f ca="1">IFERROR(__xludf.DUMMYFUNCTION((TRANSPOSE(ImportHTML("http://spending.data.al/sq/moneypower/view/id/147/year/2012",  "table", 2)))),"*Kategoria*")</f>
        <v>*Kategoria*</v>
      </c>
      <c r="D293" t="s">
        <v>2589</v>
      </c>
    </row>
    <row r="294" spans="2:11" ht="15">
      <c r="B294" s="7"/>
      <c r="C294" t="s">
        <v>686</v>
      </c>
    </row>
    <row r="295" spans="2:11" ht="15">
      <c r="B295" s="1">
        <v>148</v>
      </c>
      <c r="C295" t="str">
        <f ca="1">IFERROR(__xludf.DUMMYFUNCTION((TRANSPOSE(ImportHTML("http://spending.data.al/sq/moneypower/view/id/148/year/2012",  "table", 2)))),"*Kategoria*")</f>
        <v>*Kategoria*</v>
      </c>
      <c r="D295" t="s">
        <v>2589</v>
      </c>
    </row>
    <row r="296" spans="2:11" ht="15">
      <c r="B296" s="7"/>
      <c r="C296" t="s">
        <v>686</v>
      </c>
    </row>
    <row r="297" spans="2:11" ht="15">
      <c r="B297" s="1">
        <v>149</v>
      </c>
      <c r="C297" t="str">
        <f ca="1">IFERROR(__xludf.DUMMYFUNCTION((TRANSPOSE(ImportHTML("http://spending.data.al/sq/moneypower/view/id/149/year/2012",  "table", 2)))),"*Kategoria*")</f>
        <v>*Kategoria*</v>
      </c>
      <c r="D297" t="s">
        <v>2589</v>
      </c>
    </row>
    <row r="298" spans="2:11" ht="15">
      <c r="B298" s="7"/>
      <c r="C298" t="s">
        <v>686</v>
      </c>
    </row>
    <row r="299" spans="2:11" ht="15">
      <c r="B299" s="1">
        <v>150</v>
      </c>
      <c r="C299" t="str">
        <f ca="1">IFERROR(__xludf.DUMMYFUNCTION((TRANSPOSE(ImportHTML("http://spending.data.al/sq/moneypower/view/id/150/year/2012",  "table", 2)))),"*Kategoria*")</f>
        <v>*Kategoria*</v>
      </c>
      <c r="D299" t="s">
        <v>2589</v>
      </c>
    </row>
    <row r="300" spans="2:11" ht="15">
      <c r="B300" s="7"/>
      <c r="C300" t="s">
        <v>686</v>
      </c>
    </row>
    <row r="301" spans="2:11" ht="15">
      <c r="B301" s="1">
        <v>151</v>
      </c>
      <c r="C301" t="str">
        <f ca="1">IFERROR(__xludf.DUMMYFUNCTION((TRANSPOSE(ImportHTML("http://spending.data.al/sq/moneypower/view/id/151/year/2012",  "table", 2)))),"*Kategoria*")</f>
        <v>*Kategoria*</v>
      </c>
      <c r="E301" t="s">
        <v>719</v>
      </c>
      <c r="F301" t="s">
        <v>720</v>
      </c>
      <c r="G301" t="s">
        <v>721</v>
      </c>
      <c r="H301" t="s">
        <v>722</v>
      </c>
      <c r="I301" t="s">
        <v>723</v>
      </c>
      <c r="J301" t="s">
        <v>724</v>
      </c>
      <c r="K301" t="s">
        <v>685</v>
      </c>
    </row>
    <row r="302" spans="2:11" ht="15">
      <c r="B302" s="7"/>
      <c r="C302" t="s">
        <v>686</v>
      </c>
      <c r="E302" t="s">
        <v>2861</v>
      </c>
      <c r="F302" t="s">
        <v>2862</v>
      </c>
      <c r="G302" t="s">
        <v>2863</v>
      </c>
      <c r="H302" t="s">
        <v>2601</v>
      </c>
      <c r="I302" t="s">
        <v>2601</v>
      </c>
      <c r="J302" t="s">
        <v>2601</v>
      </c>
      <c r="K302" t="s">
        <v>707</v>
      </c>
    </row>
    <row r="303" spans="2:11" ht="15">
      <c r="B303" s="1">
        <v>152</v>
      </c>
      <c r="C303" t="str">
        <f ca="1">IFERROR(__xludf.DUMMYFUNCTION((TRANSPOSE(ImportHTML("http://spending.data.al/sq/moneypower/view/id/152/year/2012",  "table", 2)))),"*Kategoria*")</f>
        <v>*Kategoria*</v>
      </c>
      <c r="D303" t="s">
        <v>2589</v>
      </c>
    </row>
    <row r="304" spans="2:11" ht="15">
      <c r="B304" s="7"/>
      <c r="C304" t="s">
        <v>686</v>
      </c>
    </row>
    <row r="305" spans="2:11" ht="15">
      <c r="B305" s="1">
        <v>153</v>
      </c>
      <c r="C305" t="str">
        <f ca="1">IFERROR(__xludf.DUMMYFUNCTION((TRANSPOSE(ImportHTML("http://spending.data.al/sq/moneypower/view/id/153/year/2012",  "table", 2)))),"*Kategoria*")</f>
        <v>*Kategoria*</v>
      </c>
      <c r="D305" t="s">
        <v>2589</v>
      </c>
    </row>
    <row r="306" spans="2:11" ht="15">
      <c r="B306" s="7"/>
      <c r="C306" t="s">
        <v>686</v>
      </c>
    </row>
    <row r="307" spans="2:11" ht="15">
      <c r="B307" s="1">
        <v>154</v>
      </c>
      <c r="C307" t="str">
        <f ca="1">IFERROR(__xludf.DUMMYFUNCTION((TRANSPOSE(ImportHTML("http://spending.data.al/sq/moneypower/view/id/154/year/2012",  "table", 2)))),"*Kategoria*")</f>
        <v>*Kategoria*</v>
      </c>
      <c r="D307" t="s">
        <v>2589</v>
      </c>
    </row>
    <row r="308" spans="2:11" ht="15">
      <c r="B308" s="7"/>
      <c r="C308" t="s">
        <v>686</v>
      </c>
    </row>
    <row r="309" spans="2:11" ht="15">
      <c r="B309" s="1">
        <v>155</v>
      </c>
      <c r="C309" t="str">
        <f ca="1">IFERROR(__xludf.DUMMYFUNCTION((TRANSPOSE(ImportHTML("http://spending.data.al/sq/moneypower/view/id/155/year/2012",  "table", 2)))),"*Kategoria*")</f>
        <v>*Kategoria*</v>
      </c>
      <c r="D309" t="s">
        <v>2589</v>
      </c>
    </row>
    <row r="310" spans="2:11" ht="15">
      <c r="B310" s="7"/>
      <c r="C310" t="s">
        <v>686</v>
      </c>
    </row>
    <row r="311" spans="2:11" ht="15">
      <c r="B311" s="1">
        <v>156</v>
      </c>
      <c r="C311" t="str">
        <f ca="1">IFERROR(__xludf.DUMMYFUNCTION((TRANSPOSE(ImportHTML("http://spending.data.al/sq/moneypower/view/id/156/year/2012",  "table", 2)))),"*Kategoria*")</f>
        <v>*Kategoria*</v>
      </c>
      <c r="D311" t="s">
        <v>2589</v>
      </c>
    </row>
    <row r="312" spans="2:11" ht="15">
      <c r="B312" s="7"/>
      <c r="C312" t="s">
        <v>686</v>
      </c>
    </row>
    <row r="313" spans="2:11" ht="15">
      <c r="B313" s="1">
        <v>157</v>
      </c>
      <c r="C313" t="str">
        <f ca="1">IFERROR(__xludf.DUMMYFUNCTION((TRANSPOSE(ImportHTML("http://spending.data.al/sq/moneypower/view/id/157/year/2012",  "table", 2)))),"*Kategoria*")</f>
        <v>*Kategoria*</v>
      </c>
      <c r="E313" t="s">
        <v>719</v>
      </c>
      <c r="F313" t="s">
        <v>720</v>
      </c>
      <c r="G313" t="s">
        <v>721</v>
      </c>
      <c r="H313" t="s">
        <v>722</v>
      </c>
      <c r="I313" t="s">
        <v>723</v>
      </c>
      <c r="J313" t="s">
        <v>724</v>
      </c>
      <c r="K313" t="s">
        <v>685</v>
      </c>
    </row>
    <row r="314" spans="2:11" ht="15">
      <c r="B314" s="7"/>
      <c r="C314" t="s">
        <v>686</v>
      </c>
      <c r="E314" t="s">
        <v>2864</v>
      </c>
      <c r="F314" t="s">
        <v>2865</v>
      </c>
      <c r="G314" t="s">
        <v>2866</v>
      </c>
      <c r="H314" t="s">
        <v>727</v>
      </c>
      <c r="I314" t="s">
        <v>2867</v>
      </c>
      <c r="J314" t="s">
        <v>2868</v>
      </c>
      <c r="K314" t="s">
        <v>707</v>
      </c>
    </row>
    <row r="315" spans="2:11" ht="15">
      <c r="B315" s="1">
        <v>158</v>
      </c>
      <c r="C315" t="str">
        <f ca="1">IFERROR(__xludf.DUMMYFUNCTION((TRANSPOSE(ImportHTML("http://spending.data.al/sq/moneypower/view/id/158/year/2012",  "table", 2)))),"*Kategoria*")</f>
        <v>*Kategoria*</v>
      </c>
      <c r="D315" t="s">
        <v>2589</v>
      </c>
    </row>
    <row r="316" spans="2:11" ht="15">
      <c r="B316" s="7"/>
      <c r="C316" t="s">
        <v>686</v>
      </c>
    </row>
    <row r="317" spans="2:11" ht="15">
      <c r="B317" s="1">
        <v>159</v>
      </c>
      <c r="C317" t="str">
        <f ca="1">IFERROR(__xludf.DUMMYFUNCTION((TRANSPOSE(ImportHTML("http://spending.data.al/sq/moneypower/view/id/159/year/2012",  "table", 2)))),"*Kategoria*")</f>
        <v>*Kategoria*</v>
      </c>
      <c r="D317" t="s">
        <v>2589</v>
      </c>
    </row>
    <row r="318" spans="2:11" ht="15">
      <c r="B318" s="7"/>
      <c r="C318" t="s">
        <v>686</v>
      </c>
    </row>
    <row r="319" spans="2:11" ht="15">
      <c r="B319" s="1">
        <v>160</v>
      </c>
      <c r="C319" t="str">
        <f ca="1">IFERROR(__xludf.DUMMYFUNCTION((TRANSPOSE(ImportHTML("http://spending.data.al/sq/moneypower/view/id/160/year/2012",  "table", 2)))),"*Kategoria*")</f>
        <v>*Kategoria*</v>
      </c>
      <c r="D319" t="s">
        <v>2589</v>
      </c>
    </row>
    <row r="320" spans="2:11" ht="15">
      <c r="B320" s="7"/>
      <c r="C320" t="s">
        <v>686</v>
      </c>
    </row>
    <row r="321" spans="2:4" ht="15">
      <c r="B321" s="1">
        <v>161</v>
      </c>
      <c r="C321" t="str">
        <f ca="1">IFERROR(__xludf.DUMMYFUNCTION((TRANSPOSE(ImportHTML("http://spending.data.al/sq/moneypower/view/id/161/year/2012",  "table", 2)))),"*Kategoria*")</f>
        <v>*Kategoria*</v>
      </c>
      <c r="D321" t="s">
        <v>2589</v>
      </c>
    </row>
    <row r="322" spans="2:4" ht="15">
      <c r="B322" s="7"/>
      <c r="C322" t="s">
        <v>686</v>
      </c>
    </row>
    <row r="323" spans="2:4" ht="15">
      <c r="B323" s="1">
        <v>162</v>
      </c>
      <c r="C323" t="str">
        <f ca="1">IFERROR(__xludf.DUMMYFUNCTION((TRANSPOSE(ImportHTML("http://spending.data.al/sq/moneypower/view/id/162/year/2012",  "table", 2)))),"*Kategoria*")</f>
        <v>*Kategoria*</v>
      </c>
      <c r="D323" t="s">
        <v>2589</v>
      </c>
    </row>
    <row r="324" spans="2:4" ht="15">
      <c r="B324" s="7"/>
      <c r="C324" t="s">
        <v>686</v>
      </c>
    </row>
    <row r="325" spans="2:4" ht="15">
      <c r="B325" s="1">
        <v>163</v>
      </c>
      <c r="C325" t="str">
        <f ca="1">IFERROR(__xludf.DUMMYFUNCTION((TRANSPOSE(ImportHTML("http://spending.data.al/sq/moneypower/view/id/163/year/2012",  "table", 2)))),"*Kategoria*")</f>
        <v>*Kategoria*</v>
      </c>
      <c r="D325" t="s">
        <v>2589</v>
      </c>
    </row>
    <row r="326" spans="2:4" ht="15">
      <c r="B326" s="7"/>
      <c r="C326" t="s">
        <v>686</v>
      </c>
    </row>
    <row r="327" spans="2:4" ht="15">
      <c r="B327" s="1">
        <v>164</v>
      </c>
      <c r="C327" t="str">
        <f ca="1">IFERROR(__xludf.DUMMYFUNCTION((TRANSPOSE(ImportHTML("http://spending.data.al/sq/moneypower/view/id/164/year/2012",  "table", 2)))),"*Kategoria*")</f>
        <v>*Kategoria*</v>
      </c>
      <c r="D327" t="s">
        <v>2589</v>
      </c>
    </row>
    <row r="328" spans="2:4" ht="15">
      <c r="B328" s="7"/>
      <c r="C328" t="s">
        <v>686</v>
      </c>
    </row>
    <row r="329" spans="2:4" ht="15">
      <c r="B329" s="1">
        <v>165</v>
      </c>
      <c r="C329" t="str">
        <f ca="1">IFERROR(__xludf.DUMMYFUNCTION((TRANSPOSE(ImportHTML("http://spending.data.al/sq/moneypower/view/id/165/year/2012",  "table", 2)))),"*Kategoria*")</f>
        <v>*Kategoria*</v>
      </c>
      <c r="D329" t="s">
        <v>2589</v>
      </c>
    </row>
    <row r="330" spans="2:4" ht="15">
      <c r="B330" s="7"/>
      <c r="C330" t="s">
        <v>686</v>
      </c>
    </row>
    <row r="331" spans="2:4" ht="15">
      <c r="B331" s="1">
        <v>166</v>
      </c>
      <c r="C331" t="str">
        <f ca="1">IFERROR(__xludf.DUMMYFUNCTION((TRANSPOSE(ImportHTML("http://spending.data.al/sq/moneypower/view/id/166/year/2012",  "table", 2)))),"*Kategoria*")</f>
        <v>*Kategoria*</v>
      </c>
      <c r="D331" t="s">
        <v>2589</v>
      </c>
    </row>
    <row r="332" spans="2:4" ht="15">
      <c r="B332" s="7"/>
      <c r="C332" t="s">
        <v>686</v>
      </c>
    </row>
    <row r="333" spans="2:4" ht="15">
      <c r="B333" s="1">
        <v>167</v>
      </c>
      <c r="C333" t="str">
        <f ca="1">IFERROR(__xludf.DUMMYFUNCTION((TRANSPOSE(ImportHTML("http://spending.data.al/sq/moneypower/view/id/167/year/2012",  "table", 2)))),"*Kategoria*")</f>
        <v>*Kategoria*</v>
      </c>
      <c r="D333" t="s">
        <v>2589</v>
      </c>
    </row>
    <row r="334" spans="2:4" ht="15">
      <c r="B334" s="7"/>
      <c r="C334" t="s">
        <v>686</v>
      </c>
    </row>
    <row r="335" spans="2:4" ht="15">
      <c r="B335" s="1">
        <v>168</v>
      </c>
      <c r="C335" t="str">
        <f ca="1">IFERROR(__xludf.DUMMYFUNCTION((TRANSPOSE(ImportHTML("http://spending.data.al/sq/moneypower/view/id/168/year/2012",  "table", 2)))),"*Kategoria*")</f>
        <v>*Kategoria*</v>
      </c>
      <c r="D335" t="s">
        <v>2589</v>
      </c>
    </row>
    <row r="336" spans="2:4" ht="15">
      <c r="B336" s="7"/>
      <c r="C336" t="s">
        <v>686</v>
      </c>
    </row>
    <row r="337" spans="2:11" ht="15">
      <c r="B337" s="1">
        <v>169</v>
      </c>
      <c r="C337" t="str">
        <f ca="1">IFERROR(__xludf.DUMMYFUNCTION((TRANSPOSE(ImportHTML("http://spending.data.al/sq/moneypower/view/id/169/year/2012",  "table", 2)))),"*Kategoria*")</f>
        <v>*Kategoria*</v>
      </c>
      <c r="E337" t="s">
        <v>719</v>
      </c>
      <c r="F337" t="s">
        <v>720</v>
      </c>
      <c r="G337" t="s">
        <v>721</v>
      </c>
      <c r="H337" t="s">
        <v>722</v>
      </c>
      <c r="I337" t="s">
        <v>723</v>
      </c>
      <c r="J337" t="s">
        <v>724</v>
      </c>
      <c r="K337" t="s">
        <v>685</v>
      </c>
    </row>
    <row r="338" spans="2:11" ht="15">
      <c r="B338" s="7"/>
      <c r="C338" t="s">
        <v>686</v>
      </c>
      <c r="E338" t="s">
        <v>2869</v>
      </c>
      <c r="F338" t="s">
        <v>2870</v>
      </c>
      <c r="G338" t="s">
        <v>2871</v>
      </c>
      <c r="H338" t="s">
        <v>727</v>
      </c>
      <c r="I338" t="s">
        <v>727</v>
      </c>
      <c r="J338" t="s">
        <v>727</v>
      </c>
      <c r="K338" t="s">
        <v>707</v>
      </c>
    </row>
    <row r="339" spans="2:11" ht="15">
      <c r="B339" s="1">
        <v>170</v>
      </c>
      <c r="C339" t="str">
        <f ca="1">IFERROR(__xludf.DUMMYFUNCTION((TRANSPOSE(ImportHTML("http://spending.data.al/sq/moneypower/view/id/170/year/2012",  "table", 2)))),"*Kategoria*")</f>
        <v>*Kategoria*</v>
      </c>
      <c r="D339" t="s">
        <v>2589</v>
      </c>
    </row>
    <row r="340" spans="2:11" ht="15">
      <c r="B340" s="7"/>
      <c r="C340" t="s">
        <v>686</v>
      </c>
    </row>
    <row r="341" spans="2:11" ht="15">
      <c r="B341" s="1">
        <v>171</v>
      </c>
      <c r="C341" t="str">
        <f ca="1">IFERROR(__xludf.DUMMYFUNCTION((TRANSPOSE(ImportHTML("http://spending.data.al/sq/moneypower/view/id/171/year/2012",  "table", 2)))),"*Kategoria*")</f>
        <v>*Kategoria*</v>
      </c>
      <c r="D341" t="s">
        <v>2589</v>
      </c>
    </row>
    <row r="342" spans="2:11" ht="15">
      <c r="B342" s="7"/>
      <c r="C342" t="s">
        <v>686</v>
      </c>
    </row>
    <row r="343" spans="2:11" ht="15">
      <c r="B343" s="1">
        <v>172</v>
      </c>
      <c r="C343" t="str">
        <f ca="1">IFERROR(__xludf.DUMMYFUNCTION((TRANSPOSE(ImportHTML("http://spending.data.al/sq/moneypower/view/id/172/year/2012",  "table", 2)))),"*Kategoria*")</f>
        <v>*Kategoria*</v>
      </c>
      <c r="E343" t="s">
        <v>719</v>
      </c>
      <c r="F343" t="s">
        <v>720</v>
      </c>
      <c r="G343" t="s">
        <v>721</v>
      </c>
      <c r="H343" t="s">
        <v>722</v>
      </c>
      <c r="I343" t="s">
        <v>723</v>
      </c>
      <c r="J343" t="s">
        <v>724</v>
      </c>
      <c r="K343" t="s">
        <v>685</v>
      </c>
    </row>
    <row r="344" spans="2:11" ht="15">
      <c r="B344" s="7"/>
      <c r="C344" t="s">
        <v>686</v>
      </c>
      <c r="E344" t="s">
        <v>727</v>
      </c>
      <c r="F344" t="s">
        <v>2872</v>
      </c>
      <c r="G344" t="s">
        <v>727</v>
      </c>
      <c r="H344" t="s">
        <v>727</v>
      </c>
      <c r="I344" t="s">
        <v>727</v>
      </c>
      <c r="J344" t="s">
        <v>727</v>
      </c>
      <c r="K344" t="s">
        <v>2873</v>
      </c>
    </row>
    <row r="345" spans="2:11" ht="15">
      <c r="B345" s="1">
        <v>173</v>
      </c>
      <c r="C345" t="str">
        <f ca="1">IFERROR(__xludf.DUMMYFUNCTION((TRANSPOSE(ImportHTML("http://spending.data.al/sq/moneypower/view/id/173/year/2012",  "table", 2)))),"*Kategoria*")</f>
        <v>*Kategoria*</v>
      </c>
      <c r="D345" t="s">
        <v>2589</v>
      </c>
    </row>
    <row r="346" spans="2:11" ht="15">
      <c r="B346" s="7"/>
      <c r="C346" t="s">
        <v>686</v>
      </c>
    </row>
    <row r="347" spans="2:11" ht="15">
      <c r="B347" s="1">
        <v>174</v>
      </c>
      <c r="C347" t="str">
        <f ca="1">IFERROR(__xludf.DUMMYFUNCTION((TRANSPOSE(ImportHTML("http://spending.data.al/sq/moneypower/view/id/174/year/2012",  "table", 2)))),"*Kategoria*")</f>
        <v>*Kategoria*</v>
      </c>
      <c r="D347" t="s">
        <v>2589</v>
      </c>
    </row>
    <row r="348" spans="2:11" ht="15">
      <c r="B348" s="7"/>
      <c r="C348" t="s">
        <v>686</v>
      </c>
    </row>
    <row r="349" spans="2:11" ht="15">
      <c r="B349" s="1">
        <v>175</v>
      </c>
      <c r="C349" t="str">
        <f ca="1">IFERROR(__xludf.DUMMYFUNCTION((TRANSPOSE(ImportHTML("http://spending.data.al/sq/moneypower/view/id/175/year/2012",  "table", 2)))),"*Kategoria*")</f>
        <v>*Kategoria*</v>
      </c>
      <c r="D349" t="s">
        <v>2589</v>
      </c>
    </row>
    <row r="350" spans="2:11" ht="15">
      <c r="B350" s="7"/>
      <c r="C350" t="s">
        <v>686</v>
      </c>
    </row>
    <row r="351" spans="2:11" ht="15">
      <c r="B351" s="1">
        <v>176</v>
      </c>
      <c r="C351" t="str">
        <f ca="1">IFERROR(__xludf.DUMMYFUNCTION((TRANSPOSE(ImportHTML("http://spending.data.al/sq/moneypower/view/id/176/year/2012",  "table", 2)))),"*Kategoria*")</f>
        <v>*Kategoria*</v>
      </c>
      <c r="D351" t="s">
        <v>2589</v>
      </c>
    </row>
    <row r="352" spans="2:11" ht="15">
      <c r="B352" s="7"/>
      <c r="C352" t="s">
        <v>686</v>
      </c>
    </row>
    <row r="353" spans="2:11" ht="15">
      <c r="B353" s="1">
        <v>177</v>
      </c>
      <c r="C353" t="str">
        <f ca="1">IFERROR(__xludf.DUMMYFUNCTION((TRANSPOSE(ImportHTML("http://spending.data.al/sq/moneypower/view/id/177/year/2012",  "table", 2)))),"*Kategoria*")</f>
        <v>*Kategoria*</v>
      </c>
      <c r="D353" t="s">
        <v>2589</v>
      </c>
    </row>
    <row r="354" spans="2:11" ht="15">
      <c r="B354" s="7"/>
      <c r="C354" t="s">
        <v>686</v>
      </c>
    </row>
    <row r="355" spans="2:11" ht="15">
      <c r="B355" s="1">
        <v>178</v>
      </c>
      <c r="C355" t="str">
        <f ca="1">IFERROR(__xludf.DUMMYFUNCTION((TRANSPOSE(ImportHTML("http://spending.data.al/sq/moneypower/view/id/178/year/2012",  "table", 2)))),"*Kategoria*")</f>
        <v>*Kategoria*</v>
      </c>
      <c r="D355" t="s">
        <v>2589</v>
      </c>
    </row>
    <row r="356" spans="2:11" ht="15">
      <c r="B356" s="7"/>
      <c r="C356" t="s">
        <v>686</v>
      </c>
    </row>
    <row r="357" spans="2:11" ht="15">
      <c r="B357" s="1">
        <v>179</v>
      </c>
      <c r="C357" t="str">
        <f ca="1">IFERROR(__xludf.DUMMYFUNCTION((TRANSPOSE(ImportHTML("http://spending.data.al/sq/moneypower/view/id/179/year/2012",  "table", 2)))),"*Kategoria*")</f>
        <v>*Kategoria*</v>
      </c>
      <c r="D357" t="s">
        <v>2589</v>
      </c>
    </row>
    <row r="358" spans="2:11" ht="15">
      <c r="B358" s="7"/>
      <c r="C358" t="s">
        <v>686</v>
      </c>
    </row>
    <row r="359" spans="2:11" ht="15">
      <c r="B359" s="1">
        <v>180</v>
      </c>
      <c r="C359" t="str">
        <f ca="1">IFERROR(__xludf.DUMMYFUNCTION((TRANSPOSE(ImportHTML("http://spending.data.al/sq/moneypower/view/id/180/year/2012",  "table", 2)))),"*Kategoria*")</f>
        <v>*Kategoria*</v>
      </c>
      <c r="D359" t="s">
        <v>2589</v>
      </c>
    </row>
    <row r="360" spans="2:11" ht="15">
      <c r="B360" s="7"/>
      <c r="C360" t="s">
        <v>686</v>
      </c>
    </row>
    <row r="361" spans="2:11" ht="15">
      <c r="B361" s="1">
        <v>181</v>
      </c>
      <c r="C361" t="str">
        <f ca="1">IFERROR(__xludf.DUMMYFUNCTION((TRANSPOSE(ImportHTML("http://spending.data.al/sq/moneypower/view/id/181/year/2012",  "table", 2)))),"*Kategoria*")</f>
        <v>*Kategoria*</v>
      </c>
      <c r="D361" t="s">
        <v>2589</v>
      </c>
    </row>
    <row r="362" spans="2:11" ht="15">
      <c r="B362" s="7"/>
      <c r="C362" t="s">
        <v>686</v>
      </c>
    </row>
    <row r="363" spans="2:11" ht="15">
      <c r="B363" s="1">
        <v>182</v>
      </c>
      <c r="C363" t="str">
        <f ca="1">IFERROR(__xludf.DUMMYFUNCTION((TRANSPOSE(ImportHTML("http://spending.data.al/sq/moneypower/view/id/182/year/2012",  "table", 2)))),"*Kategoria*")</f>
        <v>*Kategoria*</v>
      </c>
      <c r="D363" t="s">
        <v>2589</v>
      </c>
    </row>
    <row r="364" spans="2:11" ht="15">
      <c r="B364" s="7"/>
      <c r="C364" t="s">
        <v>686</v>
      </c>
    </row>
    <row r="365" spans="2:11" ht="15">
      <c r="B365" s="1">
        <v>183</v>
      </c>
      <c r="C365" t="str">
        <f ca="1">IFERROR(__xludf.DUMMYFUNCTION((TRANSPOSE(ImportHTML("http://spending.data.al/sq/moneypower/view/id/183/year/2012",  "table", 2)))),"*Kategoria*")</f>
        <v>*Kategoria*</v>
      </c>
      <c r="E365" t="s">
        <v>719</v>
      </c>
      <c r="F365" t="s">
        <v>720</v>
      </c>
      <c r="G365" t="s">
        <v>721</v>
      </c>
      <c r="H365" t="s">
        <v>722</v>
      </c>
      <c r="I365" t="s">
        <v>723</v>
      </c>
      <c r="J365" t="s">
        <v>724</v>
      </c>
      <c r="K365" t="s">
        <v>685</v>
      </c>
    </row>
    <row r="366" spans="2:11" ht="15">
      <c r="B366" s="7"/>
      <c r="C366" t="s">
        <v>686</v>
      </c>
      <c r="E366" t="s">
        <v>2874</v>
      </c>
      <c r="F366" t="s">
        <v>2875</v>
      </c>
      <c r="G366" t="s">
        <v>2601</v>
      </c>
      <c r="H366" t="s">
        <v>2601</v>
      </c>
      <c r="I366" t="s">
        <v>2601</v>
      </c>
      <c r="J366" t="s">
        <v>2601</v>
      </c>
      <c r="K366" t="s">
        <v>2601</v>
      </c>
    </row>
    <row r="367" spans="2:11" ht="15">
      <c r="B367" s="1">
        <v>184</v>
      </c>
      <c r="C367" t="str">
        <f ca="1">IFERROR(__xludf.DUMMYFUNCTION((TRANSPOSE(ImportHTML("http://spending.data.al/sq/moneypower/view/id/184/year/2012",  "table", 2)))),"*Kategoria*")</f>
        <v>*Kategoria*</v>
      </c>
      <c r="D367" t="s">
        <v>2589</v>
      </c>
    </row>
    <row r="368" spans="2:11" ht="15">
      <c r="B368" s="7"/>
      <c r="C368" t="s">
        <v>686</v>
      </c>
    </row>
    <row r="369" spans="2:11" ht="15">
      <c r="B369" s="1">
        <v>185</v>
      </c>
      <c r="C369" t="str">
        <f ca="1">IFERROR(__xludf.DUMMYFUNCTION((TRANSPOSE(ImportHTML("http://spending.data.al/sq/moneypower/view/id/185/year/2012",  "table", 2)))),"*Kategoria*")</f>
        <v>*Kategoria*</v>
      </c>
      <c r="D369" t="s">
        <v>2589</v>
      </c>
    </row>
    <row r="370" spans="2:11" ht="15">
      <c r="B370" s="7"/>
      <c r="C370" t="s">
        <v>686</v>
      </c>
    </row>
    <row r="371" spans="2:11" ht="15">
      <c r="B371" s="1">
        <v>186</v>
      </c>
      <c r="C371" t="str">
        <f ca="1">IFERROR(__xludf.DUMMYFUNCTION((TRANSPOSE(ImportHTML("http://spending.data.al/sq/moneypower/view/id/186/year/2012",  "table", 2)))),"*Kategoria*")</f>
        <v>*Kategoria*</v>
      </c>
      <c r="D371" t="s">
        <v>2589</v>
      </c>
    </row>
    <row r="372" spans="2:11" ht="15">
      <c r="B372" s="7"/>
      <c r="C372" t="s">
        <v>686</v>
      </c>
    </row>
    <row r="373" spans="2:11" ht="15">
      <c r="B373" s="1">
        <v>187</v>
      </c>
      <c r="C373" t="str">
        <f ca="1">IFERROR(__xludf.DUMMYFUNCTION((TRANSPOSE(ImportHTML("http://spending.data.al/sq/moneypower/view/id/187/year/2012",  "table", 2)))),"*Kategoria*")</f>
        <v>*Kategoria*</v>
      </c>
      <c r="D373" t="s">
        <v>2589</v>
      </c>
    </row>
    <row r="374" spans="2:11" ht="15">
      <c r="B374" s="7"/>
      <c r="C374" t="s">
        <v>686</v>
      </c>
    </row>
    <row r="375" spans="2:11" ht="15">
      <c r="B375" s="1">
        <v>188</v>
      </c>
      <c r="C375" t="str">
        <f ca="1">IFERROR(__xludf.DUMMYFUNCTION((TRANSPOSE(ImportHTML("http://spending.data.al/sq/moneypower/view/id/188/year/2012",  "table", 2)))),"*Kategoria*")</f>
        <v>*Kategoria*</v>
      </c>
      <c r="D375" t="s">
        <v>2589</v>
      </c>
    </row>
    <row r="376" spans="2:11" ht="15">
      <c r="B376" s="7"/>
      <c r="C376" t="s">
        <v>686</v>
      </c>
    </row>
    <row r="377" spans="2:11" ht="15">
      <c r="B377" s="1">
        <v>189</v>
      </c>
      <c r="C377" t="str">
        <f ca="1">IFERROR(__xludf.DUMMYFUNCTION((TRANSPOSE(ImportHTML("http://spending.data.al/sq/moneypower/view/id/189/year/2012",  "table", 2)))),"*Kategoria*")</f>
        <v>*Kategoria*</v>
      </c>
      <c r="D377" t="s">
        <v>2589</v>
      </c>
    </row>
    <row r="378" spans="2:11" ht="15">
      <c r="B378" s="7"/>
      <c r="C378" t="s">
        <v>686</v>
      </c>
    </row>
    <row r="379" spans="2:11" ht="15">
      <c r="B379" s="1">
        <v>190</v>
      </c>
      <c r="C379" t="str">
        <f ca="1">IFERROR(__xludf.DUMMYFUNCTION((TRANSPOSE(ImportHTML("http://spending.data.al/sq/moneypower/view/id/190/year/2012",  "table", 2)))),"*Kategoria*")</f>
        <v>*Kategoria*</v>
      </c>
      <c r="D379" t="s">
        <v>2589</v>
      </c>
    </row>
    <row r="380" spans="2:11" ht="15">
      <c r="B380" s="7"/>
      <c r="C380" t="s">
        <v>686</v>
      </c>
    </row>
    <row r="381" spans="2:11" ht="15">
      <c r="B381" s="1">
        <v>191</v>
      </c>
      <c r="C381" t="str">
        <f ca="1">IFERROR(__xludf.DUMMYFUNCTION((TRANSPOSE(ImportHTML("http://spending.data.al/sq/moneypower/view/id/191/year/2012",  "table", 2)))),"*Kategoria*")</f>
        <v>*Kategoria*</v>
      </c>
      <c r="D381" t="s">
        <v>2589</v>
      </c>
    </row>
    <row r="382" spans="2:11" ht="15">
      <c r="B382" s="7"/>
      <c r="C382" t="s">
        <v>686</v>
      </c>
    </row>
    <row r="383" spans="2:11" ht="15">
      <c r="B383" s="1">
        <v>192</v>
      </c>
      <c r="C383" t="str">
        <f ca="1">IFERROR(__xludf.DUMMYFUNCTION((TRANSPOSE(ImportHTML("http://spending.data.al/sq/moneypower/view/id/192/year/2012",  "table", 2)))),"*Kategoria*")</f>
        <v>*Kategoria*</v>
      </c>
      <c r="E383" t="s">
        <v>719</v>
      </c>
      <c r="F383" t="s">
        <v>720</v>
      </c>
      <c r="G383" t="s">
        <v>721</v>
      </c>
      <c r="H383" t="s">
        <v>722</v>
      </c>
      <c r="I383" t="s">
        <v>723</v>
      </c>
      <c r="J383" t="s">
        <v>724</v>
      </c>
      <c r="K383" t="s">
        <v>685</v>
      </c>
    </row>
    <row r="384" spans="2:11" ht="15">
      <c r="B384" s="7"/>
      <c r="C384" t="s">
        <v>686</v>
      </c>
      <c r="E384" t="s">
        <v>2876</v>
      </c>
      <c r="F384" t="s">
        <v>2877</v>
      </c>
      <c r="G384" t="s">
        <v>2878</v>
      </c>
      <c r="H384" t="s">
        <v>688</v>
      </c>
      <c r="I384" t="s">
        <v>2879</v>
      </c>
      <c r="J384" t="s">
        <v>688</v>
      </c>
      <c r="K384" t="s">
        <v>2880</v>
      </c>
    </row>
    <row r="385" spans="2:11" ht="15">
      <c r="B385" s="1">
        <v>193</v>
      </c>
      <c r="C385" t="str">
        <f ca="1">IFERROR(__xludf.DUMMYFUNCTION((TRANSPOSE(ImportHTML("http://spending.data.al/sq/moneypower/view/id/193/year/2012",  "table", 2)))),"*Kategoria*")</f>
        <v>*Kategoria*</v>
      </c>
      <c r="D385" t="s">
        <v>2589</v>
      </c>
    </row>
    <row r="386" spans="2:11" ht="15">
      <c r="B386" s="7"/>
      <c r="C386" t="s">
        <v>686</v>
      </c>
    </row>
    <row r="387" spans="2:11" ht="15">
      <c r="B387" s="1">
        <v>194</v>
      </c>
      <c r="C387" t="str">
        <f ca="1">IFERROR(__xludf.DUMMYFUNCTION((TRANSPOSE(ImportHTML("http://spending.data.al/sq/moneypower/view/id/194/year/2012",  "table", 2)))),"*Kategoria*")</f>
        <v>*Kategoria*</v>
      </c>
      <c r="E387" t="s">
        <v>719</v>
      </c>
      <c r="F387" t="s">
        <v>720</v>
      </c>
      <c r="G387" t="s">
        <v>721</v>
      </c>
      <c r="H387" t="s">
        <v>722</v>
      </c>
      <c r="I387" t="s">
        <v>723</v>
      </c>
      <c r="J387" t="s">
        <v>724</v>
      </c>
      <c r="K387" t="s">
        <v>685</v>
      </c>
    </row>
    <row r="388" spans="2:11" ht="15">
      <c r="B388" s="7"/>
      <c r="C388" t="s">
        <v>686</v>
      </c>
      <c r="E388" t="s">
        <v>2881</v>
      </c>
      <c r="F388" t="s">
        <v>2882</v>
      </c>
      <c r="G388" t="s">
        <v>2883</v>
      </c>
      <c r="H388" t="s">
        <v>688</v>
      </c>
      <c r="I388" t="s">
        <v>688</v>
      </c>
      <c r="J388" t="s">
        <v>688</v>
      </c>
      <c r="K388" t="s">
        <v>688</v>
      </c>
    </row>
    <row r="389" spans="2:11" ht="15">
      <c r="B389" s="1">
        <v>195</v>
      </c>
      <c r="C389" t="str">
        <f ca="1">IFERROR(__xludf.DUMMYFUNCTION((TRANSPOSE(ImportHTML("http://spending.data.al/sq/moneypower/view/id/195/year/2012",  "table", 2)))),"*Kategoria*")</f>
        <v>*Kategoria*</v>
      </c>
      <c r="D389" t="s">
        <v>2589</v>
      </c>
    </row>
    <row r="390" spans="2:11" ht="15">
      <c r="B390" s="7"/>
      <c r="C390" t="s">
        <v>686</v>
      </c>
    </row>
    <row r="391" spans="2:11" ht="15">
      <c r="B391" s="1">
        <v>196</v>
      </c>
      <c r="C391" t="str">
        <f ca="1">IFERROR(__xludf.DUMMYFUNCTION((TRANSPOSE(ImportHTML("http://spending.data.al/sq/moneypower/view/id/196/year/2012",  "table", 2)))),"*Kategoria*")</f>
        <v>*Kategoria*</v>
      </c>
      <c r="E391" t="s">
        <v>719</v>
      </c>
      <c r="F391" t="s">
        <v>720</v>
      </c>
      <c r="G391" t="s">
        <v>721</v>
      </c>
      <c r="H391" t="s">
        <v>722</v>
      </c>
      <c r="I391" t="s">
        <v>723</v>
      </c>
      <c r="J391" t="s">
        <v>724</v>
      </c>
      <c r="K391" t="s">
        <v>685</v>
      </c>
    </row>
    <row r="392" spans="2:11" ht="15">
      <c r="B392" s="7"/>
      <c r="C392" t="s">
        <v>686</v>
      </c>
      <c r="E392" t="s">
        <v>2884</v>
      </c>
      <c r="F392" t="s">
        <v>2885</v>
      </c>
      <c r="G392" t="s">
        <v>2886</v>
      </c>
      <c r="H392" t="s">
        <v>688</v>
      </c>
      <c r="I392" t="s">
        <v>688</v>
      </c>
      <c r="J392" t="s">
        <v>688</v>
      </c>
      <c r="K392" t="s">
        <v>688</v>
      </c>
    </row>
    <row r="393" spans="2:11" ht="15">
      <c r="B393" s="1">
        <v>197</v>
      </c>
      <c r="C393" t="str">
        <f ca="1">IFERROR(__xludf.DUMMYFUNCTION((TRANSPOSE(ImportHTML("http://spending.data.al/sq/moneypower/view/id/197/year/2012",  "table", 2)))),"*Kategoria*")</f>
        <v>*Kategoria*</v>
      </c>
      <c r="D393" t="s">
        <v>2589</v>
      </c>
    </row>
    <row r="394" spans="2:11" ht="15">
      <c r="B394" s="7"/>
      <c r="C394" t="s">
        <v>686</v>
      </c>
    </row>
    <row r="395" spans="2:11" ht="15">
      <c r="B395" s="1">
        <v>198</v>
      </c>
      <c r="C395" t="str">
        <f ca="1">IFERROR(__xludf.DUMMYFUNCTION((TRANSPOSE(ImportHTML("http://spending.data.al/sq/moneypower/view/id/198/year/2012",  "table", 2)))),"*Kategoria*")</f>
        <v>*Kategoria*</v>
      </c>
      <c r="E395" t="s">
        <v>719</v>
      </c>
      <c r="F395" t="s">
        <v>720</v>
      </c>
      <c r="G395" t="s">
        <v>721</v>
      </c>
      <c r="H395" t="s">
        <v>722</v>
      </c>
      <c r="I395" t="s">
        <v>723</v>
      </c>
      <c r="J395" t="s">
        <v>724</v>
      </c>
      <c r="K395" t="s">
        <v>685</v>
      </c>
    </row>
    <row r="396" spans="2:11" ht="15">
      <c r="B396" s="7"/>
      <c r="C396" t="s">
        <v>686</v>
      </c>
      <c r="E396" t="s">
        <v>688</v>
      </c>
      <c r="F396" t="s">
        <v>2887</v>
      </c>
      <c r="G396" t="s">
        <v>2888</v>
      </c>
      <c r="H396" t="s">
        <v>688</v>
      </c>
      <c r="I396" t="s">
        <v>688</v>
      </c>
      <c r="J396" t="s">
        <v>688</v>
      </c>
      <c r="K396" t="s">
        <v>688</v>
      </c>
    </row>
    <row r="397" spans="2:11" ht="15">
      <c r="B397" s="1">
        <v>199</v>
      </c>
      <c r="C397" t="str">
        <f ca="1">IFERROR(__xludf.DUMMYFUNCTION((TRANSPOSE(ImportHTML("http://spending.data.al/sq/moneypower/view/id/199/year/2012",  "table", 2)))),"*Kategoria*")</f>
        <v>*Kategoria*</v>
      </c>
      <c r="E397" t="s">
        <v>719</v>
      </c>
      <c r="F397" t="s">
        <v>720</v>
      </c>
      <c r="G397" t="s">
        <v>721</v>
      </c>
      <c r="H397" t="s">
        <v>722</v>
      </c>
      <c r="I397" t="s">
        <v>723</v>
      </c>
      <c r="J397" t="s">
        <v>724</v>
      </c>
      <c r="K397" t="s">
        <v>685</v>
      </c>
    </row>
    <row r="398" spans="2:11" ht="15">
      <c r="B398" s="7"/>
      <c r="C398" t="s">
        <v>686</v>
      </c>
      <c r="E398" t="s">
        <v>2889</v>
      </c>
      <c r="F398" t="s">
        <v>2890</v>
      </c>
      <c r="G398" t="s">
        <v>2891</v>
      </c>
      <c r="H398" t="s">
        <v>688</v>
      </c>
      <c r="I398" t="s">
        <v>688</v>
      </c>
      <c r="J398" t="s">
        <v>688</v>
      </c>
    </row>
    <row r="399" spans="2:11" ht="15">
      <c r="B399" s="1">
        <v>200</v>
      </c>
      <c r="C399" t="str">
        <f ca="1">IFERROR(__xludf.DUMMYFUNCTION((TRANSPOSE(ImportHTML("http://spending.data.al/sq/moneypower/view/id/200/year/2012",  "table", 2)))),"*Kategoria*")</f>
        <v>*Kategoria*</v>
      </c>
      <c r="E399" t="s">
        <v>719</v>
      </c>
      <c r="F399" t="s">
        <v>720</v>
      </c>
      <c r="G399" t="s">
        <v>721</v>
      </c>
      <c r="H399" t="s">
        <v>722</v>
      </c>
      <c r="I399" t="s">
        <v>723</v>
      </c>
      <c r="J399" t="s">
        <v>724</v>
      </c>
      <c r="K399" t="s">
        <v>685</v>
      </c>
    </row>
    <row r="400" spans="2:11" ht="15">
      <c r="B400" s="7"/>
      <c r="C400" t="s">
        <v>686</v>
      </c>
      <c r="E400" t="s">
        <v>2892</v>
      </c>
      <c r="F400" t="s">
        <v>2893</v>
      </c>
      <c r="G400" t="s">
        <v>2894</v>
      </c>
      <c r="H400" t="s">
        <v>688</v>
      </c>
      <c r="I400" t="s">
        <v>688</v>
      </c>
      <c r="J400" t="s">
        <v>688</v>
      </c>
      <c r="K400" t="s">
        <v>688</v>
      </c>
    </row>
    <row r="401" spans="2:11" ht="15">
      <c r="B401" s="1">
        <v>201</v>
      </c>
      <c r="C401" t="str">
        <f ca="1">IFERROR(__xludf.DUMMYFUNCTION((TRANSPOSE(ImportHTML("http://spending.data.al/sq/moneypower/view/id/201/year/2012",  "table", 2)))),"*Kategoria*")</f>
        <v>*Kategoria*</v>
      </c>
      <c r="D401" t="s">
        <v>2589</v>
      </c>
    </row>
    <row r="402" spans="2:11" ht="15">
      <c r="B402" s="7"/>
      <c r="C402" t="s">
        <v>686</v>
      </c>
    </row>
    <row r="403" spans="2:11" ht="15">
      <c r="B403" s="1">
        <v>202</v>
      </c>
      <c r="C403" t="str">
        <f ca="1">IFERROR(__xludf.DUMMYFUNCTION((TRANSPOSE(ImportHTML("http://spending.data.al/sq/moneypower/view/id/202/year/2012",  "table", 2)))),"*Kategoria*")</f>
        <v>*Kategoria*</v>
      </c>
      <c r="D403" t="s">
        <v>2589</v>
      </c>
    </row>
    <row r="404" spans="2:11" ht="15">
      <c r="B404" s="7"/>
      <c r="C404" t="s">
        <v>686</v>
      </c>
    </row>
    <row r="405" spans="2:11" ht="15">
      <c r="B405" s="1">
        <v>203</v>
      </c>
      <c r="C405" t="str">
        <f ca="1">IFERROR(__xludf.DUMMYFUNCTION((TRANSPOSE(ImportHTML("http://spending.data.al/sq/moneypower/view/id/203/year/2012",  "table", 2)))),"*Kategoria*")</f>
        <v>*Kategoria*</v>
      </c>
      <c r="E405" t="s">
        <v>719</v>
      </c>
      <c r="F405" t="s">
        <v>720</v>
      </c>
      <c r="G405" t="s">
        <v>721</v>
      </c>
      <c r="H405" t="s">
        <v>722</v>
      </c>
      <c r="I405" t="s">
        <v>723</v>
      </c>
      <c r="J405" t="s">
        <v>724</v>
      </c>
      <c r="K405" t="s">
        <v>685</v>
      </c>
    </row>
    <row r="406" spans="2:11" ht="15">
      <c r="B406" s="7"/>
      <c r="C406" t="s">
        <v>686</v>
      </c>
      <c r="E406" t="s">
        <v>2895</v>
      </c>
      <c r="F406" t="s">
        <v>2896</v>
      </c>
      <c r="G406" t="s">
        <v>2897</v>
      </c>
      <c r="H406" t="s">
        <v>688</v>
      </c>
      <c r="I406" t="s">
        <v>2898</v>
      </c>
      <c r="J406" t="s">
        <v>688</v>
      </c>
      <c r="K406" t="s">
        <v>688</v>
      </c>
    </row>
    <row r="407" spans="2:11" ht="15">
      <c r="B407" s="1">
        <v>204</v>
      </c>
      <c r="C407" t="str">
        <f ca="1">IFERROR(__xludf.DUMMYFUNCTION((TRANSPOSE(ImportHTML("http://spending.data.al/sq/moneypower/view/id/204/year/2012",  "table", 2)))),"*Kategoria*")</f>
        <v>*Kategoria*</v>
      </c>
      <c r="D407" t="s">
        <v>2589</v>
      </c>
    </row>
    <row r="408" spans="2:11" ht="15">
      <c r="B408" s="7"/>
      <c r="C408" t="s">
        <v>686</v>
      </c>
    </row>
    <row r="409" spans="2:11" ht="15">
      <c r="B409" s="1">
        <v>205</v>
      </c>
      <c r="C409" t="str">
        <f ca="1">IFERROR(__xludf.DUMMYFUNCTION((TRANSPOSE(ImportHTML("http://spending.data.al/sq/moneypower/view/id/205/year/2012",  "table", 2)))),"*Kategoria*")</f>
        <v>*Kategoria*</v>
      </c>
      <c r="E409" t="s">
        <v>719</v>
      </c>
      <c r="F409" t="s">
        <v>720</v>
      </c>
      <c r="G409" t="s">
        <v>721</v>
      </c>
      <c r="H409" t="s">
        <v>722</v>
      </c>
      <c r="I409" t="s">
        <v>723</v>
      </c>
      <c r="J409" t="s">
        <v>724</v>
      </c>
      <c r="K409" t="s">
        <v>685</v>
      </c>
    </row>
    <row r="410" spans="2:11" ht="15">
      <c r="B410" s="7"/>
      <c r="C410" t="s">
        <v>686</v>
      </c>
      <c r="E410" t="s">
        <v>2899</v>
      </c>
      <c r="F410" t="s">
        <v>2900</v>
      </c>
      <c r="G410" t="s">
        <v>2901</v>
      </c>
      <c r="H410" t="s">
        <v>2601</v>
      </c>
      <c r="I410" t="s">
        <v>2601</v>
      </c>
      <c r="J410" t="s">
        <v>2601</v>
      </c>
      <c r="K410" t="s">
        <v>707</v>
      </c>
    </row>
    <row r="411" spans="2:11" ht="15">
      <c r="B411" s="1">
        <v>206</v>
      </c>
      <c r="C411" t="str">
        <f ca="1">IFERROR(__xludf.DUMMYFUNCTION((TRANSPOSE(ImportHTML("http://spending.data.al/sq/moneypower/view/id/206/year/2012",  "table", 2)))),"*Kategoria*")</f>
        <v>*Kategoria*</v>
      </c>
      <c r="D411" t="s">
        <v>2589</v>
      </c>
    </row>
    <row r="412" spans="2:11" ht="15">
      <c r="B412" s="7"/>
      <c r="C412" t="s">
        <v>686</v>
      </c>
    </row>
    <row r="413" spans="2:11" ht="15">
      <c r="B413" s="1">
        <v>207</v>
      </c>
      <c r="C413" t="str">
        <f ca="1">IFERROR(__xludf.DUMMYFUNCTION((TRANSPOSE(ImportHTML("http://spending.data.al/sq/moneypower/view/id/207/year/2012",  "table", 2)))),"*Kategoria*")</f>
        <v>*Kategoria*</v>
      </c>
      <c r="D413" t="s">
        <v>2589</v>
      </c>
    </row>
    <row r="414" spans="2:11" ht="15">
      <c r="B414" s="7"/>
      <c r="C414" t="s">
        <v>686</v>
      </c>
    </row>
    <row r="415" spans="2:11" ht="15">
      <c r="B415" s="1">
        <v>208</v>
      </c>
      <c r="C415" t="str">
        <f ca="1">IFERROR(__xludf.DUMMYFUNCTION((TRANSPOSE(ImportHTML("http://spending.data.al/sq/moneypower/view/id/208/year/2012",  "table", 2)))),"*Kategoria*")</f>
        <v>*Kategoria*</v>
      </c>
      <c r="E415" t="s">
        <v>719</v>
      </c>
      <c r="F415" t="s">
        <v>720</v>
      </c>
      <c r="G415" t="s">
        <v>721</v>
      </c>
      <c r="H415" t="s">
        <v>722</v>
      </c>
      <c r="I415" t="s">
        <v>723</v>
      </c>
      <c r="J415" t="s">
        <v>724</v>
      </c>
      <c r="K415" t="s">
        <v>685</v>
      </c>
    </row>
    <row r="416" spans="2:11" ht="15">
      <c r="B416" s="7"/>
      <c r="C416" t="s">
        <v>686</v>
      </c>
      <c r="E416" t="s">
        <v>2902</v>
      </c>
      <c r="F416" t="s">
        <v>2903</v>
      </c>
      <c r="G416" t="s">
        <v>2601</v>
      </c>
      <c r="H416" t="s">
        <v>2904</v>
      </c>
      <c r="I416" t="s">
        <v>2905</v>
      </c>
      <c r="J416" t="s">
        <v>2601</v>
      </c>
      <c r="K416" t="s">
        <v>707</v>
      </c>
    </row>
    <row r="417" spans="2:11" ht="15">
      <c r="B417" s="1">
        <v>209</v>
      </c>
      <c r="C417" t="str">
        <f ca="1">IFERROR(__xludf.DUMMYFUNCTION((TRANSPOSE(ImportHTML("http://spending.data.al/sq/moneypower/view/id/209/year/2012",  "table", 2)))),"*Kategoria*")</f>
        <v>*Kategoria*</v>
      </c>
      <c r="D417" t="s">
        <v>2589</v>
      </c>
    </row>
    <row r="418" spans="2:11" ht="15">
      <c r="B418" s="7"/>
      <c r="C418" t="s">
        <v>686</v>
      </c>
    </row>
    <row r="419" spans="2:11" ht="15">
      <c r="B419" s="1">
        <v>210</v>
      </c>
      <c r="C419" t="str">
        <f ca="1">IFERROR(__xludf.DUMMYFUNCTION((TRANSPOSE(ImportHTML("http://spending.data.al/sq/moneypower/view/id/210/year/2012",  "table", 2)))),"*Kategoria*")</f>
        <v>*Kategoria*</v>
      </c>
      <c r="D419" t="s">
        <v>2589</v>
      </c>
    </row>
    <row r="420" spans="2:11" ht="15">
      <c r="B420" s="7"/>
      <c r="C420" t="s">
        <v>686</v>
      </c>
    </row>
    <row r="421" spans="2:11" ht="15">
      <c r="B421" s="1">
        <v>211</v>
      </c>
      <c r="C421" t="str">
        <f ca="1">IFERROR(__xludf.DUMMYFUNCTION((TRANSPOSE(ImportHTML("http://spending.data.al/sq/moneypower/view/id/211/year/2012",  "table", 2)))),"*Kategoria*")</f>
        <v>*Kategoria*</v>
      </c>
      <c r="D421" t="s">
        <v>2589</v>
      </c>
    </row>
    <row r="422" spans="2:11" ht="15">
      <c r="B422" s="7"/>
      <c r="C422" t="s">
        <v>686</v>
      </c>
    </row>
    <row r="423" spans="2:11" ht="15">
      <c r="B423" s="1">
        <v>212</v>
      </c>
      <c r="C423" t="str">
        <f ca="1">IFERROR(__xludf.DUMMYFUNCTION((TRANSPOSE(ImportHTML("http://spending.data.al/sq/moneypower/view/id/212/year/2012",  "table", 2)))),"*Kategoria*")</f>
        <v>*Kategoria*</v>
      </c>
      <c r="E423" t="s">
        <v>719</v>
      </c>
      <c r="F423" t="s">
        <v>720</v>
      </c>
      <c r="G423" t="s">
        <v>721</v>
      </c>
      <c r="H423" t="s">
        <v>722</v>
      </c>
      <c r="I423" t="s">
        <v>723</v>
      </c>
      <c r="J423" t="s">
        <v>724</v>
      </c>
      <c r="K423" t="s">
        <v>685</v>
      </c>
    </row>
    <row r="424" spans="2:11" ht="15">
      <c r="B424" s="7"/>
      <c r="C424" t="s">
        <v>686</v>
      </c>
      <c r="E424" t="s">
        <v>2906</v>
      </c>
      <c r="F424" t="s">
        <v>2907</v>
      </c>
      <c r="G424" t="s">
        <v>2908</v>
      </c>
      <c r="H424" t="s">
        <v>688</v>
      </c>
      <c r="I424" t="s">
        <v>688</v>
      </c>
      <c r="J424" t="s">
        <v>688</v>
      </c>
      <c r="K424" t="s">
        <v>688</v>
      </c>
    </row>
    <row r="425" spans="2:11" ht="15">
      <c r="B425" s="1">
        <v>213</v>
      </c>
      <c r="C425" t="str">
        <f ca="1">IFERROR(__xludf.DUMMYFUNCTION((TRANSPOSE(ImportHTML("http://spending.data.al/sq/moneypower/view/id/213/year/2012",  "table", 2)))),"*Kategoria*")</f>
        <v>*Kategoria*</v>
      </c>
      <c r="E425" t="s">
        <v>719</v>
      </c>
      <c r="F425" t="s">
        <v>720</v>
      </c>
      <c r="G425" t="s">
        <v>721</v>
      </c>
      <c r="H425" t="s">
        <v>722</v>
      </c>
      <c r="I425" t="s">
        <v>723</v>
      </c>
      <c r="J425" t="s">
        <v>724</v>
      </c>
      <c r="K425" t="s">
        <v>685</v>
      </c>
    </row>
    <row r="426" spans="2:11" ht="15">
      <c r="B426" s="7"/>
      <c r="C426" t="s">
        <v>686</v>
      </c>
      <c r="E426" t="s">
        <v>2909</v>
      </c>
      <c r="F426" t="s">
        <v>2601</v>
      </c>
      <c r="G426" t="s">
        <v>2601</v>
      </c>
      <c r="H426" t="s">
        <v>2601</v>
      </c>
      <c r="I426" t="s">
        <v>2601</v>
      </c>
      <c r="J426" t="s">
        <v>2601</v>
      </c>
      <c r="K426" t="s">
        <v>707</v>
      </c>
    </row>
    <row r="427" spans="2:11" ht="15">
      <c r="B427" s="1">
        <v>214</v>
      </c>
      <c r="C427" t="str">
        <f ca="1">IFERROR(__xludf.DUMMYFUNCTION((TRANSPOSE(ImportHTML("http://spending.data.al/sq/moneypower/view/id/214/year/2012",  "table", 2)))),"*Kategoria*")</f>
        <v>*Kategoria*</v>
      </c>
      <c r="E427" t="s">
        <v>719</v>
      </c>
      <c r="F427" t="s">
        <v>720</v>
      </c>
      <c r="G427" t="s">
        <v>721</v>
      </c>
      <c r="H427" t="s">
        <v>722</v>
      </c>
      <c r="I427" t="s">
        <v>723</v>
      </c>
      <c r="J427" t="s">
        <v>724</v>
      </c>
      <c r="K427" t="s">
        <v>685</v>
      </c>
    </row>
    <row r="428" spans="2:11" ht="15">
      <c r="B428" s="7"/>
      <c r="C428" t="s">
        <v>686</v>
      </c>
      <c r="E428" t="s">
        <v>2910</v>
      </c>
      <c r="F428" t="s">
        <v>2911</v>
      </c>
      <c r="G428" t="s">
        <v>2912</v>
      </c>
      <c r="H428" t="s">
        <v>727</v>
      </c>
      <c r="I428" t="s">
        <v>727</v>
      </c>
      <c r="J428" t="s">
        <v>727</v>
      </c>
      <c r="K428" t="s">
        <v>2913</v>
      </c>
    </row>
    <row r="429" spans="2:11" ht="15">
      <c r="B429" s="1">
        <v>215</v>
      </c>
      <c r="C429" t="str">
        <f ca="1">IFERROR(__xludf.DUMMYFUNCTION((TRANSPOSE(ImportHTML("http://spending.data.al/sq/moneypower/view/id/215/year/2012",  "table", 2)))),"*Kategoria*")</f>
        <v>*Kategoria*</v>
      </c>
      <c r="E429" t="s">
        <v>719</v>
      </c>
      <c r="F429" t="s">
        <v>720</v>
      </c>
      <c r="G429" t="s">
        <v>721</v>
      </c>
      <c r="H429" t="s">
        <v>722</v>
      </c>
      <c r="I429" t="s">
        <v>723</v>
      </c>
      <c r="J429" t="s">
        <v>724</v>
      </c>
      <c r="K429" t="s">
        <v>685</v>
      </c>
    </row>
    <row r="430" spans="2:11" ht="15">
      <c r="B430" s="7"/>
      <c r="C430" t="s">
        <v>686</v>
      </c>
      <c r="E430" t="s">
        <v>2914</v>
      </c>
      <c r="F430" t="s">
        <v>2915</v>
      </c>
      <c r="G430" t="s">
        <v>2601</v>
      </c>
      <c r="H430" t="s">
        <v>727</v>
      </c>
      <c r="I430" t="s">
        <v>727</v>
      </c>
      <c r="J430" t="s">
        <v>727</v>
      </c>
      <c r="K430" t="s">
        <v>2916</v>
      </c>
    </row>
    <row r="431" spans="2:11" ht="15">
      <c r="B431" s="1">
        <v>216</v>
      </c>
      <c r="C431" t="str">
        <f ca="1">IFERROR(__xludf.DUMMYFUNCTION((TRANSPOSE(ImportHTML("http://spending.data.al/sq/moneypower/view/id/216/year/2012",  "table", 2)))),"*Kategoria*")</f>
        <v>*Kategoria*</v>
      </c>
      <c r="E431" t="s">
        <v>719</v>
      </c>
      <c r="F431" t="s">
        <v>720</v>
      </c>
      <c r="G431" t="s">
        <v>721</v>
      </c>
      <c r="H431" t="s">
        <v>722</v>
      </c>
      <c r="I431" t="s">
        <v>723</v>
      </c>
      <c r="J431" t="s">
        <v>724</v>
      </c>
      <c r="K431" t="s">
        <v>685</v>
      </c>
    </row>
    <row r="432" spans="2:11" ht="15">
      <c r="B432" s="7"/>
      <c r="C432" t="s">
        <v>686</v>
      </c>
      <c r="E432" t="s">
        <v>2917</v>
      </c>
      <c r="F432" t="s">
        <v>727</v>
      </c>
      <c r="G432" t="s">
        <v>727</v>
      </c>
      <c r="H432" t="s">
        <v>727</v>
      </c>
      <c r="I432" t="s">
        <v>727</v>
      </c>
      <c r="J432" t="s">
        <v>727</v>
      </c>
      <c r="K432" t="s">
        <v>707</v>
      </c>
    </row>
    <row r="433" spans="2:11" ht="15">
      <c r="B433" s="1">
        <v>217</v>
      </c>
      <c r="C433" t="str">
        <f ca="1">IFERROR(__xludf.DUMMYFUNCTION((TRANSPOSE(ImportHTML("http://spending.data.al/sq/moneypower/view/id/217/year/2012",  "table", 2)))),"*Kategoria*")</f>
        <v>*Kategoria*</v>
      </c>
      <c r="E433" t="s">
        <v>719</v>
      </c>
      <c r="F433" t="s">
        <v>720</v>
      </c>
      <c r="G433" t="s">
        <v>721</v>
      </c>
      <c r="H433" t="s">
        <v>722</v>
      </c>
      <c r="I433" t="s">
        <v>723</v>
      </c>
      <c r="J433" t="s">
        <v>724</v>
      </c>
      <c r="K433" t="s">
        <v>685</v>
      </c>
    </row>
    <row r="434" spans="2:11" ht="15">
      <c r="B434" s="7"/>
      <c r="C434" t="s">
        <v>686</v>
      </c>
      <c r="E434" t="s">
        <v>2918</v>
      </c>
      <c r="F434" t="s">
        <v>727</v>
      </c>
      <c r="G434" t="s">
        <v>727</v>
      </c>
      <c r="H434" t="s">
        <v>727</v>
      </c>
      <c r="I434" t="s">
        <v>2601</v>
      </c>
      <c r="J434" t="s">
        <v>2601</v>
      </c>
      <c r="K434" t="s">
        <v>727</v>
      </c>
    </row>
    <row r="435" spans="2:11" ht="15">
      <c r="B435" s="1">
        <v>218</v>
      </c>
      <c r="C435" t="str">
        <f ca="1">IFERROR(__xludf.DUMMYFUNCTION((TRANSPOSE(ImportHTML("http://spending.data.al/sq/moneypower/view/id/218/year/2012",  "table", 2)))),"*Kategoria*")</f>
        <v>*Kategoria*</v>
      </c>
      <c r="E435" t="s">
        <v>719</v>
      </c>
      <c r="F435" t="s">
        <v>720</v>
      </c>
      <c r="G435" t="s">
        <v>721</v>
      </c>
      <c r="H435" t="s">
        <v>722</v>
      </c>
      <c r="I435" t="s">
        <v>723</v>
      </c>
      <c r="J435" t="s">
        <v>724</v>
      </c>
      <c r="K435" t="s">
        <v>685</v>
      </c>
    </row>
    <row r="436" spans="2:11" ht="15">
      <c r="B436" s="7"/>
      <c r="C436" t="s">
        <v>686</v>
      </c>
      <c r="E436" t="s">
        <v>2919</v>
      </c>
      <c r="F436" t="s">
        <v>727</v>
      </c>
      <c r="G436" t="s">
        <v>2920</v>
      </c>
      <c r="H436" t="s">
        <v>727</v>
      </c>
      <c r="I436" t="s">
        <v>2921</v>
      </c>
      <c r="J436" t="s">
        <v>727</v>
      </c>
      <c r="K436" t="s">
        <v>727</v>
      </c>
    </row>
    <row r="437" spans="2:11" ht="15">
      <c r="B437" s="1">
        <v>219</v>
      </c>
      <c r="C437" t="str">
        <f ca="1">IFERROR(__xludf.DUMMYFUNCTION((TRANSPOSE(ImportHTML("http://spending.data.al/sq/moneypower/view/id/219/year/2012",  "table", 2)))),"*Kategoria*")</f>
        <v>*Kategoria*</v>
      </c>
      <c r="E437" t="s">
        <v>719</v>
      </c>
      <c r="F437" t="s">
        <v>720</v>
      </c>
      <c r="G437" t="s">
        <v>721</v>
      </c>
      <c r="H437" t="s">
        <v>722</v>
      </c>
      <c r="I437" t="s">
        <v>723</v>
      </c>
      <c r="J437" t="s">
        <v>724</v>
      </c>
      <c r="K437" t="s">
        <v>685</v>
      </c>
    </row>
    <row r="438" spans="2:11" ht="15">
      <c r="B438" s="7"/>
      <c r="C438" t="s">
        <v>686</v>
      </c>
      <c r="E438" t="s">
        <v>2922</v>
      </c>
      <c r="F438" t="s">
        <v>2923</v>
      </c>
      <c r="G438" t="s">
        <v>2924</v>
      </c>
      <c r="H438" t="s">
        <v>2601</v>
      </c>
      <c r="I438" t="s">
        <v>2601</v>
      </c>
      <c r="J438" t="s">
        <v>2601</v>
      </c>
      <c r="K438" t="s">
        <v>2601</v>
      </c>
    </row>
    <row r="439" spans="2:11" ht="15">
      <c r="B439" s="1">
        <v>220</v>
      </c>
      <c r="C439" t="str">
        <f ca="1">IFERROR(__xludf.DUMMYFUNCTION((TRANSPOSE(ImportHTML("http://spending.data.al/sq/moneypower/view/id/220/year/2012",  "table", 2)))),"*Kategoria*")</f>
        <v>*Kategoria*</v>
      </c>
      <c r="E439" t="s">
        <v>719</v>
      </c>
      <c r="F439" t="s">
        <v>720</v>
      </c>
      <c r="G439" t="s">
        <v>721</v>
      </c>
      <c r="H439" t="s">
        <v>722</v>
      </c>
      <c r="I439" t="s">
        <v>723</v>
      </c>
      <c r="J439" t="s">
        <v>724</v>
      </c>
      <c r="K439" t="s">
        <v>685</v>
      </c>
    </row>
    <row r="440" spans="2:11" ht="15">
      <c r="B440" s="7"/>
      <c r="C440" t="s">
        <v>686</v>
      </c>
      <c r="E440" t="s">
        <v>2925</v>
      </c>
      <c r="F440" t="s">
        <v>2926</v>
      </c>
      <c r="G440" t="s">
        <v>2927</v>
      </c>
      <c r="H440" t="s">
        <v>727</v>
      </c>
      <c r="I440" t="s">
        <v>727</v>
      </c>
      <c r="J440" t="s">
        <v>727</v>
      </c>
      <c r="K440" t="s">
        <v>2928</v>
      </c>
    </row>
    <row r="441" spans="2:11" ht="15">
      <c r="B441" s="1">
        <v>221</v>
      </c>
      <c r="C441" t="str">
        <f ca="1">IFERROR(__xludf.DUMMYFUNCTION((TRANSPOSE(ImportHTML("http://spending.data.al/sq/moneypower/view/id/221/year/2012",  "table", 2)))),"*Kategoria*")</f>
        <v>*Kategoria*</v>
      </c>
      <c r="E441" t="s">
        <v>719</v>
      </c>
      <c r="F441" t="s">
        <v>720</v>
      </c>
      <c r="G441" t="s">
        <v>721</v>
      </c>
      <c r="H441" t="s">
        <v>722</v>
      </c>
      <c r="I441" t="s">
        <v>723</v>
      </c>
      <c r="J441" t="s">
        <v>724</v>
      </c>
      <c r="K441" t="s">
        <v>685</v>
      </c>
    </row>
    <row r="442" spans="2:11" ht="15">
      <c r="B442" s="7"/>
      <c r="C442" t="s">
        <v>686</v>
      </c>
      <c r="E442" t="s">
        <v>2929</v>
      </c>
      <c r="F442" t="s">
        <v>2601</v>
      </c>
      <c r="G442" t="s">
        <v>2930</v>
      </c>
      <c r="H442" t="s">
        <v>2601</v>
      </c>
      <c r="I442" t="s">
        <v>2601</v>
      </c>
      <c r="J442" t="s">
        <v>2601</v>
      </c>
      <c r="K442" t="s">
        <v>2601</v>
      </c>
    </row>
    <row r="443" spans="2:11" ht="15">
      <c r="B443" s="1">
        <v>222</v>
      </c>
      <c r="C443" t="str">
        <f ca="1">IFERROR(__xludf.DUMMYFUNCTION((TRANSPOSE(ImportHTML("http://spending.data.al/sq/moneypower/view/id/222/year/2012",  "table", 2)))),"*Kategoria*")</f>
        <v>*Kategoria*</v>
      </c>
      <c r="D443" t="s">
        <v>2589</v>
      </c>
    </row>
    <row r="444" spans="2:11" ht="15">
      <c r="B444" s="7"/>
      <c r="C444" t="s">
        <v>686</v>
      </c>
    </row>
    <row r="445" spans="2:11" ht="15">
      <c r="B445" s="1">
        <v>223</v>
      </c>
      <c r="C445" t="str">
        <f ca="1">IFERROR(__xludf.DUMMYFUNCTION((TRANSPOSE(ImportHTML("http://spending.data.al/sq/moneypower/view/id/223/year/2012",  "table", 2)))),"*Kategoria*")</f>
        <v>*Kategoria*</v>
      </c>
      <c r="E445" t="s">
        <v>719</v>
      </c>
      <c r="F445" t="s">
        <v>720</v>
      </c>
      <c r="G445" t="s">
        <v>721</v>
      </c>
      <c r="H445" t="s">
        <v>722</v>
      </c>
      <c r="I445" t="s">
        <v>723</v>
      </c>
      <c r="J445" t="s">
        <v>724</v>
      </c>
      <c r="K445" t="s">
        <v>685</v>
      </c>
    </row>
    <row r="446" spans="2:11" ht="15">
      <c r="B446" s="7"/>
      <c r="C446" t="s">
        <v>686</v>
      </c>
      <c r="E446" t="s">
        <v>2931</v>
      </c>
      <c r="F446" t="s">
        <v>2932</v>
      </c>
      <c r="G446" t="s">
        <v>2601</v>
      </c>
      <c r="H446" t="s">
        <v>2601</v>
      </c>
      <c r="I446" t="s">
        <v>2601</v>
      </c>
      <c r="J446" t="s">
        <v>2601</v>
      </c>
      <c r="K446" t="s">
        <v>2601</v>
      </c>
    </row>
    <row r="447" spans="2:11" ht="15">
      <c r="B447" s="1">
        <v>224</v>
      </c>
      <c r="C447" t="str">
        <f ca="1">IFERROR(__xludf.DUMMYFUNCTION((TRANSPOSE(ImportHTML("http://spending.data.al/sq/moneypower/view/id/224/year/2012",  "table", 2)))),"*Kategoria*")</f>
        <v>*Kategoria*</v>
      </c>
      <c r="E447" t="s">
        <v>719</v>
      </c>
      <c r="F447" t="s">
        <v>720</v>
      </c>
      <c r="G447" t="s">
        <v>721</v>
      </c>
      <c r="H447" t="s">
        <v>722</v>
      </c>
      <c r="I447" t="s">
        <v>723</v>
      </c>
      <c r="J447" t="s">
        <v>724</v>
      </c>
      <c r="K447" t="s">
        <v>685</v>
      </c>
    </row>
    <row r="448" spans="2:11" ht="15">
      <c r="B448" s="7"/>
      <c r="C448" t="s">
        <v>686</v>
      </c>
      <c r="E448" t="s">
        <v>2933</v>
      </c>
      <c r="F448" t="s">
        <v>2934</v>
      </c>
      <c r="G448" t="s">
        <v>2935</v>
      </c>
      <c r="H448" t="s">
        <v>727</v>
      </c>
      <c r="I448" t="s">
        <v>2936</v>
      </c>
      <c r="J448" t="s">
        <v>727</v>
      </c>
      <c r="K448" t="s">
        <v>2937</v>
      </c>
    </row>
    <row r="449" spans="2:11" ht="15">
      <c r="B449" s="1">
        <v>225</v>
      </c>
      <c r="C449" t="str">
        <f ca="1">IFERROR(__xludf.DUMMYFUNCTION((TRANSPOSE(ImportHTML("http://spending.data.al/sq/moneypower/view/id/225/year/2012",  "table", 2)))),"*Kategoria*")</f>
        <v>*Kategoria*</v>
      </c>
      <c r="E449" t="s">
        <v>719</v>
      </c>
      <c r="F449" t="s">
        <v>720</v>
      </c>
      <c r="G449" t="s">
        <v>721</v>
      </c>
      <c r="H449" t="s">
        <v>722</v>
      </c>
      <c r="I449" t="s">
        <v>723</v>
      </c>
      <c r="J449" t="s">
        <v>724</v>
      </c>
      <c r="K449" t="s">
        <v>685</v>
      </c>
    </row>
    <row r="450" spans="2:11" ht="15">
      <c r="B450" s="7"/>
      <c r="C450" t="s">
        <v>686</v>
      </c>
      <c r="E450" t="s">
        <v>2938</v>
      </c>
      <c r="F450" t="s">
        <v>2939</v>
      </c>
      <c r="G450" t="s">
        <v>2940</v>
      </c>
      <c r="H450" t="s">
        <v>727</v>
      </c>
      <c r="I450" t="s">
        <v>727</v>
      </c>
      <c r="J450" t="s">
        <v>727</v>
      </c>
      <c r="K450" t="s">
        <v>727</v>
      </c>
    </row>
    <row r="451" spans="2:11" ht="15">
      <c r="B451" s="1">
        <v>226</v>
      </c>
      <c r="C451" t="str">
        <f ca="1">IFERROR(__xludf.DUMMYFUNCTION((TRANSPOSE(ImportHTML("http://spending.data.al/sq/moneypower/view/id/226/year/2012",  "table", 2)))),"*Kategoria*")</f>
        <v>*Kategoria*</v>
      </c>
      <c r="E451" t="s">
        <v>719</v>
      </c>
      <c r="F451" t="s">
        <v>720</v>
      </c>
      <c r="G451" t="s">
        <v>721</v>
      </c>
      <c r="H451" t="s">
        <v>722</v>
      </c>
      <c r="I451" t="s">
        <v>723</v>
      </c>
      <c r="J451" t="s">
        <v>724</v>
      </c>
      <c r="K451" t="s">
        <v>685</v>
      </c>
    </row>
    <row r="452" spans="2:11" ht="15">
      <c r="B452" s="7"/>
      <c r="C452" t="s">
        <v>686</v>
      </c>
      <c r="E452" t="s">
        <v>2941</v>
      </c>
      <c r="F452" t="s">
        <v>2942</v>
      </c>
      <c r="G452" t="s">
        <v>2943</v>
      </c>
      <c r="H452" t="s">
        <v>727</v>
      </c>
      <c r="I452" t="s">
        <v>727</v>
      </c>
      <c r="J452" t="s">
        <v>2944</v>
      </c>
      <c r="K452" t="s">
        <v>727</v>
      </c>
    </row>
    <row r="453" spans="2:11" ht="15">
      <c r="B453" s="1">
        <v>227</v>
      </c>
      <c r="C453" t="str">
        <f ca="1">IFERROR(__xludf.DUMMYFUNCTION((TRANSPOSE(ImportHTML("http://spending.data.al/sq/moneypower/view/id/227/year/2012",  "table", 2)))),"*Kategoria*")</f>
        <v>*Kategoria*</v>
      </c>
      <c r="E453" t="s">
        <v>719</v>
      </c>
      <c r="F453" t="s">
        <v>720</v>
      </c>
      <c r="G453" t="s">
        <v>721</v>
      </c>
      <c r="H453" t="s">
        <v>722</v>
      </c>
      <c r="I453" t="s">
        <v>723</v>
      </c>
      <c r="J453" t="s">
        <v>724</v>
      </c>
      <c r="K453" t="s">
        <v>685</v>
      </c>
    </row>
    <row r="454" spans="2:11" ht="15">
      <c r="B454" s="7"/>
      <c r="C454" t="s">
        <v>686</v>
      </c>
      <c r="E454" t="s">
        <v>2945</v>
      </c>
      <c r="F454" t="s">
        <v>727</v>
      </c>
      <c r="G454" t="s">
        <v>2946</v>
      </c>
      <c r="H454" t="s">
        <v>727</v>
      </c>
      <c r="I454" t="s">
        <v>727</v>
      </c>
      <c r="J454" t="s">
        <v>727</v>
      </c>
      <c r="K454" t="s">
        <v>727</v>
      </c>
    </row>
    <row r="455" spans="2:11" ht="15">
      <c r="B455" s="1">
        <v>228</v>
      </c>
      <c r="C455" t="str">
        <f ca="1">IFERROR(__xludf.DUMMYFUNCTION((TRANSPOSE(ImportHTML("http://spending.data.al/sq/moneypower/view/id/228/year/2012",  "table", 2)))),"*Kategoria*")</f>
        <v>*Kategoria*</v>
      </c>
      <c r="E455" t="s">
        <v>719</v>
      </c>
      <c r="F455" t="s">
        <v>720</v>
      </c>
      <c r="G455" t="s">
        <v>721</v>
      </c>
      <c r="H455" t="s">
        <v>722</v>
      </c>
      <c r="I455" t="s">
        <v>723</v>
      </c>
      <c r="J455" t="s">
        <v>724</v>
      </c>
      <c r="K455" t="s">
        <v>685</v>
      </c>
    </row>
    <row r="456" spans="2:11" ht="15">
      <c r="B456" s="7"/>
      <c r="C456" t="s">
        <v>686</v>
      </c>
      <c r="E456" t="s">
        <v>2947</v>
      </c>
      <c r="F456" t="s">
        <v>727</v>
      </c>
      <c r="G456" t="s">
        <v>2948</v>
      </c>
      <c r="H456" t="s">
        <v>727</v>
      </c>
      <c r="I456" t="s">
        <v>727</v>
      </c>
      <c r="J456" t="s">
        <v>727</v>
      </c>
      <c r="K456" t="s">
        <v>727</v>
      </c>
    </row>
    <row r="457" spans="2:11" ht="15">
      <c r="B457" s="1">
        <v>229</v>
      </c>
      <c r="C457" t="str">
        <f ca="1">IFERROR(__xludf.DUMMYFUNCTION((TRANSPOSE(ImportHTML("http://spending.data.al/sq/moneypower/view/id/229/year/2012",  "table", 2)))),"*Kategoria*")</f>
        <v>*Kategoria*</v>
      </c>
      <c r="E457" t="s">
        <v>719</v>
      </c>
      <c r="F457" t="s">
        <v>720</v>
      </c>
      <c r="G457" t="s">
        <v>721</v>
      </c>
      <c r="H457" t="s">
        <v>722</v>
      </c>
      <c r="I457" t="s">
        <v>723</v>
      </c>
      <c r="J457" t="s">
        <v>724</v>
      </c>
      <c r="K457" t="s">
        <v>685</v>
      </c>
    </row>
    <row r="458" spans="2:11" ht="15">
      <c r="B458" s="7"/>
      <c r="C458" t="s">
        <v>686</v>
      </c>
      <c r="E458" t="s">
        <v>727</v>
      </c>
      <c r="F458" t="s">
        <v>2949</v>
      </c>
      <c r="G458" t="s">
        <v>2950</v>
      </c>
      <c r="H458" t="s">
        <v>727</v>
      </c>
      <c r="I458" t="s">
        <v>727</v>
      </c>
      <c r="J458" t="s">
        <v>727</v>
      </c>
      <c r="K458" t="s">
        <v>2951</v>
      </c>
    </row>
    <row r="459" spans="2:11" ht="15">
      <c r="B459" s="1">
        <v>230</v>
      </c>
      <c r="C459" t="str">
        <f ca="1">IFERROR(__xludf.DUMMYFUNCTION((TRANSPOSE(ImportHTML("http://spending.data.al/sq/moneypower/view/id/230/year/2012",  "table", 2)))),"*Kategoria*")</f>
        <v>*Kategoria*</v>
      </c>
      <c r="E459" t="s">
        <v>719</v>
      </c>
      <c r="F459" t="s">
        <v>720</v>
      </c>
      <c r="G459" t="s">
        <v>721</v>
      </c>
      <c r="H459" t="s">
        <v>722</v>
      </c>
      <c r="I459" t="s">
        <v>723</v>
      </c>
      <c r="J459" t="s">
        <v>724</v>
      </c>
      <c r="K459" t="s">
        <v>685</v>
      </c>
    </row>
    <row r="460" spans="2:11" ht="15">
      <c r="B460" s="7"/>
      <c r="C460" t="s">
        <v>686</v>
      </c>
      <c r="E460" t="s">
        <v>2952</v>
      </c>
      <c r="F460" t="s">
        <v>727</v>
      </c>
      <c r="G460" t="s">
        <v>2953</v>
      </c>
      <c r="H460" t="s">
        <v>727</v>
      </c>
      <c r="I460" t="s">
        <v>727</v>
      </c>
      <c r="J460" t="s">
        <v>727</v>
      </c>
      <c r="K460" t="s">
        <v>727</v>
      </c>
    </row>
    <row r="461" spans="2:11" ht="15">
      <c r="B461" s="1">
        <v>231</v>
      </c>
      <c r="C461" t="str">
        <f ca="1">IFERROR(__xludf.DUMMYFUNCTION((TRANSPOSE(ImportHTML("http://spending.data.al/sq/moneypower/view/id/231/year/2012",  "table", 2)))),"*Kategoria*")</f>
        <v>*Kategoria*</v>
      </c>
      <c r="E461" t="s">
        <v>719</v>
      </c>
      <c r="F461" t="s">
        <v>720</v>
      </c>
      <c r="G461" t="s">
        <v>721</v>
      </c>
      <c r="H461" t="s">
        <v>722</v>
      </c>
      <c r="I461" t="s">
        <v>723</v>
      </c>
      <c r="J461" t="s">
        <v>724</v>
      </c>
      <c r="K461" t="s">
        <v>685</v>
      </c>
    </row>
    <row r="462" spans="2:11" ht="15">
      <c r="B462" s="7"/>
      <c r="C462" t="s">
        <v>686</v>
      </c>
      <c r="E462" t="s">
        <v>2952</v>
      </c>
      <c r="F462" t="s">
        <v>727</v>
      </c>
      <c r="G462" t="s">
        <v>2953</v>
      </c>
      <c r="H462" t="s">
        <v>727</v>
      </c>
      <c r="I462" t="s">
        <v>727</v>
      </c>
      <c r="J462" t="s">
        <v>727</v>
      </c>
      <c r="K462" t="s">
        <v>727</v>
      </c>
    </row>
    <row r="463" spans="2:11" ht="15">
      <c r="B463" s="1">
        <v>232</v>
      </c>
      <c r="C463" t="str">
        <f ca="1">IFERROR(__xludf.DUMMYFUNCTION((TRANSPOSE(ImportHTML("http://spending.data.al/sq/moneypower/view/id/232/year/2012",  "table", 2)))),"*Kategoria*")</f>
        <v>*Kategoria*</v>
      </c>
      <c r="D463" t="s">
        <v>2589</v>
      </c>
    </row>
    <row r="464" spans="2:11" ht="15">
      <c r="B464" s="7"/>
      <c r="C464" t="s">
        <v>686</v>
      </c>
    </row>
    <row r="465" spans="2:11" ht="15">
      <c r="B465" s="1">
        <v>233</v>
      </c>
      <c r="C465" t="str">
        <f ca="1">IFERROR(__xludf.DUMMYFUNCTION((TRANSPOSE(ImportHTML("http://spending.data.al/sq/moneypower/view/id/233/year/2012",  "table", 2)))),"*Kategoria*")</f>
        <v>*Kategoria*</v>
      </c>
      <c r="E465" t="s">
        <v>719</v>
      </c>
      <c r="F465" t="s">
        <v>720</v>
      </c>
      <c r="G465" t="s">
        <v>721</v>
      </c>
      <c r="H465" t="s">
        <v>722</v>
      </c>
      <c r="I465" t="s">
        <v>723</v>
      </c>
      <c r="J465" t="s">
        <v>724</v>
      </c>
      <c r="K465" t="s">
        <v>685</v>
      </c>
    </row>
    <row r="466" spans="2:11" ht="15">
      <c r="B466" s="7"/>
      <c r="C466" t="s">
        <v>686</v>
      </c>
      <c r="E466" t="s">
        <v>2954</v>
      </c>
      <c r="F466" t="s">
        <v>2955</v>
      </c>
      <c r="G466" t="s">
        <v>2956</v>
      </c>
      <c r="H466" t="s">
        <v>727</v>
      </c>
      <c r="I466" t="s">
        <v>727</v>
      </c>
      <c r="J466" t="s">
        <v>727</v>
      </c>
      <c r="K466" t="s">
        <v>727</v>
      </c>
    </row>
    <row r="467" spans="2:11" ht="15">
      <c r="B467" s="1">
        <v>234</v>
      </c>
      <c r="C467" t="str">
        <f ca="1">IFERROR(__xludf.DUMMYFUNCTION((TRANSPOSE(ImportHTML("http://spending.data.al/sq/moneypower/view/id/234/year/2012",  "table", 2)))),"*Kategoria*")</f>
        <v>*Kategoria*</v>
      </c>
      <c r="E467" t="s">
        <v>719</v>
      </c>
      <c r="F467" t="s">
        <v>720</v>
      </c>
      <c r="G467" t="s">
        <v>721</v>
      </c>
      <c r="H467" t="s">
        <v>722</v>
      </c>
      <c r="I467" t="s">
        <v>723</v>
      </c>
      <c r="J467" t="s">
        <v>724</v>
      </c>
      <c r="K467" t="s">
        <v>685</v>
      </c>
    </row>
    <row r="468" spans="2:11" ht="15">
      <c r="B468" s="7"/>
      <c r="C468" t="s">
        <v>686</v>
      </c>
      <c r="E468" t="s">
        <v>2957</v>
      </c>
      <c r="F468" t="s">
        <v>2595</v>
      </c>
      <c r="G468" t="s">
        <v>2958</v>
      </c>
      <c r="H468" t="s">
        <v>727</v>
      </c>
      <c r="I468" t="s">
        <v>727</v>
      </c>
      <c r="J468" t="s">
        <v>727</v>
      </c>
      <c r="K468" t="s">
        <v>727</v>
      </c>
    </row>
    <row r="469" spans="2:11" ht="15">
      <c r="B469" s="1">
        <v>235</v>
      </c>
      <c r="C469" t="str">
        <f ca="1">IFERROR(__xludf.DUMMYFUNCTION((TRANSPOSE(ImportHTML("http://spending.data.al/sq/moneypower/view/id/235/year/2012",  "table", 2)))),"*Kategoria*")</f>
        <v>*Kategoria*</v>
      </c>
      <c r="D469" t="s">
        <v>2589</v>
      </c>
    </row>
    <row r="470" spans="2:11" ht="15">
      <c r="B470" s="7"/>
      <c r="C470" t="s">
        <v>686</v>
      </c>
    </row>
    <row r="471" spans="2:11" ht="15">
      <c r="B471" s="1">
        <v>236</v>
      </c>
      <c r="C471" t="str">
        <f ca="1">IFERROR(__xludf.DUMMYFUNCTION((TRANSPOSE(ImportHTML("http://spending.data.al/sq/moneypower/view/id/236/year/2012",  "table", 2)))),"*Kategoria*")</f>
        <v>*Kategoria*</v>
      </c>
      <c r="D471" t="s">
        <v>2589</v>
      </c>
    </row>
    <row r="472" spans="2:11" ht="15">
      <c r="B472" s="7"/>
      <c r="C472" t="s">
        <v>686</v>
      </c>
    </row>
    <row r="473" spans="2:11" ht="15">
      <c r="B473" s="1">
        <v>237</v>
      </c>
      <c r="C473" t="str">
        <f ca="1">IFERROR(__xludf.DUMMYFUNCTION((TRANSPOSE(ImportHTML("http://spending.data.al/sq/moneypower/view/id/237/year/2012",  "table", 2)))),"*Kategoria*")</f>
        <v>*Kategoria*</v>
      </c>
      <c r="E473" t="s">
        <v>719</v>
      </c>
      <c r="F473" t="s">
        <v>720</v>
      </c>
      <c r="G473" t="s">
        <v>721</v>
      </c>
      <c r="H473" t="s">
        <v>722</v>
      </c>
      <c r="I473" t="s">
        <v>723</v>
      </c>
      <c r="J473" t="s">
        <v>724</v>
      </c>
      <c r="K473" t="s">
        <v>685</v>
      </c>
    </row>
    <row r="474" spans="2:11" ht="15">
      <c r="B474" s="7"/>
      <c r="C474" t="s">
        <v>686</v>
      </c>
      <c r="E474" t="s">
        <v>2584</v>
      </c>
      <c r="F474" t="s">
        <v>2585</v>
      </c>
      <c r="G474" t="s">
        <v>2586</v>
      </c>
      <c r="H474" t="s">
        <v>688</v>
      </c>
      <c r="I474" t="s">
        <v>2587</v>
      </c>
      <c r="J474" t="s">
        <v>688</v>
      </c>
      <c r="K474" t="s">
        <v>2588</v>
      </c>
    </row>
    <row r="475" spans="2:11" ht="15">
      <c r="B475" s="1">
        <v>238</v>
      </c>
      <c r="C475" t="str">
        <f ca="1">IFERROR(__xludf.DUMMYFUNCTION((TRANSPOSE(ImportHTML("http://spending.data.al/sq/moneypower/view/id/238/year/2012",  "table", 2)))),"*Kategoria*")</f>
        <v>*Kategoria*</v>
      </c>
      <c r="D475" t="s">
        <v>2589</v>
      </c>
    </row>
    <row r="476" spans="2:11" ht="15">
      <c r="B476" s="7"/>
      <c r="C476" t="s">
        <v>686</v>
      </c>
    </row>
    <row r="477" spans="2:11" ht="15">
      <c r="B477" s="1">
        <v>239</v>
      </c>
      <c r="C477" t="str">
        <f ca="1">IFERROR(__xludf.DUMMYFUNCTION((TRANSPOSE(ImportHTML("http://spending.data.al/sq/moneypower/view/id/239/year/2012",  "table", 2)))),"*Kategoria*")</f>
        <v>*Kategoria*</v>
      </c>
      <c r="D477" t="s">
        <v>2589</v>
      </c>
    </row>
    <row r="478" spans="2:11" ht="15">
      <c r="B478" s="7"/>
      <c r="C478" t="s">
        <v>686</v>
      </c>
    </row>
    <row r="479" spans="2:11" ht="15">
      <c r="B479" s="1">
        <v>240</v>
      </c>
      <c r="C479" t="str">
        <f ca="1">IFERROR(__xludf.DUMMYFUNCTION((TRANSPOSE(ImportHTML("http://spending.data.al/sq/moneypower/view/id/240/year/2012",  "table", 2)))),"*Kategoria*")</f>
        <v>*Kategoria*</v>
      </c>
      <c r="D479" t="s">
        <v>2589</v>
      </c>
    </row>
    <row r="480" spans="2:11" ht="15">
      <c r="B480" s="7"/>
      <c r="C480" t="s">
        <v>686</v>
      </c>
    </row>
    <row r="481" spans="2:11" ht="15">
      <c r="B481" s="1">
        <v>241</v>
      </c>
      <c r="C481" t="str">
        <f ca="1">IFERROR(__xludf.DUMMYFUNCTION((TRANSPOSE(ImportHTML("http://spending.data.al/sq/moneypower/view/id/241/year/2012",  "table", 2)))),"*Kategoria*")</f>
        <v>*Kategoria*</v>
      </c>
      <c r="D481" t="s">
        <v>2589</v>
      </c>
    </row>
    <row r="482" spans="2:11" ht="15">
      <c r="B482" s="7"/>
      <c r="C482" t="s">
        <v>686</v>
      </c>
    </row>
    <row r="483" spans="2:11" ht="15">
      <c r="B483" s="1">
        <v>242</v>
      </c>
      <c r="C483" t="str">
        <f ca="1">IFERROR(__xludf.DUMMYFUNCTION((TRANSPOSE(ImportHTML("http://spending.data.al/sq/moneypower/view/id/242/year/2012",  "table", 2)))),"*Kategoria*")</f>
        <v>*Kategoria*</v>
      </c>
      <c r="D483" t="s">
        <v>2589</v>
      </c>
    </row>
    <row r="484" spans="2:11" ht="15">
      <c r="B484" s="7"/>
      <c r="C484" t="s">
        <v>686</v>
      </c>
    </row>
    <row r="485" spans="2:11" ht="15">
      <c r="B485" s="1">
        <v>243</v>
      </c>
      <c r="C485" t="str">
        <f ca="1">IFERROR(__xludf.DUMMYFUNCTION((TRANSPOSE(ImportHTML("http://spending.data.al/sq/moneypower/view/id/243/year/2012",  "table", 2)))),"*Kategoria*")</f>
        <v>*Kategoria*</v>
      </c>
      <c r="D485" t="s">
        <v>2589</v>
      </c>
    </row>
    <row r="486" spans="2:11" ht="15">
      <c r="B486" s="7"/>
      <c r="C486" t="s">
        <v>686</v>
      </c>
    </row>
    <row r="487" spans="2:11" ht="15">
      <c r="B487" s="1">
        <v>244</v>
      </c>
      <c r="C487" t="str">
        <f ca="1">IFERROR(__xludf.DUMMYFUNCTION((TRANSPOSE(ImportHTML("http://spending.data.al/sq/moneypower/view/id/244/year/2012",  "table", 2)))),"*Kategoria*")</f>
        <v>*Kategoria*</v>
      </c>
      <c r="D487" t="s">
        <v>2589</v>
      </c>
    </row>
    <row r="488" spans="2:11" ht="15">
      <c r="B488" s="7"/>
      <c r="C488" t="s">
        <v>686</v>
      </c>
    </row>
    <row r="489" spans="2:11" ht="15">
      <c r="B489" s="1">
        <v>245</v>
      </c>
      <c r="C489" t="str">
        <f ca="1">IFERROR(__xludf.DUMMYFUNCTION((TRANSPOSE(ImportHTML("http://spending.data.al/sq/moneypower/view/id/245/year/2012",  "table", 2)))),"*Kategoria*")</f>
        <v>*Kategoria*</v>
      </c>
      <c r="D489" t="s">
        <v>2589</v>
      </c>
    </row>
    <row r="490" spans="2:11" ht="15">
      <c r="B490" s="7"/>
      <c r="C490" t="s">
        <v>686</v>
      </c>
    </row>
    <row r="491" spans="2:11" ht="15">
      <c r="B491" s="1">
        <v>246</v>
      </c>
      <c r="C491" t="str">
        <f ca="1">IFERROR(__xludf.DUMMYFUNCTION((TRANSPOSE(ImportHTML("http://spending.data.al/sq/moneypower/view/id/246/year/2012",  "table", 2)))),"*Kategoria*")</f>
        <v>*Kategoria*</v>
      </c>
      <c r="D491" t="s">
        <v>2589</v>
      </c>
    </row>
    <row r="492" spans="2:11" ht="15">
      <c r="B492" s="7"/>
      <c r="C492" t="s">
        <v>686</v>
      </c>
    </row>
    <row r="493" spans="2:11" ht="15">
      <c r="B493" s="1">
        <v>247</v>
      </c>
      <c r="C493" t="str">
        <f ca="1">IFERROR(__xludf.DUMMYFUNCTION((TRANSPOSE(ImportHTML("http://spending.data.al/sq/moneypower/view/id/247/year/2012",  "table", 2)))),"*Kategoria*")</f>
        <v>*Kategoria*</v>
      </c>
      <c r="D493" t="s">
        <v>2589</v>
      </c>
    </row>
    <row r="494" spans="2:11" ht="15">
      <c r="B494" s="7"/>
      <c r="C494" t="s">
        <v>686</v>
      </c>
    </row>
    <row r="495" spans="2:11" ht="15">
      <c r="B495" s="1">
        <v>248</v>
      </c>
      <c r="C495" t="str">
        <f ca="1">IFERROR(__xludf.DUMMYFUNCTION((TRANSPOSE(ImportHTML("http://spending.data.al/sq/moneypower/view/id/248/year/2012",  "table", 2)))),"*Kategoria*")</f>
        <v>*Kategoria*</v>
      </c>
      <c r="E495" t="s">
        <v>719</v>
      </c>
      <c r="F495" t="s">
        <v>720</v>
      </c>
      <c r="G495" t="s">
        <v>721</v>
      </c>
      <c r="H495" t="s">
        <v>722</v>
      </c>
      <c r="I495" t="s">
        <v>723</v>
      </c>
      <c r="J495" t="s">
        <v>724</v>
      </c>
      <c r="K495" t="s">
        <v>685</v>
      </c>
    </row>
    <row r="496" spans="2:11" ht="15">
      <c r="B496" s="7"/>
      <c r="C496" t="s">
        <v>686</v>
      </c>
      <c r="E496" t="s">
        <v>2590</v>
      </c>
      <c r="F496" t="s">
        <v>2591</v>
      </c>
      <c r="G496" t="s">
        <v>2592</v>
      </c>
      <c r="H496" t="s">
        <v>727</v>
      </c>
      <c r="I496" t="s">
        <v>727</v>
      </c>
      <c r="J496" t="s">
        <v>727</v>
      </c>
      <c r="K496" t="s">
        <v>2593</v>
      </c>
    </row>
    <row r="497" spans="2:11" ht="15">
      <c r="B497" s="1">
        <v>249</v>
      </c>
      <c r="C497" t="str">
        <f ca="1">IFERROR(__xludf.DUMMYFUNCTION((TRANSPOSE(ImportHTML("http://spending.data.al/sq/moneypower/view/id/249/year/2012",  "table", 2)))),"*Kategoria*")</f>
        <v>*Kategoria*</v>
      </c>
      <c r="D497" t="s">
        <v>2589</v>
      </c>
    </row>
    <row r="498" spans="2:11" ht="15">
      <c r="B498" s="7"/>
      <c r="C498" t="s">
        <v>686</v>
      </c>
    </row>
    <row r="499" spans="2:11" ht="15">
      <c r="B499" s="1">
        <v>250</v>
      </c>
      <c r="C499" t="str">
        <f ca="1">IFERROR(__xludf.DUMMYFUNCTION((TRANSPOSE(ImportHTML("http://spending.data.al/sq/moneypower/view/id/250/year/2012",  "table", 2)))),"*Kategoria*")</f>
        <v>*Kategoria*</v>
      </c>
      <c r="D499" t="s">
        <v>2589</v>
      </c>
    </row>
    <row r="500" spans="2:11" ht="15">
      <c r="B500" s="7"/>
      <c r="C500" t="s">
        <v>686</v>
      </c>
    </row>
    <row r="501" spans="2:11" ht="15">
      <c r="B501" s="1">
        <v>251</v>
      </c>
      <c r="C501" t="str">
        <f ca="1">IFERROR(__xludf.DUMMYFUNCTION((TRANSPOSE(ImportHTML("http://spending.data.al/sq/moneypower/view/id/251/year/2012",  "table", 2)))),"*Kategoria*")</f>
        <v>*Kategoria*</v>
      </c>
      <c r="D501" t="s">
        <v>2589</v>
      </c>
    </row>
    <row r="502" spans="2:11" ht="15">
      <c r="B502" s="7"/>
      <c r="C502" t="s">
        <v>686</v>
      </c>
    </row>
    <row r="503" spans="2:11" ht="15">
      <c r="B503" s="1">
        <v>252</v>
      </c>
      <c r="C503" t="str">
        <f ca="1">IFERROR(__xludf.DUMMYFUNCTION((TRANSPOSE(ImportHTML("http://spending.data.al/sq/moneypower/view/id/252/year/2012",  "table", 2)))),"*Kategoria*")</f>
        <v>*Kategoria*</v>
      </c>
      <c r="E503" t="s">
        <v>719</v>
      </c>
      <c r="F503" t="s">
        <v>720</v>
      </c>
      <c r="G503" t="s">
        <v>721</v>
      </c>
      <c r="H503" t="s">
        <v>722</v>
      </c>
      <c r="I503" t="s">
        <v>723</v>
      </c>
      <c r="J503" t="s">
        <v>724</v>
      </c>
      <c r="K503" t="s">
        <v>685</v>
      </c>
    </row>
    <row r="504" spans="2:11" ht="15">
      <c r="B504" s="7"/>
      <c r="C504" t="s">
        <v>686</v>
      </c>
      <c r="E504" t="s">
        <v>2594</v>
      </c>
      <c r="F504" t="s">
        <v>2595</v>
      </c>
      <c r="G504" t="s">
        <v>2596</v>
      </c>
      <c r="H504" t="s">
        <v>727</v>
      </c>
      <c r="I504" t="s">
        <v>727</v>
      </c>
      <c r="J504" t="s">
        <v>727</v>
      </c>
      <c r="K504" t="s">
        <v>727</v>
      </c>
    </row>
    <row r="505" spans="2:11" ht="15">
      <c r="B505" s="1">
        <v>253</v>
      </c>
      <c r="C505" t="str">
        <f ca="1">IFERROR(__xludf.DUMMYFUNCTION((TRANSPOSE(ImportHTML("http://spending.data.al/sq/moneypower/view/id/253/year/2012",  "table", 2)))),"*Kategoria*")</f>
        <v>*Kategoria*</v>
      </c>
      <c r="E505" t="s">
        <v>719</v>
      </c>
      <c r="F505" t="s">
        <v>720</v>
      </c>
      <c r="G505" t="s">
        <v>721</v>
      </c>
      <c r="H505" t="s">
        <v>722</v>
      </c>
      <c r="I505" t="s">
        <v>723</v>
      </c>
      <c r="J505" t="s">
        <v>724</v>
      </c>
      <c r="K505" t="s">
        <v>685</v>
      </c>
    </row>
    <row r="506" spans="2:11" ht="15">
      <c r="B506" s="7"/>
      <c r="C506" t="s">
        <v>686</v>
      </c>
      <c r="E506" t="s">
        <v>2597</v>
      </c>
      <c r="F506" t="s">
        <v>2598</v>
      </c>
      <c r="G506" t="s">
        <v>2599</v>
      </c>
      <c r="H506" t="s">
        <v>727</v>
      </c>
      <c r="I506" t="s">
        <v>727</v>
      </c>
      <c r="J506" t="s">
        <v>727</v>
      </c>
      <c r="K506" t="s">
        <v>727</v>
      </c>
    </row>
    <row r="507" spans="2:11" ht="15">
      <c r="B507" s="1">
        <v>254</v>
      </c>
      <c r="C507" t="str">
        <f ca="1">IFERROR(__xludf.DUMMYFUNCTION((TRANSPOSE(ImportHTML("http://spending.data.al/sq/moneypower/view/id/254/year/2012",  "table", 2)))),"*Kategoria*")</f>
        <v>*Kategoria*</v>
      </c>
      <c r="D507" t="s">
        <v>2589</v>
      </c>
    </row>
    <row r="508" spans="2:11" ht="15">
      <c r="B508" s="7"/>
      <c r="C508" t="s">
        <v>686</v>
      </c>
    </row>
    <row r="509" spans="2:11" ht="15">
      <c r="B509" s="1">
        <v>255</v>
      </c>
      <c r="C509" t="str">
        <f ca="1">IFERROR(__xludf.DUMMYFUNCTION((TRANSPOSE(ImportHTML("http://spending.data.al/sq/moneypower/view/id/255/year/2012",  "table", 2)))),"*Kategoria*")</f>
        <v>*Kategoria*</v>
      </c>
      <c r="D509" t="s">
        <v>2589</v>
      </c>
    </row>
    <row r="510" spans="2:11" ht="15">
      <c r="B510" s="7"/>
      <c r="C510" t="s">
        <v>686</v>
      </c>
    </row>
    <row r="511" spans="2:11" ht="15">
      <c r="B511" s="1">
        <v>256</v>
      </c>
      <c r="C511" t="str">
        <f ca="1">IFERROR(__xludf.DUMMYFUNCTION((TRANSPOSE(ImportHTML("http://spending.data.al/sq/moneypower/view/id/256/year/2012",  "table", 2)))),"*Kategoria*")</f>
        <v>*Kategoria*</v>
      </c>
      <c r="D511" t="s">
        <v>2589</v>
      </c>
    </row>
    <row r="512" spans="2:11" ht="15">
      <c r="B512" s="7"/>
      <c r="C512" t="s">
        <v>686</v>
      </c>
    </row>
    <row r="513" spans="2:11" ht="15">
      <c r="B513" s="1">
        <v>257</v>
      </c>
      <c r="C513" t="str">
        <f ca="1">IFERROR(__xludf.DUMMYFUNCTION((TRANSPOSE(ImportHTML("http://spending.data.al/sq/moneypower/view/id/257/year/2012",  "table", 2)))),"*Kategoria*")</f>
        <v>*Kategoria*</v>
      </c>
      <c r="D513" t="s">
        <v>2589</v>
      </c>
    </row>
    <row r="514" spans="2:11" ht="15">
      <c r="B514" s="7"/>
      <c r="C514" t="s">
        <v>686</v>
      </c>
    </row>
    <row r="515" spans="2:11" ht="15">
      <c r="B515" s="1">
        <v>258</v>
      </c>
      <c r="C515" t="str">
        <f ca="1">IFERROR(__xludf.DUMMYFUNCTION((TRANSPOSE(ImportHTML("http://spending.data.al/sq/moneypower/view/id/258/year/2012",  "table", 2)))),"*Kategoria*")</f>
        <v>*Kategoria*</v>
      </c>
      <c r="E515" t="s">
        <v>719</v>
      </c>
      <c r="F515" t="s">
        <v>720</v>
      </c>
      <c r="G515" t="s">
        <v>721</v>
      </c>
      <c r="H515" t="s">
        <v>722</v>
      </c>
      <c r="I515" t="s">
        <v>723</v>
      </c>
      <c r="J515" t="s">
        <v>724</v>
      </c>
      <c r="K515" t="s">
        <v>685</v>
      </c>
    </row>
    <row r="516" spans="2:11" ht="15">
      <c r="B516" s="7"/>
      <c r="C516" t="s">
        <v>686</v>
      </c>
      <c r="E516" t="s">
        <v>2600</v>
      </c>
      <c r="F516" t="s">
        <v>2601</v>
      </c>
      <c r="G516" t="s">
        <v>2602</v>
      </c>
      <c r="H516" t="s">
        <v>2601</v>
      </c>
      <c r="I516" t="s">
        <v>2601</v>
      </c>
      <c r="J516" t="s">
        <v>2601</v>
      </c>
      <c r="K516" t="s">
        <v>2601</v>
      </c>
    </row>
    <row r="517" spans="2:11" ht="15">
      <c r="B517" s="1">
        <v>259</v>
      </c>
      <c r="C517" t="str">
        <f ca="1">IFERROR(__xludf.DUMMYFUNCTION((TRANSPOSE(ImportHTML("http://spending.data.al/sq/moneypower/view/id/259/year/2012",  "table", 2)))),"*Kategoria*")</f>
        <v>*Kategoria*</v>
      </c>
      <c r="D517" t="s">
        <v>2589</v>
      </c>
    </row>
    <row r="518" spans="2:11" ht="15">
      <c r="B518" s="7"/>
      <c r="C518" t="s">
        <v>686</v>
      </c>
    </row>
    <row r="519" spans="2:11" ht="15">
      <c r="B519" s="1">
        <v>260</v>
      </c>
      <c r="C519" t="str">
        <f ca="1">IFERROR(__xludf.DUMMYFUNCTION((TRANSPOSE(ImportHTML("http://spending.data.al/sq/moneypower/view/id/260/year/2012",  "table", 2)))),"*Kategoria*")</f>
        <v>*Kategoria*</v>
      </c>
      <c r="D519" t="s">
        <v>2589</v>
      </c>
    </row>
    <row r="520" spans="2:11" ht="15">
      <c r="B520" s="7"/>
      <c r="C520" t="s">
        <v>686</v>
      </c>
    </row>
    <row r="521" spans="2:11" ht="15">
      <c r="B521" s="1">
        <v>261</v>
      </c>
      <c r="C521" t="str">
        <f ca="1">IFERROR(__xludf.DUMMYFUNCTION((TRANSPOSE(ImportHTML("http://spending.data.al/sq/moneypower/view/id/261/year/2012",  "table", 2)))),"*Kategoria*")</f>
        <v>*Kategoria*</v>
      </c>
      <c r="D521" t="s">
        <v>2589</v>
      </c>
    </row>
    <row r="522" spans="2:11" ht="15">
      <c r="B522" s="7"/>
      <c r="C522" t="s">
        <v>686</v>
      </c>
    </row>
    <row r="523" spans="2:11" ht="15">
      <c r="B523" s="1">
        <v>262</v>
      </c>
      <c r="C523" t="str">
        <f ca="1">IFERROR(__xludf.DUMMYFUNCTION((TRANSPOSE(ImportHTML("http://spending.data.al/sq/moneypower/view/id/262/year/2012",  "table", 2)))),"*Kategoria*")</f>
        <v>*Kategoria*</v>
      </c>
      <c r="D523" t="s">
        <v>2589</v>
      </c>
    </row>
    <row r="524" spans="2:11" ht="15">
      <c r="B524" s="7"/>
      <c r="C524" t="s">
        <v>686</v>
      </c>
    </row>
    <row r="525" spans="2:11" ht="15">
      <c r="B525" s="1">
        <v>263</v>
      </c>
      <c r="C525" t="str">
        <f ca="1">IFERROR(__xludf.DUMMYFUNCTION((TRANSPOSE(ImportHTML("http://spending.data.al/sq/moneypower/view/id/263/year/2012",  "table", 2)))),"*Kategoria*")</f>
        <v>*Kategoria*</v>
      </c>
      <c r="D525" t="s">
        <v>2589</v>
      </c>
    </row>
    <row r="526" spans="2:11" ht="15">
      <c r="B526" s="7"/>
      <c r="C526" t="s">
        <v>686</v>
      </c>
    </row>
    <row r="527" spans="2:11" ht="15">
      <c r="B527" s="1">
        <v>264</v>
      </c>
      <c r="C527" t="str">
        <f ca="1">IFERROR(__xludf.DUMMYFUNCTION((TRANSPOSE(ImportHTML("http://spending.data.al/sq/moneypower/view/id/264/year/2012",  "table", 2)))),"*Kategoria*")</f>
        <v>*Kategoria*</v>
      </c>
      <c r="D527" t="s">
        <v>2589</v>
      </c>
    </row>
    <row r="528" spans="2:11" ht="15">
      <c r="B528" s="7"/>
      <c r="C528" t="s">
        <v>686</v>
      </c>
    </row>
    <row r="529" spans="2:11" ht="15">
      <c r="B529" s="1">
        <v>265</v>
      </c>
      <c r="C529" t="str">
        <f ca="1">IFERROR(__xludf.DUMMYFUNCTION((TRANSPOSE(ImportHTML("http://spending.data.al/sq/moneypower/view/id/265/year/2012",  "table", 2)))),"*Kategoria*")</f>
        <v>*Kategoria*</v>
      </c>
      <c r="D529" t="s">
        <v>2589</v>
      </c>
    </row>
    <row r="530" spans="2:11" ht="15">
      <c r="B530" s="7"/>
      <c r="C530" t="s">
        <v>686</v>
      </c>
    </row>
    <row r="531" spans="2:11" ht="15">
      <c r="B531" s="1">
        <v>266</v>
      </c>
      <c r="C531" t="str">
        <f ca="1">IFERROR(__xludf.DUMMYFUNCTION((TRANSPOSE(ImportHTML("http://spending.data.al/sq/moneypower/view/id/266/year/2012",  "table", 2)))),"*Kategoria*")</f>
        <v>*Kategoria*</v>
      </c>
      <c r="D531" t="s">
        <v>2589</v>
      </c>
    </row>
    <row r="532" spans="2:11" ht="15">
      <c r="B532" s="7"/>
      <c r="C532" t="s">
        <v>686</v>
      </c>
    </row>
    <row r="533" spans="2:11" ht="15">
      <c r="B533" s="1">
        <v>267</v>
      </c>
      <c r="C533" t="str">
        <f ca="1">IFERROR(__xludf.DUMMYFUNCTION((TRANSPOSE(ImportHTML("http://spending.data.al/sq/moneypower/view/id/267/year/2012",  "table", 2)))),"*Kategoria*")</f>
        <v>*Kategoria*</v>
      </c>
      <c r="E533" t="s">
        <v>719</v>
      </c>
      <c r="F533" t="s">
        <v>720</v>
      </c>
      <c r="G533" t="s">
        <v>721</v>
      </c>
      <c r="H533" t="s">
        <v>722</v>
      </c>
      <c r="I533" t="s">
        <v>723</v>
      </c>
      <c r="J533" t="s">
        <v>724</v>
      </c>
      <c r="K533" t="s">
        <v>685</v>
      </c>
    </row>
    <row r="534" spans="2:11" ht="15">
      <c r="B534" s="7"/>
      <c r="C534" t="s">
        <v>686</v>
      </c>
      <c r="E534" t="s">
        <v>2603</v>
      </c>
      <c r="F534" t="s">
        <v>727</v>
      </c>
      <c r="G534" t="s">
        <v>2604</v>
      </c>
      <c r="H534" t="s">
        <v>727</v>
      </c>
      <c r="I534" t="s">
        <v>727</v>
      </c>
      <c r="J534" t="s">
        <v>727</v>
      </c>
      <c r="K534" t="s">
        <v>2605</v>
      </c>
    </row>
    <row r="535" spans="2:11" ht="15">
      <c r="B535" s="1">
        <v>268</v>
      </c>
      <c r="C535" t="str">
        <f ca="1">IFERROR(__xludf.DUMMYFUNCTION((TRANSPOSE(ImportHTML("http://spending.data.al/sq/moneypower/view/id/268/year/2012",  "table", 2)))),"*Kategoria*")</f>
        <v>*Kategoria*</v>
      </c>
      <c r="E535" t="s">
        <v>719</v>
      </c>
      <c r="F535" t="s">
        <v>720</v>
      </c>
      <c r="G535" t="s">
        <v>721</v>
      </c>
      <c r="H535" t="s">
        <v>722</v>
      </c>
      <c r="I535" t="s">
        <v>723</v>
      </c>
      <c r="J535" t="s">
        <v>724</v>
      </c>
      <c r="K535" t="s">
        <v>685</v>
      </c>
    </row>
    <row r="536" spans="2:11" ht="15">
      <c r="B536" s="7"/>
      <c r="C536" t="s">
        <v>686</v>
      </c>
      <c r="E536" t="s">
        <v>2606</v>
      </c>
      <c r="F536" t="s">
        <v>2607</v>
      </c>
      <c r="G536" t="s">
        <v>2608</v>
      </c>
      <c r="H536" t="s">
        <v>727</v>
      </c>
      <c r="I536" t="s">
        <v>727</v>
      </c>
      <c r="J536" t="s">
        <v>727</v>
      </c>
      <c r="K536" t="s">
        <v>727</v>
      </c>
    </row>
    <row r="537" spans="2:11" ht="15">
      <c r="B537" s="1">
        <v>269</v>
      </c>
      <c r="C537" t="str">
        <f ca="1">IFERROR(__xludf.DUMMYFUNCTION((TRANSPOSE(ImportHTML("http://spending.data.al/sq/moneypower/view/id/269/year/2012",  "table", 2)))),"*Kategoria*")</f>
        <v>*Kategoria*</v>
      </c>
      <c r="E537" t="s">
        <v>719</v>
      </c>
      <c r="F537" t="s">
        <v>720</v>
      </c>
      <c r="G537" t="s">
        <v>721</v>
      </c>
      <c r="H537" t="s">
        <v>722</v>
      </c>
      <c r="I537" t="s">
        <v>723</v>
      </c>
      <c r="J537" t="s">
        <v>724</v>
      </c>
      <c r="K537" t="s">
        <v>685</v>
      </c>
    </row>
    <row r="538" spans="2:11" ht="15">
      <c r="B538" s="7"/>
      <c r="C538" t="s">
        <v>686</v>
      </c>
      <c r="E538" t="s">
        <v>2609</v>
      </c>
      <c r="F538" t="s">
        <v>2610</v>
      </c>
      <c r="G538" t="s">
        <v>2611</v>
      </c>
      <c r="H538" t="s">
        <v>727</v>
      </c>
      <c r="I538" t="s">
        <v>2612</v>
      </c>
      <c r="J538" t="s">
        <v>727</v>
      </c>
      <c r="K538" t="s">
        <v>2613</v>
      </c>
    </row>
    <row r="539" spans="2:11" ht="15">
      <c r="B539" s="1">
        <v>270</v>
      </c>
      <c r="C539" t="str">
        <f ca="1">IFERROR(__xludf.DUMMYFUNCTION((TRANSPOSE(ImportHTML("http://spending.data.al/sq/moneypower/view/id/270/year/2012",  "table", 2)))),"*Kategoria*")</f>
        <v>*Kategoria*</v>
      </c>
      <c r="D539" t="s">
        <v>2589</v>
      </c>
    </row>
    <row r="540" spans="2:11" ht="15">
      <c r="B540" s="7"/>
      <c r="C540" t="s">
        <v>686</v>
      </c>
    </row>
    <row r="541" spans="2:11" ht="15">
      <c r="B541" s="1">
        <v>271</v>
      </c>
      <c r="C541" t="str">
        <f ca="1">IFERROR(__xludf.DUMMYFUNCTION((TRANSPOSE(ImportHTML("http://spending.data.al/sq/moneypower/view/id/271/year/2012",  "table", 2)))),"*Kategoria*")</f>
        <v>*Kategoria*</v>
      </c>
      <c r="E541" t="s">
        <v>719</v>
      </c>
      <c r="F541" t="s">
        <v>720</v>
      </c>
      <c r="G541" t="s">
        <v>721</v>
      </c>
      <c r="H541" t="s">
        <v>722</v>
      </c>
      <c r="I541" t="s">
        <v>723</v>
      </c>
      <c r="J541" t="s">
        <v>724</v>
      </c>
      <c r="K541" t="s">
        <v>685</v>
      </c>
    </row>
    <row r="542" spans="2:11" ht="15">
      <c r="B542" s="7"/>
      <c r="C542" t="s">
        <v>686</v>
      </c>
      <c r="E542" t="s">
        <v>2614</v>
      </c>
      <c r="F542" t="s">
        <v>2615</v>
      </c>
      <c r="G542" t="s">
        <v>727</v>
      </c>
      <c r="H542" t="s">
        <v>727</v>
      </c>
      <c r="I542" t="s">
        <v>727</v>
      </c>
      <c r="J542" t="s">
        <v>727</v>
      </c>
      <c r="K542" t="s">
        <v>727</v>
      </c>
    </row>
    <row r="543" spans="2:11" ht="15">
      <c r="B543" s="1">
        <v>272</v>
      </c>
      <c r="C543" t="str">
        <f ca="1">IFERROR(__xludf.DUMMYFUNCTION((TRANSPOSE(ImportHTML("http://spending.data.al/sq/moneypower/view/id/272/year/2012",  "table", 2)))),"*Kategoria*")</f>
        <v>*Kategoria*</v>
      </c>
      <c r="D543" t="s">
        <v>2589</v>
      </c>
    </row>
    <row r="544" spans="2:11" ht="15">
      <c r="B544" s="7"/>
      <c r="C544" t="s">
        <v>686</v>
      </c>
    </row>
    <row r="545" spans="2:11" ht="15">
      <c r="B545" s="1">
        <v>273</v>
      </c>
      <c r="C545" t="str">
        <f ca="1">IFERROR(__xludf.DUMMYFUNCTION((TRANSPOSE(ImportHTML("http://spending.data.al/sq/moneypower/view/id/273/year/2012",  "table", 2)))),"*Kategoria*")</f>
        <v>*Kategoria*</v>
      </c>
      <c r="E545" t="s">
        <v>719</v>
      </c>
      <c r="F545" t="s">
        <v>720</v>
      </c>
      <c r="G545" t="s">
        <v>721</v>
      </c>
      <c r="H545" t="s">
        <v>722</v>
      </c>
      <c r="I545" t="s">
        <v>723</v>
      </c>
      <c r="J545" t="s">
        <v>724</v>
      </c>
      <c r="K545" t="s">
        <v>685</v>
      </c>
    </row>
    <row r="546" spans="2:11" ht="15">
      <c r="B546" s="7"/>
      <c r="C546" t="s">
        <v>686</v>
      </c>
      <c r="E546" t="s">
        <v>2616</v>
      </c>
      <c r="F546" t="s">
        <v>2617</v>
      </c>
      <c r="G546" t="s">
        <v>2618</v>
      </c>
      <c r="H546" t="s">
        <v>707</v>
      </c>
      <c r="I546" t="s">
        <v>2619</v>
      </c>
      <c r="J546" t="s">
        <v>688</v>
      </c>
      <c r="K546" t="s">
        <v>688</v>
      </c>
    </row>
    <row r="547" spans="2:11" ht="15">
      <c r="B547" s="1">
        <v>274</v>
      </c>
      <c r="C547" t="str">
        <f ca="1">IFERROR(__xludf.DUMMYFUNCTION((TRANSPOSE(ImportHTML("http://spending.data.al/sq/moneypower/view/id/274/year/2012",  "table", 2)))),"*Kategoria*")</f>
        <v>*Kategoria*</v>
      </c>
      <c r="D547" t="s">
        <v>2589</v>
      </c>
    </row>
    <row r="548" spans="2:11" ht="15">
      <c r="B548" s="7"/>
      <c r="C548" t="s">
        <v>686</v>
      </c>
    </row>
    <row r="549" spans="2:11" ht="15">
      <c r="B549" s="1">
        <v>275</v>
      </c>
      <c r="C549" t="str">
        <f ca="1">IFERROR(__xludf.DUMMYFUNCTION((TRANSPOSE(ImportHTML("http://spending.data.al/sq/moneypower/view/id/275/year/2012",  "table", 2)))),"*Kategoria*")</f>
        <v>*Kategoria*</v>
      </c>
      <c r="D549" t="s">
        <v>2589</v>
      </c>
    </row>
    <row r="550" spans="2:11" ht="15">
      <c r="B550" s="7"/>
      <c r="C550" t="s">
        <v>686</v>
      </c>
    </row>
    <row r="551" spans="2:11" ht="15">
      <c r="B551" s="1">
        <v>276</v>
      </c>
      <c r="C551" t="str">
        <f ca="1">IFERROR(__xludf.DUMMYFUNCTION((TRANSPOSE(ImportHTML("http://spending.data.al/sq/moneypower/view/id/276/year/2012",  "table", 2)))),"*Kategoria*")</f>
        <v>*Kategoria*</v>
      </c>
      <c r="D551" t="s">
        <v>2589</v>
      </c>
    </row>
    <row r="552" spans="2:11" ht="15">
      <c r="B552" s="7"/>
      <c r="C552" t="s">
        <v>686</v>
      </c>
    </row>
    <row r="553" spans="2:11" ht="15">
      <c r="B553" s="1">
        <v>277</v>
      </c>
      <c r="C553" t="str">
        <f ca="1">IFERROR(__xludf.DUMMYFUNCTION((TRANSPOSE(ImportHTML("http://spending.data.al/sq/moneypower/view/id/277/year/2012",  "table", 2)))),"*Kategoria*")</f>
        <v>*Kategoria*</v>
      </c>
      <c r="E553" t="s">
        <v>719</v>
      </c>
      <c r="F553" t="s">
        <v>720</v>
      </c>
      <c r="G553" t="s">
        <v>721</v>
      </c>
      <c r="H553" t="s">
        <v>722</v>
      </c>
      <c r="I553" t="s">
        <v>723</v>
      </c>
      <c r="J553" t="s">
        <v>724</v>
      </c>
      <c r="K553" t="s">
        <v>685</v>
      </c>
    </row>
    <row r="554" spans="2:11" ht="15">
      <c r="B554" s="7"/>
      <c r="C554" t="s">
        <v>686</v>
      </c>
      <c r="E554" t="s">
        <v>2620</v>
      </c>
      <c r="F554" t="s">
        <v>2621</v>
      </c>
      <c r="G554" t="s">
        <v>2622</v>
      </c>
      <c r="H554" t="s">
        <v>688</v>
      </c>
      <c r="I554" t="s">
        <v>688</v>
      </c>
      <c r="K554" t="s">
        <v>2623</v>
      </c>
    </row>
    <row r="555" spans="2:11" ht="15">
      <c r="B555" s="1">
        <v>278</v>
      </c>
      <c r="C555" t="str">
        <f ca="1">IFERROR(__xludf.DUMMYFUNCTION((TRANSPOSE(ImportHTML("http://spending.data.al/sq/moneypower/view/id/278/year/2012",  "table", 2)))),"*Kategoria*")</f>
        <v>*Kategoria*</v>
      </c>
      <c r="D555" t="s">
        <v>2589</v>
      </c>
    </row>
    <row r="556" spans="2:11" ht="15">
      <c r="B556" s="7"/>
      <c r="C556" t="s">
        <v>686</v>
      </c>
    </row>
    <row r="557" spans="2:11" ht="15">
      <c r="B557" s="1">
        <v>279</v>
      </c>
      <c r="C557" t="str">
        <f ca="1">IFERROR(__xludf.DUMMYFUNCTION((TRANSPOSE(ImportHTML("http://spending.data.al/sq/moneypower/view/id/279/year/2012",  "table", 2)))),"*Kategoria*")</f>
        <v>*Kategoria*</v>
      </c>
      <c r="E557" t="s">
        <v>719</v>
      </c>
      <c r="F557" t="s">
        <v>720</v>
      </c>
      <c r="G557" t="s">
        <v>721</v>
      </c>
      <c r="H557" t="s">
        <v>722</v>
      </c>
      <c r="I557" t="s">
        <v>723</v>
      </c>
      <c r="J557" t="s">
        <v>724</v>
      </c>
      <c r="K557" t="s">
        <v>685</v>
      </c>
    </row>
    <row r="558" spans="2:11" ht="15">
      <c r="B558" s="7"/>
      <c r="C558" t="s">
        <v>686</v>
      </c>
      <c r="E558" t="s">
        <v>2624</v>
      </c>
      <c r="F558" t="s">
        <v>2625</v>
      </c>
      <c r="G558" t="s">
        <v>2626</v>
      </c>
      <c r="H558" t="s">
        <v>688</v>
      </c>
      <c r="I558" t="s">
        <v>688</v>
      </c>
      <c r="K558" t="s">
        <v>2627</v>
      </c>
    </row>
    <row r="559" spans="2:11" ht="15">
      <c r="B559" s="1">
        <v>280</v>
      </c>
      <c r="C559" t="str">
        <f ca="1">IFERROR(__xludf.DUMMYFUNCTION((TRANSPOSE(ImportHTML("http://spending.data.al/sq/moneypower/view/id/280/year/2012",  "table", 2)))),"*Kategoria*")</f>
        <v>*Kategoria*</v>
      </c>
      <c r="E559" t="s">
        <v>719</v>
      </c>
      <c r="F559" t="s">
        <v>720</v>
      </c>
      <c r="G559" t="s">
        <v>721</v>
      </c>
      <c r="H559" t="s">
        <v>722</v>
      </c>
      <c r="I559" t="s">
        <v>723</v>
      </c>
      <c r="J559" t="s">
        <v>724</v>
      </c>
      <c r="K559" t="s">
        <v>685</v>
      </c>
    </row>
    <row r="560" spans="2:11" ht="15">
      <c r="B560" s="7"/>
      <c r="C560" t="s">
        <v>686</v>
      </c>
      <c r="E560" t="s">
        <v>2628</v>
      </c>
      <c r="F560" t="s">
        <v>2629</v>
      </c>
      <c r="G560" t="s">
        <v>688</v>
      </c>
      <c r="H560" t="s">
        <v>688</v>
      </c>
      <c r="I560" t="s">
        <v>688</v>
      </c>
      <c r="J560" t="s">
        <v>688</v>
      </c>
      <c r="K560" t="s">
        <v>688</v>
      </c>
    </row>
    <row r="561" spans="2:11" ht="15">
      <c r="B561" s="1">
        <v>281</v>
      </c>
      <c r="C561" t="str">
        <f ca="1">IFERROR(__xludf.DUMMYFUNCTION((TRANSPOSE(ImportHTML("http://spending.data.al/sq/moneypower/view/id/281/year/2012",  "table", 2)))),"*Kategoria*")</f>
        <v>*Kategoria*</v>
      </c>
      <c r="D561" t="s">
        <v>2589</v>
      </c>
    </row>
    <row r="562" spans="2:11" ht="15">
      <c r="B562" s="7"/>
      <c r="C562" t="s">
        <v>686</v>
      </c>
    </row>
    <row r="563" spans="2:11" ht="15">
      <c r="B563" s="1">
        <v>282</v>
      </c>
      <c r="C563" t="str">
        <f ca="1">IFERROR(__xludf.DUMMYFUNCTION((TRANSPOSE(ImportHTML("http://spending.data.al/sq/moneypower/view/id/282/year/2012",  "table", 2)))),"*Kategoria*")</f>
        <v>*Kategoria*</v>
      </c>
      <c r="D563" t="s">
        <v>2589</v>
      </c>
    </row>
    <row r="564" spans="2:11" ht="15">
      <c r="B564" s="7"/>
      <c r="C564" t="s">
        <v>686</v>
      </c>
    </row>
    <row r="565" spans="2:11" ht="15">
      <c r="B565" s="1">
        <v>283</v>
      </c>
      <c r="C565" t="str">
        <f ca="1">IFERROR(__xludf.DUMMYFUNCTION((TRANSPOSE(ImportHTML("http://spending.data.al/sq/moneypower/view/id/283/year/2012",  "table", 2)))),"*Kategoria*")</f>
        <v>*Kategoria*</v>
      </c>
      <c r="D565" t="s">
        <v>2589</v>
      </c>
    </row>
    <row r="566" spans="2:11" ht="15">
      <c r="B566" s="7"/>
      <c r="C566" t="s">
        <v>686</v>
      </c>
    </row>
    <row r="567" spans="2:11" ht="15">
      <c r="B567" s="1">
        <v>284</v>
      </c>
      <c r="C567" t="str">
        <f ca="1">IFERROR(__xludf.DUMMYFUNCTION((TRANSPOSE(ImportHTML("http://spending.data.al/sq/moneypower/view/id/284/year/2012",  "table", 2)))),"*Kategoria*")</f>
        <v>*Kategoria*</v>
      </c>
      <c r="D567" t="s">
        <v>2589</v>
      </c>
    </row>
    <row r="568" spans="2:11" ht="15">
      <c r="B568" s="7"/>
      <c r="C568" t="s">
        <v>686</v>
      </c>
    </row>
    <row r="569" spans="2:11" ht="15">
      <c r="B569" s="1">
        <v>285</v>
      </c>
      <c r="C569" t="str">
        <f ca="1">IFERROR(__xludf.DUMMYFUNCTION((TRANSPOSE(ImportHTML("http://spending.data.al/sq/moneypower/view/id/285/year/2012",  "table", 2)))),"*Kategoria*")</f>
        <v>*Kategoria*</v>
      </c>
      <c r="E569" t="s">
        <v>719</v>
      </c>
      <c r="F569" t="s">
        <v>720</v>
      </c>
      <c r="G569" t="s">
        <v>721</v>
      </c>
      <c r="H569" t="s">
        <v>722</v>
      </c>
      <c r="I569" t="s">
        <v>723</v>
      </c>
      <c r="J569" t="s">
        <v>724</v>
      </c>
      <c r="K569" t="s">
        <v>685</v>
      </c>
    </row>
    <row r="570" spans="2:11" ht="15">
      <c r="B570" s="7"/>
      <c r="C570" t="s">
        <v>686</v>
      </c>
      <c r="E570" t="s">
        <v>2630</v>
      </c>
      <c r="F570" t="s">
        <v>2631</v>
      </c>
      <c r="G570" t="s">
        <v>2632</v>
      </c>
      <c r="H570" t="s">
        <v>2601</v>
      </c>
      <c r="I570" t="s">
        <v>2601</v>
      </c>
      <c r="J570" t="s">
        <v>2601</v>
      </c>
      <c r="K570" t="s">
        <v>2633</v>
      </c>
    </row>
    <row r="571" spans="2:11" ht="15">
      <c r="B571" s="1">
        <v>286</v>
      </c>
      <c r="C571" t="str">
        <f ca="1">IFERROR(__xludf.DUMMYFUNCTION((TRANSPOSE(ImportHTML("http://spending.data.al/sq/moneypower/view/id/286/year/2012",  "table", 2)))),"*Kategoria*")</f>
        <v>*Kategoria*</v>
      </c>
      <c r="E571" t="s">
        <v>719</v>
      </c>
      <c r="F571" t="s">
        <v>720</v>
      </c>
      <c r="G571" t="s">
        <v>721</v>
      </c>
      <c r="H571" t="s">
        <v>722</v>
      </c>
      <c r="I571" t="s">
        <v>723</v>
      </c>
      <c r="J571" t="s">
        <v>724</v>
      </c>
      <c r="K571" t="s">
        <v>685</v>
      </c>
    </row>
    <row r="572" spans="2:11" ht="15">
      <c r="B572" s="7"/>
      <c r="C572" t="s">
        <v>686</v>
      </c>
      <c r="E572" t="s">
        <v>2634</v>
      </c>
      <c r="F572" t="s">
        <v>2601</v>
      </c>
      <c r="G572" t="s">
        <v>2635</v>
      </c>
      <c r="H572" t="s">
        <v>2601</v>
      </c>
      <c r="I572" t="s">
        <v>2601</v>
      </c>
      <c r="J572" t="s">
        <v>2601</v>
      </c>
      <c r="K572" t="s">
        <v>2636</v>
      </c>
    </row>
    <row r="573" spans="2:11" ht="15">
      <c r="B573" s="1">
        <v>287</v>
      </c>
      <c r="C573" t="str">
        <f ca="1">IFERROR(__xludf.DUMMYFUNCTION((TRANSPOSE(ImportHTML("http://spending.data.al/sq/moneypower/view/id/287/year/2012",  "table", 2)))),"*Kategoria*")</f>
        <v>*Kategoria*</v>
      </c>
      <c r="D573" t="s">
        <v>2589</v>
      </c>
    </row>
    <row r="574" spans="2:11" ht="15">
      <c r="B574" s="7"/>
      <c r="C574" t="s">
        <v>686</v>
      </c>
    </row>
    <row r="575" spans="2:11" ht="15">
      <c r="B575" s="1">
        <v>288</v>
      </c>
      <c r="C575" t="str">
        <f ca="1">IFERROR(__xludf.DUMMYFUNCTION((TRANSPOSE(ImportHTML("http://spending.data.al/sq/moneypower/view/id/288/year/2012",  "table", 2)))),"*Kategoria*")</f>
        <v>*Kategoria*</v>
      </c>
      <c r="E575" t="s">
        <v>719</v>
      </c>
      <c r="F575" t="s">
        <v>720</v>
      </c>
      <c r="G575" t="s">
        <v>721</v>
      </c>
      <c r="H575" t="s">
        <v>722</v>
      </c>
      <c r="I575" t="s">
        <v>723</v>
      </c>
      <c r="J575" t="s">
        <v>724</v>
      </c>
      <c r="K575" t="s">
        <v>685</v>
      </c>
    </row>
    <row r="576" spans="2:11" ht="15">
      <c r="B576" s="7"/>
      <c r="C576" t="s">
        <v>686</v>
      </c>
      <c r="E576" t="s">
        <v>2637</v>
      </c>
      <c r="F576" t="s">
        <v>2638</v>
      </c>
      <c r="G576" t="s">
        <v>2639</v>
      </c>
      <c r="H576" t="s">
        <v>2601</v>
      </c>
      <c r="I576" t="s">
        <v>2640</v>
      </c>
      <c r="J576" t="s">
        <v>2601</v>
      </c>
      <c r="K576" t="s">
        <v>2641</v>
      </c>
    </row>
    <row r="577" spans="2:11" ht="15">
      <c r="B577" s="1">
        <v>289</v>
      </c>
      <c r="C577" t="str">
        <f ca="1">IFERROR(__xludf.DUMMYFUNCTION((TRANSPOSE(ImportHTML("http://spending.data.al/sq/moneypower/view/id/289/year/2012",  "table", 2)))),"*Kategoria*")</f>
        <v>*Kategoria*</v>
      </c>
      <c r="D577" t="s">
        <v>2589</v>
      </c>
    </row>
    <row r="578" spans="2:11" ht="15">
      <c r="B578" s="7"/>
      <c r="C578" t="s">
        <v>686</v>
      </c>
    </row>
    <row r="579" spans="2:11" ht="15">
      <c r="B579" s="1">
        <v>290</v>
      </c>
      <c r="C579" t="str">
        <f ca="1">IFERROR(__xludf.DUMMYFUNCTION((TRANSPOSE(ImportHTML("http://spending.data.al/sq/moneypower/view/id/290/year/2012",  "table", 2)))),"*Kategoria*")</f>
        <v>*Kategoria*</v>
      </c>
      <c r="E579" t="s">
        <v>719</v>
      </c>
      <c r="F579" t="s">
        <v>720</v>
      </c>
      <c r="G579" t="s">
        <v>721</v>
      </c>
      <c r="H579" t="s">
        <v>722</v>
      </c>
      <c r="I579" t="s">
        <v>723</v>
      </c>
      <c r="J579" t="s">
        <v>724</v>
      </c>
      <c r="K579" t="s">
        <v>685</v>
      </c>
    </row>
    <row r="580" spans="2:11" ht="15">
      <c r="B580" s="7"/>
      <c r="C580" t="s">
        <v>686</v>
      </c>
      <c r="E580" t="s">
        <v>2642</v>
      </c>
      <c r="F580" t="s">
        <v>2643</v>
      </c>
      <c r="G580" t="s">
        <v>2644</v>
      </c>
      <c r="H580" t="s">
        <v>2601</v>
      </c>
      <c r="I580" t="s">
        <v>2601</v>
      </c>
      <c r="J580" t="s">
        <v>2601</v>
      </c>
      <c r="K580" t="s">
        <v>2645</v>
      </c>
    </row>
    <row r="581" spans="2:11" ht="15">
      <c r="B581" s="1">
        <v>291</v>
      </c>
      <c r="C581" t="str">
        <f ca="1">IFERROR(__xludf.DUMMYFUNCTION((TRANSPOSE(ImportHTML("http://spending.data.al/sq/moneypower/view/id/291/year/2012",  "table", 2)))),"*Kategoria*")</f>
        <v>*Kategoria*</v>
      </c>
      <c r="D581" t="s">
        <v>2589</v>
      </c>
    </row>
    <row r="582" spans="2:11" ht="15">
      <c r="B582" s="7"/>
      <c r="C582" t="s">
        <v>686</v>
      </c>
    </row>
    <row r="583" spans="2:11" ht="15">
      <c r="B583" s="1">
        <v>292</v>
      </c>
      <c r="C583" t="str">
        <f ca="1">IFERROR(__xludf.DUMMYFUNCTION((TRANSPOSE(ImportHTML("http://spending.data.al/sq/moneypower/view/id/292/year/2012",  "table", 2)))),"*Kategoria*")</f>
        <v>*Kategoria*</v>
      </c>
      <c r="E583" t="s">
        <v>719</v>
      </c>
      <c r="F583" t="s">
        <v>720</v>
      </c>
      <c r="G583" t="s">
        <v>721</v>
      </c>
      <c r="H583" t="s">
        <v>722</v>
      </c>
      <c r="I583" t="s">
        <v>723</v>
      </c>
      <c r="J583" t="s">
        <v>724</v>
      </c>
      <c r="K583" t="s">
        <v>685</v>
      </c>
    </row>
    <row r="584" spans="2:11" ht="15">
      <c r="B584" s="7"/>
      <c r="C584" t="s">
        <v>686</v>
      </c>
      <c r="E584" t="s">
        <v>2646</v>
      </c>
      <c r="F584" t="s">
        <v>2647</v>
      </c>
      <c r="G584" t="s">
        <v>2601</v>
      </c>
      <c r="H584" t="s">
        <v>2601</v>
      </c>
      <c r="I584" t="s">
        <v>2601</v>
      </c>
      <c r="J584" t="s">
        <v>2601</v>
      </c>
      <c r="K584" t="s">
        <v>2648</v>
      </c>
    </row>
    <row r="585" spans="2:11" ht="15">
      <c r="B585" s="1">
        <v>293</v>
      </c>
      <c r="C585" t="str">
        <f ca="1">IFERROR(__xludf.DUMMYFUNCTION((TRANSPOSE(ImportHTML("http://spending.data.al/sq/moneypower/view/id/293/year/2012",  "table", 2)))),"*Kategoria*")</f>
        <v>*Kategoria*</v>
      </c>
      <c r="E585" t="s">
        <v>719</v>
      </c>
      <c r="F585" t="s">
        <v>720</v>
      </c>
      <c r="G585" t="s">
        <v>721</v>
      </c>
      <c r="H585" t="s">
        <v>722</v>
      </c>
      <c r="I585" t="s">
        <v>723</v>
      </c>
      <c r="J585" t="s">
        <v>724</v>
      </c>
      <c r="K585" t="s">
        <v>685</v>
      </c>
    </row>
    <row r="586" spans="2:11" ht="15">
      <c r="B586" s="7"/>
      <c r="C586" t="s">
        <v>686</v>
      </c>
      <c r="E586" t="s">
        <v>2649</v>
      </c>
      <c r="F586" t="s">
        <v>2650</v>
      </c>
      <c r="G586" t="s">
        <v>2651</v>
      </c>
      <c r="H586" t="s">
        <v>2601</v>
      </c>
      <c r="I586" t="s">
        <v>2601</v>
      </c>
      <c r="J586" t="s">
        <v>2601</v>
      </c>
      <c r="K586" t="s">
        <v>2652</v>
      </c>
    </row>
    <row r="587" spans="2:11" ht="15">
      <c r="B587" s="1">
        <v>294</v>
      </c>
      <c r="C587" t="str">
        <f ca="1">IFERROR(__xludf.DUMMYFUNCTION((TRANSPOSE(ImportHTML("http://spending.data.al/sq/moneypower/view/id/294/year/2012",  "table", 2)))),"*Kategoria*")</f>
        <v>*Kategoria*</v>
      </c>
      <c r="E587" t="s">
        <v>719</v>
      </c>
      <c r="F587" t="s">
        <v>720</v>
      </c>
      <c r="G587" t="s">
        <v>721</v>
      </c>
      <c r="H587" t="s">
        <v>722</v>
      </c>
      <c r="I587" t="s">
        <v>723</v>
      </c>
      <c r="J587" t="s">
        <v>724</v>
      </c>
      <c r="K587" t="s">
        <v>685</v>
      </c>
    </row>
    <row r="588" spans="2:11" ht="15">
      <c r="B588" s="7"/>
      <c r="C588" t="s">
        <v>686</v>
      </c>
      <c r="E588" t="s">
        <v>2601</v>
      </c>
      <c r="F588" t="s">
        <v>2653</v>
      </c>
      <c r="G588" t="s">
        <v>2654</v>
      </c>
      <c r="H588" t="s">
        <v>2601</v>
      </c>
      <c r="I588" t="s">
        <v>2601</v>
      </c>
      <c r="J588" t="s">
        <v>2601</v>
      </c>
      <c r="K588" t="s">
        <v>2655</v>
      </c>
    </row>
    <row r="589" spans="2:11" ht="15">
      <c r="B589" s="1">
        <v>295</v>
      </c>
      <c r="C589" t="str">
        <f ca="1">IFERROR(__xludf.DUMMYFUNCTION((TRANSPOSE(ImportHTML("http://spending.data.al/sq/moneypower/view/id/295/year/2012",  "table", 2)))),"*Kategoria*")</f>
        <v>*Kategoria*</v>
      </c>
      <c r="D589" t="s">
        <v>2589</v>
      </c>
    </row>
    <row r="590" spans="2:11" ht="15">
      <c r="B590" s="7"/>
      <c r="C590" t="s">
        <v>686</v>
      </c>
    </row>
    <row r="591" spans="2:11" ht="15">
      <c r="B591" s="1">
        <v>296</v>
      </c>
      <c r="C591" t="str">
        <f ca="1">IFERROR(__xludf.DUMMYFUNCTION((TRANSPOSE(ImportHTML("http://spending.data.al/sq/moneypower/view/id/296/year/2012",  "table", 2)))),"*Kategoria*")</f>
        <v>*Kategoria*</v>
      </c>
      <c r="D591" t="s">
        <v>2589</v>
      </c>
    </row>
    <row r="592" spans="2:11" ht="15">
      <c r="B592" s="7"/>
      <c r="C592" t="s">
        <v>686</v>
      </c>
    </row>
    <row r="593" spans="2:11" ht="15">
      <c r="B593" s="1">
        <v>297</v>
      </c>
      <c r="C593" t="str">
        <f ca="1">IFERROR(__xludf.DUMMYFUNCTION((TRANSPOSE(ImportHTML("http://spending.data.al/sq/moneypower/view/id/297/year/2012",  "table", 2)))),"*Kategoria*")</f>
        <v>*Kategoria*</v>
      </c>
      <c r="E593" t="s">
        <v>719</v>
      </c>
      <c r="F593" t="s">
        <v>720</v>
      </c>
      <c r="G593" t="s">
        <v>721</v>
      </c>
      <c r="H593" t="s">
        <v>722</v>
      </c>
      <c r="I593" t="s">
        <v>723</v>
      </c>
      <c r="J593" t="s">
        <v>724</v>
      </c>
      <c r="K593" t="s">
        <v>685</v>
      </c>
    </row>
    <row r="594" spans="2:11" ht="15">
      <c r="B594" s="7"/>
      <c r="C594" t="s">
        <v>686</v>
      </c>
      <c r="E594" t="s">
        <v>2656</v>
      </c>
      <c r="F594" t="s">
        <v>727</v>
      </c>
      <c r="G594" t="s">
        <v>2657</v>
      </c>
      <c r="H594" t="s">
        <v>727</v>
      </c>
      <c r="I594" t="s">
        <v>727</v>
      </c>
      <c r="J594" t="s">
        <v>727</v>
      </c>
      <c r="K594" t="s">
        <v>2658</v>
      </c>
    </row>
    <row r="595" spans="2:11" ht="15">
      <c r="B595" s="1">
        <v>298</v>
      </c>
      <c r="C595" t="str">
        <f ca="1">IFERROR(__xludf.DUMMYFUNCTION((TRANSPOSE(ImportHTML("http://spending.data.al/sq/moneypower/view/id/298/year/2012",  "table", 2)))),"*Kategoria*")</f>
        <v>*Kategoria*</v>
      </c>
      <c r="D595" t="s">
        <v>2589</v>
      </c>
    </row>
    <row r="596" spans="2:11" ht="15">
      <c r="B596" s="7"/>
      <c r="C596" t="s">
        <v>686</v>
      </c>
    </row>
    <row r="597" spans="2:11" ht="15">
      <c r="B597" s="1">
        <v>299</v>
      </c>
      <c r="C597" t="str">
        <f ca="1">IFERROR(__xludf.DUMMYFUNCTION((TRANSPOSE(ImportHTML("http://spending.data.al/sq/moneypower/view/id/299/year/2012",  "table", 2)))),"*Kategoria*")</f>
        <v>*Kategoria*</v>
      </c>
      <c r="D597" t="s">
        <v>2589</v>
      </c>
    </row>
    <row r="598" spans="2:11" ht="15">
      <c r="B598" s="7"/>
      <c r="C598" t="s">
        <v>686</v>
      </c>
    </row>
    <row r="599" spans="2:11" ht="15">
      <c r="B599" s="1">
        <v>300</v>
      </c>
      <c r="C599" t="str">
        <f ca="1">IFERROR(__xludf.DUMMYFUNCTION((TRANSPOSE(ImportHTML("http://spending.data.al/sq/moneypower/view/id/300/year/2012",  "table", 2)))),"*Kategoria*")</f>
        <v>*Kategoria*</v>
      </c>
      <c r="D599" t="s">
        <v>2589</v>
      </c>
    </row>
    <row r="600" spans="2:11" ht="15">
      <c r="B600" s="7"/>
      <c r="C600" t="s">
        <v>686</v>
      </c>
    </row>
    <row r="601" spans="2:11" ht="15">
      <c r="B601" s="1">
        <v>301</v>
      </c>
      <c r="C601" t="str">
        <f ca="1">IFERROR(__xludf.DUMMYFUNCTION((TRANSPOSE(ImportHTML("http://spending.data.al/sq/moneypower/view/id/301/year/2012",  "table", 2)))),"*Kategoria*")</f>
        <v>*Kategoria*</v>
      </c>
      <c r="D601" t="s">
        <v>2589</v>
      </c>
    </row>
    <row r="602" spans="2:11" ht="15">
      <c r="B602" s="7"/>
      <c r="C602" t="s">
        <v>686</v>
      </c>
    </row>
    <row r="603" spans="2:11" ht="15">
      <c r="B603" s="1">
        <v>302</v>
      </c>
      <c r="C603" t="str">
        <f ca="1">IFERROR(__xludf.DUMMYFUNCTION((TRANSPOSE(ImportHTML("http://spending.data.al/sq/moneypower/view/id/302/year/2012",  "table", 2)))),"*Kategoria*")</f>
        <v>*Kategoria*</v>
      </c>
      <c r="D603" t="s">
        <v>2589</v>
      </c>
    </row>
    <row r="604" spans="2:11" ht="15">
      <c r="B604" s="7"/>
      <c r="C604" t="s">
        <v>686</v>
      </c>
    </row>
    <row r="605" spans="2:11" ht="15">
      <c r="B605" s="1">
        <v>303</v>
      </c>
      <c r="C605" t="str">
        <f ca="1">IFERROR(__xludf.DUMMYFUNCTION((TRANSPOSE(ImportHTML("http://spending.data.al/sq/moneypower/view/id/303/year/2012",  "table", 2)))),"*Kategoria*")</f>
        <v>*Kategoria*</v>
      </c>
      <c r="E605" t="s">
        <v>719</v>
      </c>
      <c r="F605" t="s">
        <v>720</v>
      </c>
      <c r="G605" t="s">
        <v>721</v>
      </c>
      <c r="H605" t="s">
        <v>722</v>
      </c>
      <c r="I605" t="s">
        <v>723</v>
      </c>
      <c r="J605" t="s">
        <v>724</v>
      </c>
      <c r="K605" t="s">
        <v>685</v>
      </c>
    </row>
    <row r="606" spans="2:11" ht="15">
      <c r="B606" s="7"/>
      <c r="C606" t="s">
        <v>686</v>
      </c>
      <c r="E606" t="s">
        <v>2659</v>
      </c>
      <c r="F606" t="s">
        <v>727</v>
      </c>
      <c r="G606" t="s">
        <v>2660</v>
      </c>
      <c r="H606" t="s">
        <v>727</v>
      </c>
      <c r="I606" t="s">
        <v>727</v>
      </c>
      <c r="J606" t="s">
        <v>727</v>
      </c>
      <c r="K606" t="s">
        <v>2661</v>
      </c>
    </row>
    <row r="607" spans="2:11" ht="15">
      <c r="B607" s="1">
        <v>304</v>
      </c>
      <c r="C607" t="str">
        <f ca="1">IFERROR(__xludf.DUMMYFUNCTION((TRANSPOSE(ImportHTML("http://spending.data.al/sq/moneypower/view/id/304/year/2012",  "table", 2)))),"*Kategoria*")</f>
        <v>*Kategoria*</v>
      </c>
      <c r="D607" t="s">
        <v>2589</v>
      </c>
    </row>
    <row r="608" spans="2:11" ht="15">
      <c r="B608" s="7"/>
      <c r="C608" t="s">
        <v>686</v>
      </c>
    </row>
    <row r="609" spans="2:11" ht="15">
      <c r="B609" s="1">
        <v>305</v>
      </c>
      <c r="C609" t="str">
        <f ca="1">IFERROR(__xludf.DUMMYFUNCTION((TRANSPOSE(ImportHTML("http://spending.data.al/sq/moneypower/view/id/305/year/2012",  "table", 2)))),"*Kategoria*")</f>
        <v>*Kategoria*</v>
      </c>
      <c r="E609" t="s">
        <v>719</v>
      </c>
      <c r="F609" t="s">
        <v>720</v>
      </c>
      <c r="G609" t="s">
        <v>721</v>
      </c>
      <c r="H609" t="s">
        <v>722</v>
      </c>
      <c r="I609" t="s">
        <v>723</v>
      </c>
      <c r="J609" t="s">
        <v>724</v>
      </c>
      <c r="K609" t="s">
        <v>685</v>
      </c>
    </row>
    <row r="610" spans="2:11" ht="15">
      <c r="B610" s="7"/>
      <c r="C610" t="s">
        <v>686</v>
      </c>
      <c r="E610" t="s">
        <v>2662</v>
      </c>
      <c r="F610" t="s">
        <v>2663</v>
      </c>
      <c r="G610" t="s">
        <v>727</v>
      </c>
      <c r="H610" t="s">
        <v>727</v>
      </c>
      <c r="I610" t="s">
        <v>2664</v>
      </c>
      <c r="J610" t="s">
        <v>727</v>
      </c>
      <c r="K610" t="s">
        <v>2665</v>
      </c>
    </row>
    <row r="611" spans="2:11" ht="15">
      <c r="B611" s="1">
        <v>306</v>
      </c>
      <c r="C611" t="str">
        <f ca="1">IFERROR(__xludf.DUMMYFUNCTION((TRANSPOSE(ImportHTML("http://spending.data.al/sq/moneypower/view/id/306/year/2012",  "table", 2)))),"*Kategoria*")</f>
        <v>*Kategoria*</v>
      </c>
      <c r="D611" t="s">
        <v>2589</v>
      </c>
    </row>
    <row r="612" spans="2:11" ht="15">
      <c r="B612" s="7"/>
      <c r="C612" t="s">
        <v>686</v>
      </c>
    </row>
    <row r="613" spans="2:11" ht="15">
      <c r="B613" s="1">
        <v>307</v>
      </c>
      <c r="C613" t="str">
        <f ca="1">IFERROR(__xludf.DUMMYFUNCTION((TRANSPOSE(ImportHTML("http://spending.data.al/sq/moneypower/view/id/307/year/2012",  "table", 2)))),"*Kategoria*")</f>
        <v>*Kategoria*</v>
      </c>
      <c r="E613" t="s">
        <v>719</v>
      </c>
      <c r="F613" t="s">
        <v>720</v>
      </c>
      <c r="G613" t="s">
        <v>721</v>
      </c>
      <c r="H613" t="s">
        <v>722</v>
      </c>
      <c r="I613" t="s">
        <v>723</v>
      </c>
      <c r="J613" t="s">
        <v>724</v>
      </c>
      <c r="K613" t="s">
        <v>685</v>
      </c>
    </row>
    <row r="614" spans="2:11" ht="15">
      <c r="B614" s="7"/>
      <c r="C614" t="s">
        <v>686</v>
      </c>
      <c r="E614" t="s">
        <v>2666</v>
      </c>
      <c r="F614" t="s">
        <v>2667</v>
      </c>
      <c r="G614" t="s">
        <v>2668</v>
      </c>
      <c r="H614" t="s">
        <v>2601</v>
      </c>
      <c r="I614" t="s">
        <v>2669</v>
      </c>
      <c r="J614" t="s">
        <v>2601</v>
      </c>
      <c r="K614" t="s">
        <v>2670</v>
      </c>
    </row>
    <row r="615" spans="2:11" ht="15">
      <c r="B615" s="1">
        <v>308</v>
      </c>
      <c r="C615" t="str">
        <f ca="1">IFERROR(__xludf.DUMMYFUNCTION((TRANSPOSE(ImportHTML("http://spending.data.al/sq/moneypower/view/id/308/year/2012",  "table", 2)))),"*Kategoria*")</f>
        <v>*Kategoria*</v>
      </c>
      <c r="D615" t="s">
        <v>2589</v>
      </c>
    </row>
    <row r="616" spans="2:11" ht="15">
      <c r="B616" s="7"/>
      <c r="C616" t="s">
        <v>686</v>
      </c>
    </row>
    <row r="617" spans="2:11" ht="15">
      <c r="B617" s="1">
        <v>309</v>
      </c>
      <c r="C617" t="str">
        <f ca="1">IFERROR(__xludf.DUMMYFUNCTION((TRANSPOSE(ImportHTML("http://spending.data.al/sq/moneypower/view/id/309/year/2012",  "table", 2)))),"*Kategoria*")</f>
        <v>*Kategoria*</v>
      </c>
      <c r="E617" t="s">
        <v>719</v>
      </c>
      <c r="F617" t="s">
        <v>720</v>
      </c>
      <c r="G617" t="s">
        <v>721</v>
      </c>
      <c r="H617" t="s">
        <v>722</v>
      </c>
      <c r="I617" t="s">
        <v>723</v>
      </c>
      <c r="J617" t="s">
        <v>724</v>
      </c>
      <c r="K617" t="s">
        <v>685</v>
      </c>
    </row>
    <row r="618" spans="2:11" ht="15">
      <c r="B618" s="7"/>
      <c r="C618" t="s">
        <v>686</v>
      </c>
      <c r="E618" t="s">
        <v>2671</v>
      </c>
      <c r="F618" t="s">
        <v>2672</v>
      </c>
      <c r="G618" t="s">
        <v>2673</v>
      </c>
      <c r="H618" t="s">
        <v>727</v>
      </c>
      <c r="I618" t="s">
        <v>2674</v>
      </c>
      <c r="J618" t="s">
        <v>727</v>
      </c>
      <c r="K618" t="s">
        <v>2675</v>
      </c>
    </row>
    <row r="619" spans="2:11" ht="15">
      <c r="B619" s="1">
        <v>310</v>
      </c>
      <c r="C619" t="str">
        <f ca="1">IFERROR(__xludf.DUMMYFUNCTION((TRANSPOSE(ImportHTML("http://spending.data.al/sq/moneypower/view/id/310/year/2012",  "table", 2)))),"*Kategoria*")</f>
        <v>*Kategoria*</v>
      </c>
      <c r="D619" t="s">
        <v>2589</v>
      </c>
    </row>
    <row r="620" spans="2:11" ht="15">
      <c r="B620" s="7"/>
      <c r="C620" t="s">
        <v>686</v>
      </c>
    </row>
    <row r="621" spans="2:11" ht="15">
      <c r="B621" s="1">
        <v>311</v>
      </c>
      <c r="C621" t="str">
        <f ca="1">IFERROR(__xludf.DUMMYFUNCTION((TRANSPOSE(ImportHTML("http://spending.data.al/sq/moneypower/view/id/311/year/2012",  "table", 2)))),"*Kategoria*")</f>
        <v>*Kategoria*</v>
      </c>
      <c r="E621" t="s">
        <v>719</v>
      </c>
      <c r="F621" t="s">
        <v>720</v>
      </c>
      <c r="G621" t="s">
        <v>721</v>
      </c>
      <c r="H621" t="s">
        <v>722</v>
      </c>
      <c r="I621" t="s">
        <v>723</v>
      </c>
      <c r="J621" t="s">
        <v>724</v>
      </c>
      <c r="K621" t="s">
        <v>685</v>
      </c>
    </row>
    <row r="622" spans="2:11" ht="15">
      <c r="B622" s="7"/>
      <c r="C622" t="s">
        <v>686</v>
      </c>
      <c r="E622" t="s">
        <v>2676</v>
      </c>
      <c r="F622" t="s">
        <v>2677</v>
      </c>
      <c r="G622" t="s">
        <v>727</v>
      </c>
      <c r="H622" t="s">
        <v>727</v>
      </c>
      <c r="I622" t="s">
        <v>727</v>
      </c>
      <c r="J622" t="s">
        <v>727</v>
      </c>
      <c r="K622" t="s">
        <v>2678</v>
      </c>
    </row>
    <row r="623" spans="2:11" ht="15">
      <c r="B623" s="1">
        <v>312</v>
      </c>
      <c r="C623" t="str">
        <f ca="1">IFERROR(__xludf.DUMMYFUNCTION((TRANSPOSE(ImportHTML("http://spending.data.al/sq/moneypower/view/id/312/year/2012",  "table", 2)))),"*Kategoria*")</f>
        <v>*Kategoria*</v>
      </c>
      <c r="E623" t="s">
        <v>719</v>
      </c>
      <c r="F623" t="s">
        <v>720</v>
      </c>
      <c r="G623" t="s">
        <v>721</v>
      </c>
      <c r="H623" t="s">
        <v>722</v>
      </c>
      <c r="I623" t="s">
        <v>723</v>
      </c>
      <c r="J623" t="s">
        <v>724</v>
      </c>
      <c r="K623" t="s">
        <v>685</v>
      </c>
    </row>
    <row r="624" spans="2:11" ht="15">
      <c r="B624" s="7"/>
      <c r="C624" t="s">
        <v>686</v>
      </c>
      <c r="E624" t="s">
        <v>2679</v>
      </c>
      <c r="F624" t="s">
        <v>2680</v>
      </c>
      <c r="G624" t="s">
        <v>2681</v>
      </c>
      <c r="H624" t="s">
        <v>2601</v>
      </c>
      <c r="I624" t="s">
        <v>2601</v>
      </c>
      <c r="J624" t="s">
        <v>2601</v>
      </c>
      <c r="K624" t="s">
        <v>2682</v>
      </c>
    </row>
    <row r="625" spans="2:11" ht="15">
      <c r="B625" s="1">
        <v>313</v>
      </c>
      <c r="C625" t="str">
        <f ca="1">IFERROR(__xludf.DUMMYFUNCTION((TRANSPOSE(ImportHTML("http://spending.data.al/sq/moneypower/view/id/313/year/2012",  "table", 2)))),"*Kategoria*")</f>
        <v>*Kategoria*</v>
      </c>
      <c r="E625" t="s">
        <v>719</v>
      </c>
      <c r="F625" t="s">
        <v>720</v>
      </c>
      <c r="G625" t="s">
        <v>721</v>
      </c>
      <c r="H625" t="s">
        <v>722</v>
      </c>
      <c r="I625" t="s">
        <v>723</v>
      </c>
      <c r="J625" t="s">
        <v>724</v>
      </c>
      <c r="K625" t="s">
        <v>685</v>
      </c>
    </row>
    <row r="626" spans="2:11" ht="15">
      <c r="B626" s="7"/>
      <c r="C626" t="s">
        <v>686</v>
      </c>
      <c r="E626" t="s">
        <v>2683</v>
      </c>
      <c r="F626" t="s">
        <v>2684</v>
      </c>
      <c r="G626" t="s">
        <v>2685</v>
      </c>
      <c r="H626" t="s">
        <v>727</v>
      </c>
      <c r="I626" t="s">
        <v>727</v>
      </c>
      <c r="J626" t="s">
        <v>727</v>
      </c>
      <c r="K626" t="s">
        <v>2686</v>
      </c>
    </row>
    <row r="627" spans="2:11" ht="15">
      <c r="B627" s="1">
        <v>314</v>
      </c>
      <c r="C627" t="str">
        <f ca="1">IFERROR(__xludf.DUMMYFUNCTION((TRANSPOSE(ImportHTML("http://spending.data.al/sq/moneypower/view/id/314/year/2012",  "table", 2)))),"*Kategoria*")</f>
        <v>*Kategoria*</v>
      </c>
      <c r="D627" t="s">
        <v>2589</v>
      </c>
    </row>
    <row r="628" spans="2:11" ht="15">
      <c r="B628" s="7"/>
      <c r="C628" t="s">
        <v>686</v>
      </c>
    </row>
    <row r="629" spans="2:11" ht="15">
      <c r="B629" s="1">
        <v>315</v>
      </c>
      <c r="C629" t="str">
        <f ca="1">IFERROR(__xludf.DUMMYFUNCTION((TRANSPOSE(ImportHTML("http://spending.data.al/sq/moneypower/view/id/315/year/2012",  "table", 2)))),"*Kategoria*")</f>
        <v>*Kategoria*</v>
      </c>
      <c r="D629" t="s">
        <v>2589</v>
      </c>
    </row>
    <row r="630" spans="2:11" ht="15">
      <c r="B630" s="7"/>
      <c r="C630" t="s">
        <v>686</v>
      </c>
    </row>
    <row r="631" spans="2:11" ht="15">
      <c r="B631" s="1">
        <v>316</v>
      </c>
      <c r="C631" t="str">
        <f ca="1">IFERROR(__xludf.DUMMYFUNCTION((TRANSPOSE(ImportHTML("http://spending.data.al/sq/moneypower/view/id/316/year/2012",  "table", 2)))),"*Kategoria*")</f>
        <v>*Kategoria*</v>
      </c>
      <c r="D631" t="s">
        <v>2589</v>
      </c>
    </row>
    <row r="632" spans="2:11" ht="15">
      <c r="B632" s="7"/>
      <c r="C632" t="s">
        <v>686</v>
      </c>
    </row>
    <row r="633" spans="2:11" ht="15">
      <c r="B633" s="1">
        <v>317</v>
      </c>
      <c r="C633" t="str">
        <f ca="1">IFERROR(__xludf.DUMMYFUNCTION((TRANSPOSE(ImportHTML("http://spending.data.al/sq/moneypower/view/id/317/year/2012",  "table", 2)))),"*Kategoria*")</f>
        <v>*Kategoria*</v>
      </c>
      <c r="E633" t="s">
        <v>719</v>
      </c>
      <c r="F633" t="s">
        <v>720</v>
      </c>
      <c r="G633" t="s">
        <v>721</v>
      </c>
      <c r="H633" t="s">
        <v>722</v>
      </c>
      <c r="I633" t="s">
        <v>723</v>
      </c>
      <c r="J633" t="s">
        <v>724</v>
      </c>
      <c r="K633" t="s">
        <v>685</v>
      </c>
    </row>
    <row r="634" spans="2:11" ht="15">
      <c r="B634" s="7"/>
      <c r="C634" t="s">
        <v>686</v>
      </c>
      <c r="E634" t="s">
        <v>727</v>
      </c>
      <c r="F634" t="s">
        <v>2687</v>
      </c>
      <c r="G634" t="s">
        <v>2688</v>
      </c>
      <c r="H634" t="s">
        <v>727</v>
      </c>
      <c r="I634" t="s">
        <v>727</v>
      </c>
      <c r="J634" t="s">
        <v>727</v>
      </c>
      <c r="K634" t="s">
        <v>2689</v>
      </c>
    </row>
    <row r="635" spans="2:11" ht="15">
      <c r="B635" s="1">
        <v>318</v>
      </c>
      <c r="C635" t="str">
        <f ca="1">IFERROR(__xludf.DUMMYFUNCTION((TRANSPOSE(ImportHTML("http://spending.data.al/sq/moneypower/view/id/318/year/2012",  "table", 2)))),"*Kategoria*")</f>
        <v>*Kategoria*</v>
      </c>
      <c r="E635" t="s">
        <v>719</v>
      </c>
      <c r="F635" t="s">
        <v>720</v>
      </c>
      <c r="G635" t="s">
        <v>721</v>
      </c>
      <c r="H635" t="s">
        <v>722</v>
      </c>
      <c r="I635" t="s">
        <v>723</v>
      </c>
      <c r="J635" t="s">
        <v>724</v>
      </c>
      <c r="K635" t="s">
        <v>685</v>
      </c>
    </row>
    <row r="636" spans="2:11" ht="15">
      <c r="B636" s="7"/>
      <c r="C636" t="s">
        <v>686</v>
      </c>
      <c r="E636" t="s">
        <v>2690</v>
      </c>
      <c r="F636" t="s">
        <v>2691</v>
      </c>
      <c r="G636" t="s">
        <v>2692</v>
      </c>
      <c r="H636" t="s">
        <v>2693</v>
      </c>
      <c r="I636" t="s">
        <v>2601</v>
      </c>
      <c r="J636" t="s">
        <v>2601</v>
      </c>
      <c r="K636" t="s">
        <v>2694</v>
      </c>
    </row>
    <row r="637" spans="2:11" ht="15">
      <c r="B637" s="1">
        <v>319</v>
      </c>
      <c r="C637" t="str">
        <f ca="1">IFERROR(__xludf.DUMMYFUNCTION((TRANSPOSE(ImportHTML("http://spending.data.al/sq/moneypower/view/id/319/year/2012",  "table", 2)))),"*Kategoria*")</f>
        <v>*Kategoria*</v>
      </c>
      <c r="D637" t="s">
        <v>2589</v>
      </c>
    </row>
    <row r="638" spans="2:11" ht="15">
      <c r="B638" s="7"/>
      <c r="C638" t="s">
        <v>686</v>
      </c>
    </row>
    <row r="639" spans="2:11" ht="15">
      <c r="B639" s="1">
        <v>320</v>
      </c>
      <c r="C639" t="str">
        <f ca="1">IFERROR(__xludf.DUMMYFUNCTION((TRANSPOSE(ImportHTML("http://spending.data.al/sq/moneypower/view/id/320/year/2012",  "table", 2)))),"*Kategoria*")</f>
        <v>*Kategoria*</v>
      </c>
      <c r="D639" t="s">
        <v>2589</v>
      </c>
    </row>
    <row r="640" spans="2:11" ht="15">
      <c r="B640" s="7"/>
      <c r="C640" t="s">
        <v>686</v>
      </c>
    </row>
    <row r="641" spans="2:4" ht="15">
      <c r="B641" s="1">
        <v>321</v>
      </c>
      <c r="C641" t="str">
        <f ca="1">IFERROR(__xludf.DUMMYFUNCTION((TRANSPOSE(ImportHTML("http://spending.data.al/sq/moneypower/view/id/321/year/2012",  "table", 2)))),"*Kategoria*")</f>
        <v>*Kategoria*</v>
      </c>
      <c r="D641" t="s">
        <v>2589</v>
      </c>
    </row>
    <row r="642" spans="2:4" ht="15">
      <c r="B642" s="7"/>
      <c r="C642" t="s">
        <v>686</v>
      </c>
    </row>
    <row r="643" spans="2:4" ht="15">
      <c r="B643" s="1">
        <v>322</v>
      </c>
      <c r="C643" t="str">
        <f ca="1">IFERROR(__xludf.DUMMYFUNCTION((TRANSPOSE(ImportHTML("http://spending.data.al/sq/moneypower/view/id/322/year/2012",  "table", 2)))),"*Kategoria*")</f>
        <v>*Kategoria*</v>
      </c>
      <c r="D643" t="s">
        <v>2589</v>
      </c>
    </row>
    <row r="644" spans="2:4" ht="15">
      <c r="B644" s="7"/>
      <c r="C644" t="s">
        <v>686</v>
      </c>
    </row>
    <row r="645" spans="2:4" ht="15">
      <c r="B645" s="1">
        <v>323</v>
      </c>
      <c r="C645" t="str">
        <f ca="1">IFERROR(__xludf.DUMMYFUNCTION((TRANSPOSE(ImportHTML("http://spending.data.al/sq/moneypower/view/id/323/year/2012",  "table", 2)))),"*Kategoria*")</f>
        <v>*Kategoria*</v>
      </c>
      <c r="D645" t="s">
        <v>2589</v>
      </c>
    </row>
    <row r="646" spans="2:4" ht="15">
      <c r="B646" s="7"/>
      <c r="C646" t="s">
        <v>686</v>
      </c>
    </row>
    <row r="647" spans="2:4" ht="15">
      <c r="B647" s="1">
        <v>324</v>
      </c>
      <c r="C647" t="str">
        <f ca="1">IFERROR(__xludf.DUMMYFUNCTION((TRANSPOSE(ImportHTML("http://spending.data.al/sq/moneypower/view/id/324/year/2012",  "table", 2)))),"*Kategoria*")</f>
        <v>*Kategoria*</v>
      </c>
      <c r="D647" t="s">
        <v>2589</v>
      </c>
    </row>
    <row r="648" spans="2:4" ht="15">
      <c r="B648" s="7"/>
      <c r="C648" t="s">
        <v>686</v>
      </c>
    </row>
    <row r="649" spans="2:4" ht="15">
      <c r="B649" s="1">
        <v>325</v>
      </c>
      <c r="C649" t="str">
        <f ca="1">IFERROR(__xludf.DUMMYFUNCTION((TRANSPOSE(ImportHTML("http://spending.data.al/sq/moneypower/view/id/325/year/2012",  "table", 2)))),"*Kategoria*")</f>
        <v>*Kategoria*</v>
      </c>
      <c r="D649" t="s">
        <v>2589</v>
      </c>
    </row>
    <row r="650" spans="2:4" ht="15">
      <c r="B650" s="7"/>
      <c r="C650" t="s">
        <v>686</v>
      </c>
    </row>
    <row r="651" spans="2:4" ht="15">
      <c r="B651" s="1">
        <v>326</v>
      </c>
      <c r="C651" t="str">
        <f ca="1">IFERROR(__xludf.DUMMYFUNCTION((TRANSPOSE(ImportHTML("http://spending.data.al/sq/moneypower/view/id/326/year/2012",  "table", 2)))),"*Kategoria*")</f>
        <v>*Kategoria*</v>
      </c>
      <c r="D651" t="s">
        <v>2589</v>
      </c>
    </row>
    <row r="652" spans="2:4" ht="15">
      <c r="B652" s="7"/>
      <c r="C652" t="s">
        <v>686</v>
      </c>
    </row>
    <row r="653" spans="2:4" ht="15">
      <c r="B653" s="1">
        <v>327</v>
      </c>
      <c r="C653" t="str">
        <f ca="1">IFERROR(__xludf.DUMMYFUNCTION((TRANSPOSE(ImportHTML("http://spending.data.al/sq/moneypower/view/id/327/year/2012",  "table", 2)))),"*Kategoria*")</f>
        <v>*Kategoria*</v>
      </c>
      <c r="D653" t="s">
        <v>2589</v>
      </c>
    </row>
    <row r="654" spans="2:4" ht="15.75" customHeight="1">
      <c r="C654" t="s">
        <v>686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Z1030"/>
  <sheetViews>
    <sheetView topLeftCell="A37" workbookViewId="0">
      <selection activeCell="E55" sqref="E55"/>
    </sheetView>
  </sheetViews>
  <sheetFormatPr defaultColWidth="14.42578125" defaultRowHeight="15.75" customHeight="1"/>
  <sheetData>
    <row r="1" spans="1:26" ht="15">
      <c r="A1" s="9">
        <v>1</v>
      </c>
      <c r="B1" s="10" t="str">
        <f ca="1">IFERROR(__xludf.DUMMYFUNCTION((TRANSPOSE(ImportHTML("http://spending.data.al/sq/moneypower/view/id/1/year/2013",  "table", 0)))),"*Kategoria*")</f>
        <v>*Kategoria*</v>
      </c>
      <c r="C1" s="10" t="s">
        <v>673</v>
      </c>
      <c r="D1" s="10" t="s">
        <v>674</v>
      </c>
      <c r="E1" s="10" t="s">
        <v>675</v>
      </c>
      <c r="F1" s="10" t="s">
        <v>676</v>
      </c>
      <c r="G1" s="10" t="s">
        <v>677</v>
      </c>
      <c r="H1" s="10" t="s">
        <v>678</v>
      </c>
      <c r="I1" s="10" t="s">
        <v>679</v>
      </c>
      <c r="J1" s="10" t="s">
        <v>680</v>
      </c>
      <c r="K1" s="10" t="s">
        <v>681</v>
      </c>
      <c r="L1" s="10" t="s">
        <v>682</v>
      </c>
      <c r="M1" s="10" t="s">
        <v>683</v>
      </c>
      <c r="N1" s="10" t="s">
        <v>684</v>
      </c>
      <c r="O1" s="10" t="s">
        <v>685</v>
      </c>
      <c r="P1" s="10"/>
      <c r="Q1" s="10"/>
      <c r="R1" s="10"/>
      <c r="S1" s="10"/>
      <c r="T1" s="10"/>
      <c r="U1" s="10"/>
      <c r="V1" s="10"/>
      <c r="W1" s="10"/>
      <c r="X1" s="10"/>
      <c r="Y1" s="10"/>
      <c r="Z1" s="10"/>
    </row>
    <row r="2" spans="1:26" ht="15">
      <c r="A2" s="11"/>
      <c r="B2" s="10" t="s">
        <v>686</v>
      </c>
      <c r="C2" s="10" t="s">
        <v>715</v>
      </c>
      <c r="D2" s="10" t="s">
        <v>688</v>
      </c>
      <c r="E2" s="10" t="s">
        <v>688</v>
      </c>
      <c r="F2" s="10" t="s">
        <v>688</v>
      </c>
      <c r="G2" s="10" t="s">
        <v>688</v>
      </c>
      <c r="H2" s="10" t="s">
        <v>688</v>
      </c>
      <c r="I2" s="10" t="s">
        <v>688</v>
      </c>
      <c r="J2" s="10" t="s">
        <v>716</v>
      </c>
      <c r="K2" s="10" t="s">
        <v>688</v>
      </c>
      <c r="L2" s="10" t="s">
        <v>717</v>
      </c>
      <c r="M2" s="10" t="s">
        <v>688</v>
      </c>
      <c r="N2" s="10">
        <v>1</v>
      </c>
      <c r="O2" s="10" t="s">
        <v>718</v>
      </c>
      <c r="P2" s="10"/>
      <c r="Q2" s="10"/>
      <c r="R2" s="10"/>
      <c r="S2" s="10"/>
      <c r="T2" s="10"/>
      <c r="U2" s="10"/>
      <c r="V2" s="10"/>
      <c r="W2" s="10"/>
      <c r="X2" s="10"/>
      <c r="Y2" s="10"/>
      <c r="Z2" s="10"/>
    </row>
    <row r="3" spans="1:26" ht="15">
      <c r="A3" s="9">
        <v>2</v>
      </c>
      <c r="B3" s="10" t="str">
        <f ca="1">IFERROR(__xludf.DUMMYFUNCTION((TRANSPOSE(ImportHTML("http://spending.data.al/sq/moneypower/view/id/2/year/2013",  "table", 0)))),"*Kategoria*")</f>
        <v>*Kategoria*</v>
      </c>
      <c r="C3" s="10" t="s">
        <v>673</v>
      </c>
      <c r="D3" s="10" t="s">
        <v>674</v>
      </c>
      <c r="E3" s="10" t="s">
        <v>675</v>
      </c>
      <c r="F3" s="10" t="s">
        <v>676</v>
      </c>
      <c r="G3" s="10" t="s">
        <v>677</v>
      </c>
      <c r="H3" s="10" t="s">
        <v>678</v>
      </c>
      <c r="I3" s="10" t="s">
        <v>679</v>
      </c>
      <c r="J3" s="10" t="s">
        <v>680</v>
      </c>
      <c r="K3" s="10" t="s">
        <v>681</v>
      </c>
      <c r="L3" s="10" t="s">
        <v>682</v>
      </c>
      <c r="M3" s="10" t="s">
        <v>683</v>
      </c>
      <c r="N3" s="10" t="s">
        <v>684</v>
      </c>
      <c r="O3" s="10" t="s">
        <v>685</v>
      </c>
      <c r="P3" s="10"/>
      <c r="Q3" s="10"/>
      <c r="R3" s="10"/>
      <c r="S3" s="10"/>
      <c r="T3" s="10"/>
      <c r="U3" s="10"/>
      <c r="V3" s="10"/>
      <c r="W3" s="10"/>
      <c r="X3" s="10"/>
      <c r="Y3" s="10"/>
      <c r="Z3" s="10"/>
    </row>
    <row r="4" spans="1:26" ht="15">
      <c r="A4" s="11"/>
      <c r="B4" s="10" t="s">
        <v>686</v>
      </c>
      <c r="C4" s="10" t="s">
        <v>3764</v>
      </c>
      <c r="D4" s="10" t="s">
        <v>3765</v>
      </c>
      <c r="E4" s="10" t="s">
        <v>688</v>
      </c>
      <c r="F4" s="10" t="s">
        <v>688</v>
      </c>
      <c r="G4" s="10" t="s">
        <v>688</v>
      </c>
      <c r="H4" s="10" t="s">
        <v>688</v>
      </c>
      <c r="I4" s="10" t="s">
        <v>688</v>
      </c>
      <c r="J4" s="10" t="s">
        <v>688</v>
      </c>
      <c r="K4" s="10" t="s">
        <v>688</v>
      </c>
      <c r="L4" s="10" t="s">
        <v>3766</v>
      </c>
      <c r="M4" s="10" t="s">
        <v>688</v>
      </c>
      <c r="N4" s="10">
        <v>1.44</v>
      </c>
      <c r="O4" s="10" t="s">
        <v>3767</v>
      </c>
      <c r="P4" s="10"/>
      <c r="Q4" s="10"/>
      <c r="R4" s="10"/>
      <c r="S4" s="10"/>
      <c r="T4" s="10"/>
      <c r="U4" s="10"/>
      <c r="V4" s="10"/>
      <c r="W4" s="10"/>
      <c r="X4" s="10"/>
      <c r="Y4" s="10"/>
      <c r="Z4" s="10"/>
    </row>
    <row r="5" spans="1:26" ht="15">
      <c r="A5" s="9">
        <v>3</v>
      </c>
      <c r="B5" s="10" t="str">
        <f ca="1">IFERROR(__xludf.DUMMYFUNCTION((TRANSPOSE(ImportHTML("http://spending.data.al/sq/moneypower/view/id/3/year/2013",  "table", 0)))),"*Kategoria*")</f>
        <v>*Kategoria*</v>
      </c>
      <c r="C5" s="10" t="s">
        <v>673</v>
      </c>
      <c r="D5" s="10" t="s">
        <v>674</v>
      </c>
      <c r="E5" s="10" t="s">
        <v>675</v>
      </c>
      <c r="F5" s="10" t="s">
        <v>676</v>
      </c>
      <c r="G5" s="10" t="s">
        <v>677</v>
      </c>
      <c r="H5" s="10" t="s">
        <v>678</v>
      </c>
      <c r="I5" s="10" t="s">
        <v>679</v>
      </c>
      <c r="J5" s="10" t="s">
        <v>680</v>
      </c>
      <c r="K5" s="10" t="s">
        <v>681</v>
      </c>
      <c r="L5" s="10" t="s">
        <v>682</v>
      </c>
      <c r="M5" s="10" t="s">
        <v>683</v>
      </c>
      <c r="N5" s="10" t="s">
        <v>684</v>
      </c>
      <c r="O5" s="10" t="s">
        <v>685</v>
      </c>
      <c r="P5" s="10"/>
      <c r="Q5" s="10"/>
      <c r="R5" s="10"/>
      <c r="S5" s="10"/>
      <c r="T5" s="10"/>
      <c r="U5" s="10"/>
      <c r="V5" s="10"/>
      <c r="W5" s="10"/>
      <c r="X5" s="10"/>
      <c r="Y5" s="10"/>
      <c r="Z5" s="10"/>
    </row>
    <row r="6" spans="1:26" ht="15">
      <c r="A6" s="11"/>
      <c r="B6" s="10" t="s">
        <v>686</v>
      </c>
      <c r="C6" s="10" t="s">
        <v>3768</v>
      </c>
      <c r="D6" s="10" t="s">
        <v>688</v>
      </c>
      <c r="E6" s="10" t="s">
        <v>688</v>
      </c>
      <c r="F6" s="10" t="s">
        <v>688</v>
      </c>
      <c r="G6" s="10" t="s">
        <v>688</v>
      </c>
      <c r="H6" s="10" t="s">
        <v>688</v>
      </c>
      <c r="I6" s="10" t="s">
        <v>688</v>
      </c>
      <c r="J6" s="10" t="s">
        <v>688</v>
      </c>
      <c r="K6" s="10" t="s">
        <v>688</v>
      </c>
      <c r="L6" s="10" t="s">
        <v>688</v>
      </c>
      <c r="M6" s="10" t="s">
        <v>688</v>
      </c>
      <c r="N6" s="10">
        <v>1</v>
      </c>
      <c r="O6" s="10" t="s">
        <v>707</v>
      </c>
      <c r="P6" s="10"/>
      <c r="Q6" s="10"/>
      <c r="R6" s="10"/>
      <c r="S6" s="10"/>
      <c r="T6" s="10"/>
      <c r="U6" s="10"/>
      <c r="V6" s="10"/>
      <c r="W6" s="10"/>
      <c r="X6" s="10"/>
      <c r="Y6" s="10"/>
      <c r="Z6" s="10"/>
    </row>
    <row r="7" spans="1:26" ht="15">
      <c r="A7" s="9">
        <v>4</v>
      </c>
      <c r="B7" s="10" t="str">
        <f ca="1">IFERROR(__xludf.DUMMYFUNCTION((TRANSPOSE(ImportHTML("http://spending.data.al/sq/moneypower/view/id/4/year/2013",  "table", 0)))),"*Kategoria*")</f>
        <v>*Kategoria*</v>
      </c>
      <c r="C7" s="10" t="s">
        <v>673</v>
      </c>
      <c r="D7" s="10" t="s">
        <v>674</v>
      </c>
      <c r="E7" s="10" t="s">
        <v>675</v>
      </c>
      <c r="F7" s="10" t="s">
        <v>676</v>
      </c>
      <c r="G7" s="10" t="s">
        <v>677</v>
      </c>
      <c r="H7" s="10" t="s">
        <v>678</v>
      </c>
      <c r="I7" s="10" t="s">
        <v>679</v>
      </c>
      <c r="J7" s="10" t="s">
        <v>680</v>
      </c>
      <c r="K7" s="10" t="s">
        <v>681</v>
      </c>
      <c r="L7" s="10" t="s">
        <v>682</v>
      </c>
      <c r="M7" s="10" t="s">
        <v>683</v>
      </c>
      <c r="N7" s="10" t="s">
        <v>684</v>
      </c>
      <c r="O7" s="10" t="s">
        <v>685</v>
      </c>
      <c r="P7" s="10"/>
      <c r="Q7" s="10"/>
      <c r="R7" s="10"/>
      <c r="S7" s="10"/>
      <c r="T7" s="10"/>
      <c r="U7" s="10"/>
      <c r="V7" s="10"/>
      <c r="W7" s="10"/>
      <c r="X7" s="10"/>
      <c r="Y7" s="10"/>
      <c r="Z7" s="10"/>
    </row>
    <row r="8" spans="1:26" ht="15">
      <c r="A8" s="11"/>
      <c r="B8" s="10" t="s">
        <v>686</v>
      </c>
      <c r="C8" s="10" t="s">
        <v>3769</v>
      </c>
      <c r="D8" s="10" t="s">
        <v>688</v>
      </c>
      <c r="E8" s="10" t="s">
        <v>688</v>
      </c>
      <c r="F8" s="10" t="s">
        <v>688</v>
      </c>
      <c r="G8" s="10" t="s">
        <v>688</v>
      </c>
      <c r="H8" s="10" t="s">
        <v>688</v>
      </c>
      <c r="I8" s="10" t="s">
        <v>688</v>
      </c>
      <c r="J8" s="10" t="s">
        <v>688</v>
      </c>
      <c r="K8" s="10" t="s">
        <v>688</v>
      </c>
      <c r="L8" s="10" t="s">
        <v>3770</v>
      </c>
      <c r="M8" s="10" t="s">
        <v>3771</v>
      </c>
      <c r="N8" s="10">
        <v>1.8</v>
      </c>
      <c r="O8" s="10" t="s">
        <v>3772</v>
      </c>
      <c r="P8" s="10"/>
      <c r="Q8" s="10"/>
      <c r="R8" s="10"/>
      <c r="S8" s="10"/>
      <c r="T8" s="10"/>
      <c r="U8" s="10"/>
      <c r="V8" s="10"/>
      <c r="W8" s="10"/>
      <c r="X8" s="10"/>
      <c r="Y8" s="10"/>
      <c r="Z8" s="10"/>
    </row>
    <row r="9" spans="1:26" ht="15">
      <c r="A9" s="9">
        <v>5</v>
      </c>
      <c r="B9" s="10" t="str">
        <f ca="1">IFERROR(__xludf.DUMMYFUNCTION((TRANSPOSE(ImportHTML("http://spending.data.al/sq/moneypower/view/id/5/year/2013",  "table", 0)))),"*Kategoria*")</f>
        <v>*Kategoria*</v>
      </c>
      <c r="C9" s="10" t="s">
        <v>673</v>
      </c>
      <c r="D9" s="10" t="s">
        <v>674</v>
      </c>
      <c r="E9" s="10" t="s">
        <v>675</v>
      </c>
      <c r="F9" s="10" t="s">
        <v>676</v>
      </c>
      <c r="G9" s="10" t="s">
        <v>677</v>
      </c>
      <c r="H9" s="10" t="s">
        <v>678</v>
      </c>
      <c r="I9" s="10" t="s">
        <v>679</v>
      </c>
      <c r="J9" s="10" t="s">
        <v>680</v>
      </c>
      <c r="K9" s="10" t="s">
        <v>681</v>
      </c>
      <c r="L9" s="10" t="s">
        <v>682</v>
      </c>
      <c r="M9" s="10" t="s">
        <v>683</v>
      </c>
      <c r="N9" s="10" t="s">
        <v>684</v>
      </c>
      <c r="O9" s="10" t="s">
        <v>685</v>
      </c>
      <c r="P9" s="10"/>
      <c r="Q9" s="10"/>
      <c r="R9" s="10"/>
      <c r="S9" s="10"/>
      <c r="T9" s="10"/>
      <c r="U9" s="10"/>
      <c r="V9" s="10"/>
      <c r="W9" s="10"/>
      <c r="X9" s="10"/>
      <c r="Y9" s="10"/>
      <c r="Z9" s="10"/>
    </row>
    <row r="10" spans="1:26" ht="15">
      <c r="A10" s="11"/>
      <c r="B10" s="10" t="s">
        <v>686</v>
      </c>
      <c r="C10" s="10" t="s">
        <v>3773</v>
      </c>
      <c r="D10" s="10" t="s">
        <v>688</v>
      </c>
      <c r="E10" s="10" t="s">
        <v>688</v>
      </c>
      <c r="F10" s="10" t="s">
        <v>3774</v>
      </c>
      <c r="G10" s="10" t="s">
        <v>688</v>
      </c>
      <c r="H10" s="10" t="s">
        <v>688</v>
      </c>
      <c r="I10" s="10" t="s">
        <v>688</v>
      </c>
      <c r="J10" s="10" t="s">
        <v>688</v>
      </c>
      <c r="K10" s="10" t="s">
        <v>688</v>
      </c>
      <c r="L10" s="10" t="s">
        <v>3775</v>
      </c>
      <c r="M10" s="10" t="s">
        <v>688</v>
      </c>
      <c r="N10" s="10">
        <v>1.04</v>
      </c>
      <c r="O10" s="10" t="s">
        <v>3776</v>
      </c>
      <c r="P10" s="10"/>
      <c r="Q10" s="10"/>
      <c r="R10" s="10"/>
      <c r="S10" s="10"/>
      <c r="T10" s="10"/>
      <c r="U10" s="10"/>
      <c r="V10" s="10"/>
      <c r="W10" s="10"/>
      <c r="X10" s="10"/>
      <c r="Y10" s="10"/>
      <c r="Z10" s="10"/>
    </row>
    <row r="11" spans="1:26" ht="15">
      <c r="A11" s="9">
        <v>6</v>
      </c>
      <c r="B11" s="10" t="str">
        <f ca="1">IFERROR(__xludf.DUMMYFUNCTION((TRANSPOSE(ImportHTML("http://spending.data.al/sq/moneypower/view/id/6/year/2013",  "table", 0)))),"*Kategoria*")</f>
        <v>*Kategoria*</v>
      </c>
      <c r="C11" s="10" t="s">
        <v>673</v>
      </c>
      <c r="D11" s="10" t="s">
        <v>674</v>
      </c>
      <c r="E11" s="10" t="s">
        <v>675</v>
      </c>
      <c r="F11" s="10" t="s">
        <v>676</v>
      </c>
      <c r="G11" s="10" t="s">
        <v>677</v>
      </c>
      <c r="H11" s="10" t="s">
        <v>678</v>
      </c>
      <c r="I11" s="10" t="s">
        <v>679</v>
      </c>
      <c r="J11" s="10" t="s">
        <v>680</v>
      </c>
      <c r="K11" s="10" t="s">
        <v>681</v>
      </c>
      <c r="L11" s="10" t="s">
        <v>682</v>
      </c>
      <c r="M11" s="10" t="s">
        <v>683</v>
      </c>
      <c r="N11" s="10" t="s">
        <v>684</v>
      </c>
      <c r="O11" s="10" t="s">
        <v>685</v>
      </c>
      <c r="P11" s="10"/>
      <c r="Q11" s="10"/>
      <c r="R11" s="10"/>
      <c r="S11" s="10"/>
      <c r="T11" s="10"/>
      <c r="U11" s="10"/>
      <c r="V11" s="10"/>
      <c r="W11" s="10"/>
      <c r="X11" s="10"/>
      <c r="Y11" s="10"/>
      <c r="Z11" s="10"/>
    </row>
    <row r="12" spans="1:26" ht="15">
      <c r="A12" s="11"/>
      <c r="B12" s="10" t="s">
        <v>686</v>
      </c>
      <c r="C12" s="10" t="s">
        <v>3777</v>
      </c>
      <c r="D12" s="10" t="s">
        <v>688</v>
      </c>
      <c r="E12" s="10" t="s">
        <v>688</v>
      </c>
      <c r="F12" s="10" t="s">
        <v>688</v>
      </c>
      <c r="G12" s="10" t="s">
        <v>688</v>
      </c>
      <c r="H12" s="10" t="s">
        <v>688</v>
      </c>
      <c r="I12" s="10" t="s">
        <v>688</v>
      </c>
      <c r="J12" s="10" t="s">
        <v>688</v>
      </c>
      <c r="K12" s="10" t="s">
        <v>688</v>
      </c>
      <c r="L12" s="10" t="s">
        <v>3778</v>
      </c>
      <c r="M12" s="10" t="s">
        <v>688</v>
      </c>
      <c r="N12" s="10">
        <v>1</v>
      </c>
      <c r="O12" s="10" t="s">
        <v>3779</v>
      </c>
      <c r="P12" s="10"/>
      <c r="Q12" s="10"/>
      <c r="R12" s="10"/>
      <c r="S12" s="10"/>
      <c r="T12" s="10"/>
      <c r="U12" s="10"/>
      <c r="V12" s="10"/>
      <c r="W12" s="10"/>
      <c r="X12" s="10"/>
      <c r="Y12" s="10"/>
      <c r="Z12" s="10"/>
    </row>
    <row r="13" spans="1:26" ht="15">
      <c r="A13" s="9">
        <v>7</v>
      </c>
      <c r="B13" s="10" t="str">
        <f ca="1">IFERROR(__xludf.DUMMYFUNCTION((TRANSPOSE(ImportHTML("http://spending.data.al/sq/moneypower/view/id/7/year/2013",  "table", 0)))),"*Kategoria*")</f>
        <v>*Kategoria*</v>
      </c>
      <c r="C13" s="10" t="s">
        <v>673</v>
      </c>
      <c r="D13" s="10" t="s">
        <v>674</v>
      </c>
      <c r="E13" s="10" t="s">
        <v>675</v>
      </c>
      <c r="F13" s="10" t="s">
        <v>676</v>
      </c>
      <c r="G13" s="10" t="s">
        <v>677</v>
      </c>
      <c r="H13" s="10" t="s">
        <v>678</v>
      </c>
      <c r="I13" s="10" t="s">
        <v>679</v>
      </c>
      <c r="J13" s="10" t="s">
        <v>680</v>
      </c>
      <c r="K13" s="10" t="s">
        <v>681</v>
      </c>
      <c r="L13" s="10" t="s">
        <v>682</v>
      </c>
      <c r="M13" s="10" t="s">
        <v>683</v>
      </c>
      <c r="N13" s="10" t="s">
        <v>684</v>
      </c>
      <c r="O13" s="10" t="s">
        <v>685</v>
      </c>
      <c r="P13" s="10"/>
      <c r="Q13" s="10"/>
      <c r="R13" s="10"/>
      <c r="S13" s="10"/>
      <c r="T13" s="10"/>
      <c r="U13" s="10"/>
      <c r="V13" s="10"/>
      <c r="W13" s="10"/>
      <c r="X13" s="10"/>
      <c r="Y13" s="10"/>
      <c r="Z13" s="10"/>
    </row>
    <row r="14" spans="1:26" ht="15">
      <c r="A14" s="11"/>
      <c r="B14" s="10" t="s">
        <v>686</v>
      </c>
      <c r="C14" s="10" t="s">
        <v>3780</v>
      </c>
      <c r="D14" s="10" t="s">
        <v>688</v>
      </c>
      <c r="E14" s="10" t="s">
        <v>688</v>
      </c>
      <c r="F14" s="10" t="s">
        <v>688</v>
      </c>
      <c r="G14" s="10" t="s">
        <v>688</v>
      </c>
      <c r="H14" s="10" t="s">
        <v>688</v>
      </c>
      <c r="I14" s="10" t="s">
        <v>688</v>
      </c>
      <c r="J14" s="10" t="s">
        <v>688</v>
      </c>
      <c r="K14" s="10" t="s">
        <v>688</v>
      </c>
      <c r="L14" s="10" t="s">
        <v>3781</v>
      </c>
      <c r="M14" s="10" t="s">
        <v>3782</v>
      </c>
      <c r="N14" s="10">
        <v>1.1599999999999999</v>
      </c>
      <c r="O14" s="10" t="s">
        <v>707</v>
      </c>
      <c r="P14" s="10"/>
      <c r="Q14" s="10"/>
      <c r="R14" s="10"/>
      <c r="S14" s="10"/>
      <c r="T14" s="10"/>
      <c r="U14" s="10"/>
      <c r="V14" s="10"/>
      <c r="W14" s="10"/>
      <c r="X14" s="10"/>
      <c r="Y14" s="10"/>
      <c r="Z14" s="10"/>
    </row>
    <row r="15" spans="1:26" ht="15">
      <c r="A15" s="9">
        <v>8</v>
      </c>
      <c r="B15" s="10" t="str">
        <f ca="1">IFERROR(__xludf.DUMMYFUNCTION((TRANSPOSE(ImportHTML("http://spending.data.al/sq/moneypower/view/id/8/year/2013",  "table", 0)))),"*Kategoria*")</f>
        <v>*Kategoria*</v>
      </c>
      <c r="C15" s="10" t="s">
        <v>673</v>
      </c>
      <c r="D15" s="10" t="s">
        <v>674</v>
      </c>
      <c r="E15" s="10" t="s">
        <v>675</v>
      </c>
      <c r="F15" s="10" t="s">
        <v>676</v>
      </c>
      <c r="G15" s="10" t="s">
        <v>677</v>
      </c>
      <c r="H15" s="10" t="s">
        <v>678</v>
      </c>
      <c r="I15" s="10" t="s">
        <v>679</v>
      </c>
      <c r="J15" s="10" t="s">
        <v>680</v>
      </c>
      <c r="K15" s="10" t="s">
        <v>681</v>
      </c>
      <c r="L15" s="10" t="s">
        <v>682</v>
      </c>
      <c r="M15" s="10" t="s">
        <v>683</v>
      </c>
      <c r="N15" s="10" t="s">
        <v>684</v>
      </c>
      <c r="O15" s="10" t="s">
        <v>685</v>
      </c>
      <c r="P15" s="10"/>
      <c r="Q15" s="10"/>
      <c r="R15" s="10"/>
      <c r="S15" s="10"/>
      <c r="T15" s="10"/>
      <c r="U15" s="10"/>
      <c r="V15" s="10"/>
      <c r="W15" s="10"/>
      <c r="X15" s="10"/>
      <c r="Y15" s="10"/>
      <c r="Z15" s="10"/>
    </row>
    <row r="16" spans="1:26" ht="15">
      <c r="A16" s="11"/>
      <c r="B16" s="10" t="s">
        <v>686</v>
      </c>
      <c r="C16" s="10" t="s">
        <v>3783</v>
      </c>
      <c r="D16" s="10" t="s">
        <v>688</v>
      </c>
      <c r="E16" s="10" t="s">
        <v>688</v>
      </c>
      <c r="F16" s="10" t="s">
        <v>688</v>
      </c>
      <c r="G16" s="10" t="s">
        <v>688</v>
      </c>
      <c r="H16" s="10" t="s">
        <v>688</v>
      </c>
      <c r="I16" s="10" t="s">
        <v>688</v>
      </c>
      <c r="J16" s="10" t="s">
        <v>688</v>
      </c>
      <c r="K16" s="10" t="s">
        <v>688</v>
      </c>
      <c r="L16" s="10" t="s">
        <v>3784</v>
      </c>
      <c r="M16" s="10" t="s">
        <v>688</v>
      </c>
      <c r="N16" s="10">
        <v>1.1200000000000001</v>
      </c>
      <c r="O16" s="10" t="s">
        <v>3785</v>
      </c>
      <c r="P16" s="10"/>
      <c r="Q16" s="10"/>
      <c r="R16" s="10"/>
      <c r="S16" s="10"/>
      <c r="T16" s="10"/>
      <c r="U16" s="10"/>
      <c r="V16" s="10"/>
      <c r="W16" s="10"/>
      <c r="X16" s="10"/>
      <c r="Y16" s="10"/>
      <c r="Z16" s="10"/>
    </row>
    <row r="17" spans="1:26" ht="15">
      <c r="A17" s="9">
        <v>9</v>
      </c>
      <c r="B17" s="10" t="str">
        <f ca="1">IFERROR(__xludf.DUMMYFUNCTION((TRANSPOSE(ImportHTML("http://spending.data.al/sq/moneypower/view/id/9/year/2013",  "table", 0)))),"*Kategoria*")</f>
        <v>*Kategoria*</v>
      </c>
      <c r="C17" s="10" t="s">
        <v>673</v>
      </c>
      <c r="D17" s="10" t="s">
        <v>674</v>
      </c>
      <c r="E17" s="10" t="s">
        <v>675</v>
      </c>
      <c r="F17" s="10" t="s">
        <v>676</v>
      </c>
      <c r="G17" s="10" t="s">
        <v>677</v>
      </c>
      <c r="H17" s="10" t="s">
        <v>678</v>
      </c>
      <c r="I17" s="10" t="s">
        <v>679</v>
      </c>
      <c r="J17" s="10" t="s">
        <v>680</v>
      </c>
      <c r="K17" s="10" t="s">
        <v>681</v>
      </c>
      <c r="L17" s="10" t="s">
        <v>682</v>
      </c>
      <c r="M17" s="10" t="s">
        <v>683</v>
      </c>
      <c r="N17" s="10" t="s">
        <v>684</v>
      </c>
      <c r="O17" s="10" t="s">
        <v>685</v>
      </c>
      <c r="P17" s="10"/>
      <c r="Q17" s="10"/>
      <c r="R17" s="10"/>
      <c r="S17" s="10"/>
      <c r="T17" s="10"/>
      <c r="U17" s="10"/>
      <c r="V17" s="10"/>
      <c r="W17" s="10"/>
      <c r="X17" s="10"/>
      <c r="Y17" s="10"/>
      <c r="Z17" s="10"/>
    </row>
    <row r="18" spans="1:26" ht="15">
      <c r="A18" s="11"/>
      <c r="B18" s="10" t="s">
        <v>686</v>
      </c>
      <c r="C18" s="10" t="s">
        <v>3786</v>
      </c>
      <c r="D18" s="10" t="s">
        <v>688</v>
      </c>
      <c r="E18" s="10" t="s">
        <v>688</v>
      </c>
      <c r="F18" s="10" t="s">
        <v>688</v>
      </c>
      <c r="G18" s="10" t="s">
        <v>688</v>
      </c>
      <c r="H18" s="10" t="s">
        <v>688</v>
      </c>
      <c r="I18" s="10" t="s">
        <v>688</v>
      </c>
      <c r="J18" s="10" t="s">
        <v>688</v>
      </c>
      <c r="K18" s="10" t="s">
        <v>688</v>
      </c>
      <c r="L18" s="10" t="s">
        <v>688</v>
      </c>
      <c r="M18" s="10" t="s">
        <v>688</v>
      </c>
      <c r="N18" s="10">
        <v>1</v>
      </c>
      <c r="O18" s="10" t="s">
        <v>688</v>
      </c>
      <c r="P18" s="10"/>
      <c r="Q18" s="10"/>
      <c r="R18" s="10"/>
      <c r="S18" s="10"/>
      <c r="T18" s="10"/>
      <c r="U18" s="10"/>
      <c r="V18" s="10"/>
      <c r="W18" s="10"/>
      <c r="X18" s="10"/>
      <c r="Y18" s="10"/>
      <c r="Z18" s="10"/>
    </row>
    <row r="19" spans="1:26" ht="15">
      <c r="A19" s="9">
        <v>10</v>
      </c>
      <c r="B19" s="10" t="str">
        <f ca="1">IFERROR(__xludf.DUMMYFUNCTION((TRANSPOSE(ImportHTML("http://spending.data.al/sq/moneypower/view/id/10/year/2013",  "table", 0)))),"*Kategoria*")</f>
        <v>*Kategoria*</v>
      </c>
      <c r="C19" s="10" t="s">
        <v>673</v>
      </c>
      <c r="D19" s="10" t="s">
        <v>674</v>
      </c>
      <c r="E19" s="10" t="s">
        <v>675</v>
      </c>
      <c r="F19" s="10" t="s">
        <v>676</v>
      </c>
      <c r="G19" s="10" t="s">
        <v>677</v>
      </c>
      <c r="H19" s="10" t="s">
        <v>678</v>
      </c>
      <c r="I19" s="10" t="s">
        <v>679</v>
      </c>
      <c r="J19" s="10" t="s">
        <v>680</v>
      </c>
      <c r="K19" s="10" t="s">
        <v>681</v>
      </c>
      <c r="L19" s="10" t="s">
        <v>682</v>
      </c>
      <c r="M19" s="10" t="s">
        <v>683</v>
      </c>
      <c r="N19" s="10" t="s">
        <v>684</v>
      </c>
      <c r="O19" s="10" t="s">
        <v>685</v>
      </c>
      <c r="P19" s="10"/>
      <c r="Q19" s="10"/>
      <c r="R19" s="10"/>
      <c r="S19" s="10"/>
      <c r="T19" s="10"/>
      <c r="U19" s="10"/>
      <c r="V19" s="10"/>
      <c r="W19" s="10"/>
      <c r="X19" s="10"/>
      <c r="Y19" s="10"/>
      <c r="Z19" s="10"/>
    </row>
    <row r="20" spans="1:26" ht="15">
      <c r="A20" s="11"/>
      <c r="B20" s="10" t="s">
        <v>686</v>
      </c>
      <c r="C20" s="10" t="s">
        <v>3787</v>
      </c>
      <c r="D20" s="10" t="s">
        <v>707</v>
      </c>
      <c r="E20" s="10" t="s">
        <v>707</v>
      </c>
      <c r="F20" s="10" t="s">
        <v>707</v>
      </c>
      <c r="G20" s="10" t="s">
        <v>3788</v>
      </c>
      <c r="H20" s="10" t="s">
        <v>3789</v>
      </c>
      <c r="I20" s="10" t="s">
        <v>707</v>
      </c>
      <c r="J20" s="10" t="s">
        <v>707</v>
      </c>
      <c r="K20" s="10" t="s">
        <v>707</v>
      </c>
      <c r="L20" s="10" t="s">
        <v>3790</v>
      </c>
      <c r="M20" s="10" t="s">
        <v>3791</v>
      </c>
      <c r="N20" s="10">
        <v>9.27</v>
      </c>
      <c r="O20" s="10" t="s">
        <v>707</v>
      </c>
      <c r="P20" s="10"/>
      <c r="Q20" s="10"/>
      <c r="R20" s="10"/>
      <c r="S20" s="10"/>
      <c r="T20" s="10"/>
      <c r="U20" s="10"/>
      <c r="V20" s="10"/>
      <c r="W20" s="10"/>
      <c r="X20" s="10"/>
      <c r="Y20" s="10"/>
      <c r="Z20" s="10"/>
    </row>
    <row r="21" spans="1:26" ht="15">
      <c r="A21" s="9">
        <v>11</v>
      </c>
      <c r="B21" s="10" t="str">
        <f ca="1">IFERROR(__xludf.DUMMYFUNCTION((TRANSPOSE(ImportHTML("http://spending.data.al/sq/moneypower/view/id/11/year/2013",  "table", 0)))),"*Kategoria*")</f>
        <v>*Kategoria*</v>
      </c>
      <c r="C21" s="10" t="s">
        <v>673</v>
      </c>
      <c r="D21" s="10" t="s">
        <v>674</v>
      </c>
      <c r="E21" s="10" t="s">
        <v>675</v>
      </c>
      <c r="F21" s="10" t="s">
        <v>676</v>
      </c>
      <c r="G21" s="10" t="s">
        <v>677</v>
      </c>
      <c r="H21" s="10" t="s">
        <v>678</v>
      </c>
      <c r="I21" s="10" t="s">
        <v>679</v>
      </c>
      <c r="J21" s="10" t="s">
        <v>680</v>
      </c>
      <c r="K21" s="10" t="s">
        <v>681</v>
      </c>
      <c r="L21" s="10" t="s">
        <v>682</v>
      </c>
      <c r="M21" s="10" t="s">
        <v>683</v>
      </c>
      <c r="N21" s="10" t="s">
        <v>684</v>
      </c>
      <c r="O21" s="10" t="s">
        <v>685</v>
      </c>
      <c r="P21" s="10"/>
      <c r="Q21" s="10"/>
      <c r="R21" s="10"/>
      <c r="S21" s="10"/>
      <c r="T21" s="10"/>
      <c r="U21" s="10"/>
      <c r="V21" s="10"/>
      <c r="W21" s="10"/>
      <c r="X21" s="10"/>
      <c r="Y21" s="10"/>
      <c r="Z21" s="10"/>
    </row>
    <row r="22" spans="1:26" ht="15">
      <c r="A22" s="11"/>
      <c r="B22" s="10" t="s">
        <v>686</v>
      </c>
      <c r="C22" s="10" t="s">
        <v>3792</v>
      </c>
      <c r="D22" s="10" t="s">
        <v>688</v>
      </c>
      <c r="E22" s="10" t="s">
        <v>3793</v>
      </c>
      <c r="F22" s="10" t="s">
        <v>688</v>
      </c>
      <c r="G22" s="10" t="s">
        <v>688</v>
      </c>
      <c r="H22" s="10" t="s">
        <v>688</v>
      </c>
      <c r="I22" s="10" t="s">
        <v>688</v>
      </c>
      <c r="J22" s="10" t="s">
        <v>688</v>
      </c>
      <c r="K22" s="10" t="s">
        <v>688</v>
      </c>
      <c r="L22" s="10" t="s">
        <v>688</v>
      </c>
      <c r="M22" s="10" t="s">
        <v>688</v>
      </c>
      <c r="N22" s="10">
        <v>1.03</v>
      </c>
      <c r="O22" s="10" t="s">
        <v>707</v>
      </c>
      <c r="P22" s="10"/>
      <c r="Q22" s="10"/>
      <c r="R22" s="10"/>
      <c r="S22" s="10"/>
      <c r="T22" s="10"/>
      <c r="U22" s="10"/>
      <c r="V22" s="10"/>
      <c r="W22" s="10"/>
      <c r="X22" s="10"/>
      <c r="Y22" s="10"/>
      <c r="Z22" s="10"/>
    </row>
    <row r="23" spans="1:26" ht="15">
      <c r="A23" s="9">
        <v>12</v>
      </c>
      <c r="B23" s="10" t="str">
        <f ca="1">IFERROR(__xludf.DUMMYFUNCTION((TRANSPOSE(ImportHTML("http://spending.data.al/sq/moneypower/view/id/12/year/2013",  "table", 0)))),"*Kategoria*")</f>
        <v>*Kategoria*</v>
      </c>
      <c r="C23" s="10" t="s">
        <v>673</v>
      </c>
      <c r="D23" s="10" t="s">
        <v>674</v>
      </c>
      <c r="E23" s="10" t="s">
        <v>675</v>
      </c>
      <c r="F23" s="10" t="s">
        <v>676</v>
      </c>
      <c r="G23" s="10" t="s">
        <v>677</v>
      </c>
      <c r="H23" s="10" t="s">
        <v>678</v>
      </c>
      <c r="I23" s="10" t="s">
        <v>679</v>
      </c>
      <c r="J23" s="10" t="s">
        <v>680</v>
      </c>
      <c r="K23" s="10" t="s">
        <v>681</v>
      </c>
      <c r="L23" s="10" t="s">
        <v>682</v>
      </c>
      <c r="M23" s="10" t="s">
        <v>683</v>
      </c>
      <c r="N23" s="10" t="s">
        <v>684</v>
      </c>
      <c r="O23" s="10" t="s">
        <v>685</v>
      </c>
      <c r="P23" s="10"/>
      <c r="Q23" s="10"/>
      <c r="R23" s="10"/>
      <c r="S23" s="10"/>
      <c r="T23" s="10"/>
      <c r="U23" s="10"/>
      <c r="V23" s="10"/>
      <c r="W23" s="10"/>
      <c r="X23" s="10"/>
      <c r="Y23" s="10"/>
      <c r="Z23" s="10"/>
    </row>
    <row r="24" spans="1:26" ht="15">
      <c r="A24" s="11"/>
      <c r="B24" s="10" t="s">
        <v>686</v>
      </c>
      <c r="C24" s="10" t="s">
        <v>3794</v>
      </c>
      <c r="D24" s="10" t="s">
        <v>688</v>
      </c>
      <c r="E24" s="10" t="s">
        <v>688</v>
      </c>
      <c r="F24" s="10" t="s">
        <v>688</v>
      </c>
      <c r="G24" s="10" t="s">
        <v>688</v>
      </c>
      <c r="H24" s="10" t="s">
        <v>688</v>
      </c>
      <c r="I24" s="10" t="s">
        <v>688</v>
      </c>
      <c r="J24" s="10" t="s">
        <v>688</v>
      </c>
      <c r="K24" s="10" t="s">
        <v>688</v>
      </c>
      <c r="L24" s="10" t="s">
        <v>3795</v>
      </c>
      <c r="M24" s="10" t="s">
        <v>688</v>
      </c>
      <c r="N24" s="10"/>
      <c r="O24" s="10" t="s">
        <v>3796</v>
      </c>
      <c r="P24" s="10"/>
      <c r="Q24" s="10"/>
      <c r="R24" s="10"/>
      <c r="S24" s="10"/>
      <c r="T24" s="10"/>
      <c r="U24" s="10"/>
      <c r="V24" s="10"/>
      <c r="W24" s="10"/>
      <c r="X24" s="10"/>
      <c r="Y24" s="10"/>
      <c r="Z24" s="10"/>
    </row>
    <row r="25" spans="1:26" ht="15">
      <c r="A25" s="9">
        <v>13</v>
      </c>
      <c r="B25" s="10" t="str">
        <f ca="1">IFERROR(__xludf.DUMMYFUNCTION((TRANSPOSE(ImportHTML("http://spending.data.al/sq/moneypower/view/id/13/year/2013",  "table", 0)))),"*Kategoria*")</f>
        <v>*Kategoria*</v>
      </c>
      <c r="C25" s="10" t="s">
        <v>673</v>
      </c>
      <c r="D25" s="10" t="s">
        <v>674</v>
      </c>
      <c r="E25" s="10" t="s">
        <v>675</v>
      </c>
      <c r="F25" s="10" t="s">
        <v>676</v>
      </c>
      <c r="G25" s="10" t="s">
        <v>677</v>
      </c>
      <c r="H25" s="10" t="s">
        <v>678</v>
      </c>
      <c r="I25" s="10" t="s">
        <v>679</v>
      </c>
      <c r="J25" s="10" t="s">
        <v>680</v>
      </c>
      <c r="K25" s="10" t="s">
        <v>681</v>
      </c>
      <c r="L25" s="10" t="s">
        <v>682</v>
      </c>
      <c r="M25" s="10" t="s">
        <v>683</v>
      </c>
      <c r="N25" s="10" t="s">
        <v>684</v>
      </c>
      <c r="O25" s="10" t="s">
        <v>685</v>
      </c>
      <c r="P25" s="10"/>
      <c r="Q25" s="10"/>
      <c r="R25" s="10"/>
      <c r="S25" s="10"/>
      <c r="T25" s="10"/>
      <c r="U25" s="10"/>
      <c r="V25" s="10"/>
      <c r="W25" s="10"/>
      <c r="X25" s="10"/>
      <c r="Y25" s="10"/>
      <c r="Z25" s="10"/>
    </row>
    <row r="26" spans="1:26" ht="15">
      <c r="A26" s="11"/>
      <c r="B26" s="10" t="s">
        <v>686</v>
      </c>
      <c r="C26" s="10" t="s">
        <v>3797</v>
      </c>
      <c r="D26" s="10" t="s">
        <v>688</v>
      </c>
      <c r="E26" s="10" t="s">
        <v>688</v>
      </c>
      <c r="F26" s="10" t="s">
        <v>688</v>
      </c>
      <c r="G26" s="10" t="s">
        <v>688</v>
      </c>
      <c r="H26" s="10" t="s">
        <v>688</v>
      </c>
      <c r="I26" s="10" t="s">
        <v>688</v>
      </c>
      <c r="J26" s="10" t="s">
        <v>3798</v>
      </c>
      <c r="K26" s="10" t="s">
        <v>688</v>
      </c>
      <c r="L26" s="10" t="s">
        <v>3799</v>
      </c>
      <c r="M26" s="10" t="s">
        <v>3800</v>
      </c>
      <c r="N26" s="10">
        <v>1.07</v>
      </c>
      <c r="O26" s="10" t="s">
        <v>3801</v>
      </c>
      <c r="P26" s="10"/>
      <c r="Q26" s="10"/>
      <c r="R26" s="10"/>
      <c r="S26" s="10"/>
      <c r="T26" s="10"/>
      <c r="U26" s="10"/>
      <c r="V26" s="10"/>
      <c r="W26" s="10"/>
      <c r="X26" s="10"/>
      <c r="Y26" s="10"/>
      <c r="Z26" s="10"/>
    </row>
    <row r="27" spans="1:26" ht="15">
      <c r="A27" s="9">
        <v>14</v>
      </c>
      <c r="B27" s="10" t="str">
        <f ca="1">IFERROR(__xludf.DUMMYFUNCTION((TRANSPOSE(ImportHTML("http://spending.data.al/sq/moneypower/view/id/14/year/2013",  "table", 0)))),"*Kategoria*")</f>
        <v>*Kategoria*</v>
      </c>
      <c r="C27" s="10" t="s">
        <v>673</v>
      </c>
      <c r="D27" s="10" t="s">
        <v>674</v>
      </c>
      <c r="E27" s="10" t="s">
        <v>675</v>
      </c>
      <c r="F27" s="10" t="s">
        <v>676</v>
      </c>
      <c r="G27" s="10" t="s">
        <v>677</v>
      </c>
      <c r="H27" s="10" t="s">
        <v>678</v>
      </c>
      <c r="I27" s="10" t="s">
        <v>679</v>
      </c>
      <c r="J27" s="10" t="s">
        <v>680</v>
      </c>
      <c r="K27" s="10" t="s">
        <v>681</v>
      </c>
      <c r="L27" s="10" t="s">
        <v>682</v>
      </c>
      <c r="M27" s="10" t="s">
        <v>683</v>
      </c>
      <c r="N27" s="10" t="s">
        <v>684</v>
      </c>
      <c r="O27" s="10" t="s">
        <v>685</v>
      </c>
      <c r="P27" s="10"/>
      <c r="Q27" s="10"/>
      <c r="R27" s="10"/>
      <c r="S27" s="10"/>
      <c r="T27" s="10"/>
      <c r="U27" s="10"/>
      <c r="V27" s="10"/>
      <c r="W27" s="10"/>
      <c r="X27" s="10"/>
      <c r="Y27" s="10"/>
      <c r="Z27" s="10"/>
    </row>
    <row r="28" spans="1:26" ht="15">
      <c r="A28" s="11"/>
      <c r="B28" s="10" t="s">
        <v>686</v>
      </c>
      <c r="C28" s="10" t="s">
        <v>3802</v>
      </c>
      <c r="D28" s="10" t="s">
        <v>707</v>
      </c>
      <c r="E28" s="10" t="s">
        <v>707</v>
      </c>
      <c r="F28" s="10" t="s">
        <v>707</v>
      </c>
      <c r="G28" s="10" t="s">
        <v>3803</v>
      </c>
      <c r="H28" s="10" t="s">
        <v>707</v>
      </c>
      <c r="I28" s="10" t="s">
        <v>707</v>
      </c>
      <c r="J28" s="10" t="s">
        <v>707</v>
      </c>
      <c r="K28" s="10" t="s">
        <v>707</v>
      </c>
      <c r="L28" s="10" t="s">
        <v>3804</v>
      </c>
      <c r="M28" s="10" t="s">
        <v>707</v>
      </c>
      <c r="N28" s="10">
        <v>6.32</v>
      </c>
      <c r="O28" s="10" t="s">
        <v>707</v>
      </c>
      <c r="P28" s="10"/>
      <c r="Q28" s="10"/>
      <c r="R28" s="10"/>
      <c r="S28" s="10"/>
      <c r="T28" s="10"/>
      <c r="U28" s="10"/>
      <c r="V28" s="10"/>
      <c r="W28" s="10"/>
      <c r="X28" s="10"/>
      <c r="Y28" s="10"/>
      <c r="Z28" s="10"/>
    </row>
    <row r="29" spans="1:26" ht="15">
      <c r="A29" s="9">
        <v>15</v>
      </c>
      <c r="B29" s="10" t="str">
        <f ca="1">IFERROR(__xludf.DUMMYFUNCTION((TRANSPOSE(ImportHTML("http://spending.data.al/sq/moneypower/view/id/15/year/2013",  "table", 0)))),"*Kategoria*")</f>
        <v>*Kategoria*</v>
      </c>
      <c r="C29" s="10" t="s">
        <v>673</v>
      </c>
      <c r="D29" s="10" t="s">
        <v>674</v>
      </c>
      <c r="E29" s="10" t="s">
        <v>675</v>
      </c>
      <c r="F29" s="10" t="s">
        <v>676</v>
      </c>
      <c r="G29" s="10" t="s">
        <v>677</v>
      </c>
      <c r="H29" s="10" t="s">
        <v>678</v>
      </c>
      <c r="I29" s="10" t="s">
        <v>679</v>
      </c>
      <c r="J29" s="10" t="s">
        <v>680</v>
      </c>
      <c r="K29" s="10" t="s">
        <v>681</v>
      </c>
      <c r="L29" s="10" t="s">
        <v>682</v>
      </c>
      <c r="M29" s="10" t="s">
        <v>683</v>
      </c>
      <c r="N29" s="10" t="s">
        <v>684</v>
      </c>
      <c r="O29" s="10" t="s">
        <v>685</v>
      </c>
      <c r="P29" s="10"/>
      <c r="Q29" s="10"/>
      <c r="R29" s="10"/>
      <c r="S29" s="10"/>
      <c r="T29" s="10"/>
      <c r="U29" s="10"/>
      <c r="V29" s="10"/>
      <c r="W29" s="10"/>
      <c r="X29" s="10"/>
      <c r="Y29" s="10"/>
      <c r="Z29" s="10"/>
    </row>
    <row r="30" spans="1:26" ht="15">
      <c r="A30" s="11"/>
      <c r="B30" s="10" t="s">
        <v>686</v>
      </c>
      <c r="C30" s="10" t="s">
        <v>3805</v>
      </c>
      <c r="D30" s="10" t="s">
        <v>688</v>
      </c>
      <c r="E30" s="10" t="s">
        <v>688</v>
      </c>
      <c r="F30" s="10" t="s">
        <v>688</v>
      </c>
      <c r="G30" s="10" t="s">
        <v>688</v>
      </c>
      <c r="H30" s="10" t="s">
        <v>688</v>
      </c>
      <c r="I30" s="10" t="s">
        <v>688</v>
      </c>
      <c r="J30" s="10" t="s">
        <v>688</v>
      </c>
      <c r="K30" s="10" t="s">
        <v>688</v>
      </c>
      <c r="L30" s="10" t="s">
        <v>688</v>
      </c>
      <c r="M30" s="10" t="s">
        <v>688</v>
      </c>
      <c r="N30" s="10" t="s">
        <v>707</v>
      </c>
      <c r="O30" s="10" t="s">
        <v>3806</v>
      </c>
      <c r="P30" s="10"/>
      <c r="Q30" s="10"/>
      <c r="R30" s="10"/>
      <c r="S30" s="10"/>
      <c r="T30" s="10"/>
      <c r="U30" s="10"/>
      <c r="V30" s="10"/>
      <c r="W30" s="10"/>
      <c r="X30" s="10"/>
      <c r="Y30" s="10"/>
      <c r="Z30" s="10"/>
    </row>
    <row r="31" spans="1:26" ht="15">
      <c r="A31" s="9">
        <v>16</v>
      </c>
      <c r="B31" s="10" t="str">
        <f ca="1">IFERROR(__xludf.DUMMYFUNCTION((TRANSPOSE(ImportHTML("http://spending.data.al/sq/moneypower/view/id/16/year/2013",  "table", 0)))),"*Kategoria*")</f>
        <v>*Kategoria*</v>
      </c>
      <c r="C31" s="10" t="s">
        <v>673</v>
      </c>
      <c r="D31" s="10" t="s">
        <v>674</v>
      </c>
      <c r="E31" s="10" t="s">
        <v>675</v>
      </c>
      <c r="F31" s="10" t="s">
        <v>676</v>
      </c>
      <c r="G31" s="10" t="s">
        <v>677</v>
      </c>
      <c r="H31" s="10" t="s">
        <v>678</v>
      </c>
      <c r="I31" s="10" t="s">
        <v>679</v>
      </c>
      <c r="J31" s="10" t="s">
        <v>680</v>
      </c>
      <c r="K31" s="10" t="s">
        <v>681</v>
      </c>
      <c r="L31" s="10" t="s">
        <v>682</v>
      </c>
      <c r="M31" s="10" t="s">
        <v>683</v>
      </c>
      <c r="N31" s="10" t="s">
        <v>684</v>
      </c>
      <c r="O31" s="10" t="s">
        <v>685</v>
      </c>
      <c r="P31" s="10"/>
      <c r="Q31" s="10"/>
      <c r="R31" s="10"/>
      <c r="S31" s="10"/>
      <c r="T31" s="10"/>
      <c r="U31" s="10"/>
      <c r="V31" s="10"/>
      <c r="W31" s="10"/>
      <c r="X31" s="10"/>
      <c r="Y31" s="10"/>
      <c r="Z31" s="10"/>
    </row>
    <row r="32" spans="1:26" ht="15">
      <c r="A32" s="11"/>
      <c r="B32" s="10" t="s">
        <v>686</v>
      </c>
      <c r="C32" s="10" t="s">
        <v>3807</v>
      </c>
      <c r="D32" s="10" t="s">
        <v>688</v>
      </c>
      <c r="E32" s="10" t="s">
        <v>688</v>
      </c>
      <c r="F32" s="10" t="s">
        <v>3808</v>
      </c>
      <c r="G32" s="10" t="s">
        <v>688</v>
      </c>
      <c r="H32" s="10" t="s">
        <v>688</v>
      </c>
      <c r="I32" s="10" t="s">
        <v>688</v>
      </c>
      <c r="J32" s="10" t="s">
        <v>688</v>
      </c>
      <c r="K32" s="10" t="s">
        <v>688</v>
      </c>
      <c r="L32" s="10" t="s">
        <v>688</v>
      </c>
      <c r="M32" s="10" t="s">
        <v>688</v>
      </c>
      <c r="N32" s="10">
        <v>1.67</v>
      </c>
      <c r="O32" s="10" t="s">
        <v>707</v>
      </c>
      <c r="P32" s="10"/>
      <c r="Q32" s="10"/>
      <c r="R32" s="10"/>
      <c r="S32" s="10"/>
      <c r="T32" s="10"/>
      <c r="U32" s="10"/>
      <c r="V32" s="10"/>
      <c r="W32" s="10"/>
      <c r="X32" s="10"/>
      <c r="Y32" s="10"/>
      <c r="Z32" s="10"/>
    </row>
    <row r="33" spans="1:26" ht="15">
      <c r="A33" s="9">
        <v>17</v>
      </c>
      <c r="B33" s="10" t="str">
        <f ca="1">IFERROR(__xludf.DUMMYFUNCTION((TRANSPOSE(ImportHTML("http://spending.data.al/sq/moneypower/view/id/17/year/2013",  "table", 0)))),"*Kategoria*")</f>
        <v>*Kategoria*</v>
      </c>
      <c r="C33" s="10" t="s">
        <v>673</v>
      </c>
      <c r="D33" s="10" t="s">
        <v>674</v>
      </c>
      <c r="E33" s="10" t="s">
        <v>675</v>
      </c>
      <c r="F33" s="10" t="s">
        <v>676</v>
      </c>
      <c r="G33" s="10" t="s">
        <v>677</v>
      </c>
      <c r="H33" s="10" t="s">
        <v>678</v>
      </c>
      <c r="I33" s="10" t="s">
        <v>679</v>
      </c>
      <c r="J33" s="10" t="s">
        <v>680</v>
      </c>
      <c r="K33" s="10" t="s">
        <v>681</v>
      </c>
      <c r="L33" s="10" t="s">
        <v>682</v>
      </c>
      <c r="M33" s="10" t="s">
        <v>683</v>
      </c>
      <c r="N33" s="10" t="s">
        <v>684</v>
      </c>
      <c r="O33" s="10" t="s">
        <v>685</v>
      </c>
      <c r="P33" s="10"/>
      <c r="Q33" s="10"/>
      <c r="R33" s="10"/>
      <c r="S33" s="10"/>
      <c r="T33" s="10"/>
      <c r="U33" s="10"/>
      <c r="V33" s="10"/>
      <c r="W33" s="10"/>
      <c r="X33" s="10"/>
      <c r="Y33" s="10"/>
      <c r="Z33" s="10"/>
    </row>
    <row r="34" spans="1:26" ht="15">
      <c r="A34" s="11"/>
      <c r="B34" s="10" t="s">
        <v>686</v>
      </c>
      <c r="C34" s="10" t="s">
        <v>3809</v>
      </c>
      <c r="D34" s="10" t="s">
        <v>688</v>
      </c>
      <c r="E34" s="10" t="s">
        <v>688</v>
      </c>
      <c r="F34" s="10" t="s">
        <v>688</v>
      </c>
      <c r="G34" s="10" t="s">
        <v>688</v>
      </c>
      <c r="H34" s="10" t="s">
        <v>688</v>
      </c>
      <c r="I34" s="10" t="s">
        <v>688</v>
      </c>
      <c r="J34" s="10" t="s">
        <v>688</v>
      </c>
      <c r="K34" s="10" t="s">
        <v>688</v>
      </c>
      <c r="L34" s="10" t="s">
        <v>3810</v>
      </c>
      <c r="M34" s="10" t="s">
        <v>688</v>
      </c>
      <c r="N34" s="10">
        <v>1</v>
      </c>
      <c r="O34" s="10" t="s">
        <v>707</v>
      </c>
      <c r="P34" s="10"/>
      <c r="Q34" s="10"/>
      <c r="R34" s="10"/>
      <c r="S34" s="10"/>
      <c r="T34" s="10"/>
      <c r="U34" s="10"/>
      <c r="V34" s="10"/>
      <c r="W34" s="10"/>
      <c r="X34" s="10"/>
      <c r="Y34" s="10"/>
      <c r="Z34" s="10"/>
    </row>
    <row r="35" spans="1:26" ht="15">
      <c r="A35" s="9">
        <v>18</v>
      </c>
      <c r="B35" s="10" t="str">
        <f ca="1">IFERROR(__xludf.DUMMYFUNCTION((TRANSPOSE(ImportHTML("http://spending.data.al/sq/moneypower/view/id/18/year/2013",  "table", 0)))),"*Kategoria*")</f>
        <v>*Kategoria*</v>
      </c>
      <c r="C35" s="10" t="s">
        <v>673</v>
      </c>
      <c r="D35" s="10" t="s">
        <v>674</v>
      </c>
      <c r="E35" s="10" t="s">
        <v>675</v>
      </c>
      <c r="F35" s="10" t="s">
        <v>676</v>
      </c>
      <c r="G35" s="10" t="s">
        <v>677</v>
      </c>
      <c r="H35" s="10" t="s">
        <v>678</v>
      </c>
      <c r="I35" s="10" t="s">
        <v>679</v>
      </c>
      <c r="J35" s="10" t="s">
        <v>680</v>
      </c>
      <c r="K35" s="10" t="s">
        <v>681</v>
      </c>
      <c r="L35" s="10" t="s">
        <v>682</v>
      </c>
      <c r="M35" s="10" t="s">
        <v>683</v>
      </c>
      <c r="N35" s="10" t="s">
        <v>684</v>
      </c>
      <c r="O35" s="10" t="s">
        <v>685</v>
      </c>
      <c r="P35" s="10"/>
      <c r="Q35" s="10"/>
      <c r="R35" s="10"/>
      <c r="S35" s="10"/>
      <c r="T35" s="10"/>
      <c r="U35" s="10"/>
      <c r="V35" s="10"/>
      <c r="W35" s="10"/>
      <c r="X35" s="10"/>
      <c r="Y35" s="10"/>
      <c r="Z35" s="10"/>
    </row>
    <row r="36" spans="1:26" ht="15">
      <c r="A36" s="11"/>
      <c r="B36" s="10" t="s">
        <v>686</v>
      </c>
      <c r="C36" s="10" t="s">
        <v>3811</v>
      </c>
      <c r="D36" s="10" t="s">
        <v>3812</v>
      </c>
      <c r="E36" s="10" t="s">
        <v>3813</v>
      </c>
      <c r="F36" s="10" t="s">
        <v>688</v>
      </c>
      <c r="G36" s="10" t="s">
        <v>688</v>
      </c>
      <c r="H36" s="10" t="s">
        <v>688</v>
      </c>
      <c r="I36" s="10" t="s">
        <v>688</v>
      </c>
      <c r="J36" s="10" t="s">
        <v>688</v>
      </c>
      <c r="K36" s="10" t="s">
        <v>688</v>
      </c>
      <c r="L36" s="10" t="s">
        <v>3814</v>
      </c>
      <c r="M36" s="10" t="s">
        <v>688</v>
      </c>
      <c r="N36" s="10">
        <v>1.44</v>
      </c>
      <c r="O36" s="10" t="s">
        <v>3815</v>
      </c>
      <c r="P36" s="10"/>
      <c r="Q36" s="10"/>
      <c r="R36" s="10"/>
      <c r="S36" s="10"/>
      <c r="T36" s="10"/>
      <c r="U36" s="10"/>
      <c r="V36" s="10"/>
      <c r="W36" s="10"/>
      <c r="X36" s="10"/>
      <c r="Y36" s="10"/>
      <c r="Z36" s="10"/>
    </row>
    <row r="37" spans="1:26" ht="15">
      <c r="A37" s="9">
        <v>19</v>
      </c>
      <c r="B37" s="10" t="str">
        <f ca="1">IFERROR(__xludf.DUMMYFUNCTION((TRANSPOSE(ImportHTML("http://spending.data.al/sq/moneypower/view/id/19/year/2013",  "table", 0)))),"*Kategoria*")</f>
        <v>*Kategoria*</v>
      </c>
      <c r="C37" s="10" t="s">
        <v>673</v>
      </c>
      <c r="D37" s="10" t="s">
        <v>674</v>
      </c>
      <c r="E37" s="10" t="s">
        <v>675</v>
      </c>
      <c r="F37" s="10" t="s">
        <v>676</v>
      </c>
      <c r="G37" s="10" t="s">
        <v>677</v>
      </c>
      <c r="H37" s="10" t="s">
        <v>678</v>
      </c>
      <c r="I37" s="10" t="s">
        <v>679</v>
      </c>
      <c r="J37" s="10" t="s">
        <v>680</v>
      </c>
      <c r="K37" s="10" t="s">
        <v>681</v>
      </c>
      <c r="L37" s="10" t="s">
        <v>682</v>
      </c>
      <c r="M37" s="10" t="s">
        <v>683</v>
      </c>
      <c r="N37" s="10" t="s">
        <v>684</v>
      </c>
      <c r="O37" s="10" t="s">
        <v>685</v>
      </c>
      <c r="P37" s="10"/>
      <c r="Q37" s="10"/>
      <c r="R37" s="10"/>
      <c r="S37" s="10"/>
      <c r="T37" s="10"/>
      <c r="U37" s="10"/>
      <c r="V37" s="10"/>
      <c r="W37" s="10"/>
      <c r="X37" s="10"/>
      <c r="Y37" s="10"/>
      <c r="Z37" s="10"/>
    </row>
    <row r="38" spans="1:26" ht="15">
      <c r="A38" s="11"/>
      <c r="B38" s="10" t="s">
        <v>686</v>
      </c>
      <c r="C38" s="10" t="s">
        <v>3816</v>
      </c>
      <c r="D38" s="10" t="s">
        <v>688</v>
      </c>
      <c r="E38" s="10" t="s">
        <v>688</v>
      </c>
      <c r="F38" s="10" t="s">
        <v>688</v>
      </c>
      <c r="G38" s="10" t="s">
        <v>688</v>
      </c>
      <c r="H38" s="10" t="s">
        <v>688</v>
      </c>
      <c r="I38" s="10" t="s">
        <v>688</v>
      </c>
      <c r="J38" s="10" t="s">
        <v>688</v>
      </c>
      <c r="K38" s="10" t="s">
        <v>688</v>
      </c>
      <c r="L38" s="10" t="s">
        <v>3817</v>
      </c>
      <c r="M38" s="10" t="s">
        <v>3818</v>
      </c>
      <c r="N38" s="10">
        <v>1</v>
      </c>
      <c r="O38" s="10" t="s">
        <v>707</v>
      </c>
      <c r="P38" s="10"/>
      <c r="Q38" s="10"/>
      <c r="R38" s="10"/>
      <c r="S38" s="10"/>
      <c r="T38" s="10"/>
      <c r="U38" s="10"/>
      <c r="V38" s="10"/>
      <c r="W38" s="10"/>
      <c r="X38" s="10"/>
      <c r="Y38" s="10"/>
      <c r="Z38" s="10"/>
    </row>
    <row r="39" spans="1:26" ht="15">
      <c r="A39" s="9">
        <v>20</v>
      </c>
      <c r="B39" s="10" t="str">
        <f ca="1">IFERROR(__xludf.DUMMYFUNCTION((TRANSPOSE(ImportHTML("http://spending.data.al/sq/moneypower/view/id/20/year/2013",  "table", 0)))),"*Kategoria*")</f>
        <v>*Kategoria*</v>
      </c>
      <c r="C39" s="10" t="s">
        <v>673</v>
      </c>
      <c r="D39" s="10" t="s">
        <v>674</v>
      </c>
      <c r="E39" s="10" t="s">
        <v>675</v>
      </c>
      <c r="F39" s="10" t="s">
        <v>676</v>
      </c>
      <c r="G39" s="10" t="s">
        <v>677</v>
      </c>
      <c r="H39" s="10" t="s">
        <v>678</v>
      </c>
      <c r="I39" s="10" t="s">
        <v>679</v>
      </c>
      <c r="J39" s="10" t="s">
        <v>680</v>
      </c>
      <c r="K39" s="10" t="s">
        <v>681</v>
      </c>
      <c r="L39" s="10" t="s">
        <v>682</v>
      </c>
      <c r="M39" s="10" t="s">
        <v>683</v>
      </c>
      <c r="N39" s="10" t="s">
        <v>684</v>
      </c>
      <c r="O39" s="10" t="s">
        <v>685</v>
      </c>
      <c r="P39" s="10"/>
      <c r="Q39" s="10"/>
      <c r="R39" s="10"/>
      <c r="S39" s="10"/>
      <c r="T39" s="10"/>
      <c r="U39" s="10"/>
      <c r="V39" s="10"/>
      <c r="W39" s="10"/>
      <c r="X39" s="10"/>
      <c r="Y39" s="10"/>
      <c r="Z39" s="10"/>
    </row>
    <row r="40" spans="1:26" ht="15">
      <c r="A40" s="11"/>
      <c r="B40" s="10" t="s">
        <v>686</v>
      </c>
      <c r="C40" s="10" t="s">
        <v>3819</v>
      </c>
      <c r="D40" s="10" t="s">
        <v>688</v>
      </c>
      <c r="E40" s="10" t="s">
        <v>688</v>
      </c>
      <c r="F40" s="10" t="s">
        <v>688</v>
      </c>
      <c r="G40" s="10" t="s">
        <v>688</v>
      </c>
      <c r="H40" s="10" t="s">
        <v>688</v>
      </c>
      <c r="I40" s="10" t="s">
        <v>688</v>
      </c>
      <c r="J40" s="10" t="s">
        <v>688</v>
      </c>
      <c r="K40" s="10" t="s">
        <v>688</v>
      </c>
      <c r="L40" s="10" t="s">
        <v>3820</v>
      </c>
      <c r="M40" s="10" t="s">
        <v>688</v>
      </c>
      <c r="N40" s="10">
        <v>1.1100000000000001</v>
      </c>
      <c r="O40" s="10" t="s">
        <v>3821</v>
      </c>
      <c r="P40" s="10"/>
      <c r="Q40" s="10"/>
      <c r="R40" s="10"/>
      <c r="S40" s="10"/>
      <c r="T40" s="10"/>
      <c r="U40" s="10"/>
      <c r="V40" s="10"/>
      <c r="W40" s="10"/>
      <c r="X40" s="10"/>
      <c r="Y40" s="10"/>
      <c r="Z40" s="10"/>
    </row>
    <row r="41" spans="1:26" ht="15">
      <c r="A41" s="9">
        <v>21</v>
      </c>
      <c r="B41" s="10" t="str">
        <f ca="1">IFERROR(__xludf.DUMMYFUNCTION((TRANSPOSE(ImportHTML("http://spending.data.al/sq/moneypower/view/id/21/year/2013",  "table", 0)))),"*Kategoria*")</f>
        <v>*Kategoria*</v>
      </c>
      <c r="C41" s="10" t="s">
        <v>673</v>
      </c>
      <c r="D41" s="10" t="s">
        <v>674</v>
      </c>
      <c r="E41" s="10" t="s">
        <v>675</v>
      </c>
      <c r="F41" s="10" t="s">
        <v>676</v>
      </c>
      <c r="G41" s="10" t="s">
        <v>677</v>
      </c>
      <c r="H41" s="10" t="s">
        <v>678</v>
      </c>
      <c r="I41" s="10" t="s">
        <v>679</v>
      </c>
      <c r="J41" s="10" t="s">
        <v>680</v>
      </c>
      <c r="K41" s="10" t="s">
        <v>681</v>
      </c>
      <c r="L41" s="10" t="s">
        <v>682</v>
      </c>
      <c r="M41" s="10" t="s">
        <v>683</v>
      </c>
      <c r="N41" s="10" t="s">
        <v>684</v>
      </c>
      <c r="O41" s="10" t="s">
        <v>685</v>
      </c>
      <c r="P41" s="10"/>
      <c r="Q41" s="10"/>
      <c r="R41" s="10"/>
      <c r="S41" s="10"/>
      <c r="T41" s="10"/>
      <c r="U41" s="10"/>
      <c r="V41" s="10"/>
      <c r="W41" s="10"/>
      <c r="X41" s="10"/>
      <c r="Y41" s="10"/>
      <c r="Z41" s="10"/>
    </row>
    <row r="42" spans="1:26" ht="15">
      <c r="A42" s="11"/>
      <c r="B42" s="10" t="s">
        <v>686</v>
      </c>
      <c r="C42" s="10" t="s">
        <v>815</v>
      </c>
      <c r="D42" s="10" t="s">
        <v>816</v>
      </c>
      <c r="E42" s="10" t="s">
        <v>688</v>
      </c>
      <c r="F42" s="10" t="s">
        <v>688</v>
      </c>
      <c r="G42" s="10" t="s">
        <v>688</v>
      </c>
      <c r="H42" s="10" t="s">
        <v>688</v>
      </c>
      <c r="I42" s="10" t="s">
        <v>688</v>
      </c>
      <c r="J42" s="10" t="s">
        <v>688</v>
      </c>
      <c r="K42" s="10" t="s">
        <v>688</v>
      </c>
      <c r="L42" s="10" t="s">
        <v>817</v>
      </c>
      <c r="M42" s="10" t="s">
        <v>688</v>
      </c>
      <c r="N42" s="10">
        <v>1.25</v>
      </c>
      <c r="O42" s="10" t="s">
        <v>818</v>
      </c>
      <c r="P42" s="10"/>
      <c r="Q42" s="10"/>
      <c r="R42" s="10"/>
      <c r="S42" s="10"/>
      <c r="T42" s="10"/>
      <c r="U42" s="10"/>
      <c r="V42" s="10"/>
      <c r="W42" s="10"/>
      <c r="X42" s="10"/>
      <c r="Y42" s="10"/>
      <c r="Z42" s="10"/>
    </row>
    <row r="43" spans="1:26" ht="15">
      <c r="A43" s="9">
        <v>22</v>
      </c>
      <c r="B43" s="10" t="str">
        <f ca="1">IFERROR(__xludf.DUMMYFUNCTION((TRANSPOSE(ImportHTML("http://spending.data.al/sq/moneypower/view/id/22/year/2013",  "table", 0)))),"*Kategoria*")</f>
        <v>*Kategoria*</v>
      </c>
      <c r="C43" s="10" t="s">
        <v>673</v>
      </c>
      <c r="D43" s="10" t="s">
        <v>674</v>
      </c>
      <c r="E43" s="10" t="s">
        <v>675</v>
      </c>
      <c r="F43" s="10" t="s">
        <v>676</v>
      </c>
      <c r="G43" s="10" t="s">
        <v>677</v>
      </c>
      <c r="H43" s="10" t="s">
        <v>678</v>
      </c>
      <c r="I43" s="10" t="s">
        <v>679</v>
      </c>
      <c r="J43" s="10" t="s">
        <v>680</v>
      </c>
      <c r="K43" s="10" t="s">
        <v>681</v>
      </c>
      <c r="L43" s="10" t="s">
        <v>682</v>
      </c>
      <c r="M43" s="10" t="s">
        <v>683</v>
      </c>
      <c r="N43" s="10" t="s">
        <v>684</v>
      </c>
      <c r="O43" s="10" t="s">
        <v>685</v>
      </c>
      <c r="P43" s="10"/>
      <c r="Q43" s="10"/>
      <c r="R43" s="10"/>
      <c r="S43" s="10"/>
      <c r="T43" s="10"/>
      <c r="U43" s="10"/>
      <c r="V43" s="10"/>
      <c r="W43" s="10"/>
      <c r="X43" s="10"/>
      <c r="Y43" s="10"/>
      <c r="Z43" s="10"/>
    </row>
    <row r="44" spans="1:26" ht="15">
      <c r="A44" s="11"/>
      <c r="B44" s="10" t="s">
        <v>686</v>
      </c>
      <c r="C44" s="10" t="s">
        <v>819</v>
      </c>
      <c r="D44" s="10" t="s">
        <v>820</v>
      </c>
      <c r="E44" s="10" t="s">
        <v>688</v>
      </c>
      <c r="F44" s="10" t="s">
        <v>688</v>
      </c>
      <c r="G44" s="10" t="s">
        <v>688</v>
      </c>
      <c r="H44" s="10" t="s">
        <v>688</v>
      </c>
      <c r="I44" s="10" t="s">
        <v>688</v>
      </c>
      <c r="J44" s="10" t="s">
        <v>688</v>
      </c>
      <c r="K44" s="10" t="s">
        <v>688</v>
      </c>
      <c r="L44" s="10" t="s">
        <v>821</v>
      </c>
      <c r="M44" s="10" t="s">
        <v>822</v>
      </c>
      <c r="N44" s="10">
        <v>1.7</v>
      </c>
      <c r="O44" s="10" t="s">
        <v>823</v>
      </c>
      <c r="P44" s="10"/>
      <c r="Q44" s="10"/>
      <c r="R44" s="10"/>
      <c r="S44" s="10"/>
      <c r="T44" s="10"/>
      <c r="U44" s="10"/>
      <c r="V44" s="10"/>
      <c r="W44" s="10"/>
      <c r="X44" s="10"/>
      <c r="Y44" s="10"/>
      <c r="Z44" s="10"/>
    </row>
    <row r="45" spans="1:26" ht="15">
      <c r="A45" s="9">
        <v>23</v>
      </c>
      <c r="B45" s="10" t="str">
        <f ca="1">IFERROR(__xludf.DUMMYFUNCTION((TRANSPOSE(ImportHTML("http://spending.data.al/sq/moneypower/view/id/23/year/2013",  "table", 0)))),"*Kategoria*")</f>
        <v>*Kategoria*</v>
      </c>
      <c r="C45" s="10" t="s">
        <v>673</v>
      </c>
      <c r="D45" s="10" t="s">
        <v>674</v>
      </c>
      <c r="E45" s="10" t="s">
        <v>675</v>
      </c>
      <c r="F45" s="10" t="s">
        <v>676</v>
      </c>
      <c r="G45" s="10" t="s">
        <v>677</v>
      </c>
      <c r="H45" s="10" t="s">
        <v>678</v>
      </c>
      <c r="I45" s="10" t="s">
        <v>679</v>
      </c>
      <c r="J45" s="10" t="s">
        <v>680</v>
      </c>
      <c r="K45" s="10" t="s">
        <v>681</v>
      </c>
      <c r="L45" s="10" t="s">
        <v>682</v>
      </c>
      <c r="M45" s="10" t="s">
        <v>683</v>
      </c>
      <c r="N45" s="10" t="s">
        <v>684</v>
      </c>
      <c r="O45" s="10" t="s">
        <v>685</v>
      </c>
      <c r="P45" s="10"/>
      <c r="Q45" s="10"/>
      <c r="R45" s="10"/>
      <c r="S45" s="10"/>
      <c r="T45" s="10"/>
      <c r="U45" s="10"/>
      <c r="V45" s="10"/>
      <c r="W45" s="10"/>
      <c r="X45" s="10"/>
      <c r="Y45" s="10"/>
      <c r="Z45" s="10"/>
    </row>
    <row r="46" spans="1:26" ht="15">
      <c r="A46" s="11"/>
      <c r="B46" s="10" t="s">
        <v>686</v>
      </c>
      <c r="C46" s="10" t="s">
        <v>824</v>
      </c>
      <c r="D46" s="10" t="s">
        <v>825</v>
      </c>
      <c r="E46" s="10" t="s">
        <v>826</v>
      </c>
      <c r="F46" s="10" t="s">
        <v>688</v>
      </c>
      <c r="G46" s="10" t="s">
        <v>688</v>
      </c>
      <c r="H46" s="10" t="s">
        <v>688</v>
      </c>
      <c r="I46" s="10" t="s">
        <v>688</v>
      </c>
      <c r="J46" s="10" t="s">
        <v>688</v>
      </c>
      <c r="K46" s="10" t="s">
        <v>688</v>
      </c>
      <c r="L46" s="10" t="s">
        <v>827</v>
      </c>
      <c r="M46" s="10" t="s">
        <v>688</v>
      </c>
      <c r="N46" s="10">
        <v>1.32</v>
      </c>
      <c r="O46" s="10" t="s">
        <v>828</v>
      </c>
      <c r="P46" s="10"/>
      <c r="Q46" s="10"/>
      <c r="R46" s="10"/>
      <c r="S46" s="10"/>
      <c r="T46" s="10"/>
      <c r="U46" s="10"/>
      <c r="V46" s="10"/>
      <c r="W46" s="10"/>
      <c r="X46" s="10"/>
      <c r="Y46" s="10"/>
      <c r="Z46" s="10"/>
    </row>
    <row r="47" spans="1:26" ht="15">
      <c r="A47" s="9">
        <v>24</v>
      </c>
      <c r="B47" s="10" t="str">
        <f ca="1">IFERROR(__xludf.DUMMYFUNCTION((TRANSPOSE(ImportHTML("http://spending.data.al/sq/moneypower/view/id/24/year/2013",  "table", 0)))),"*Kategoria*")</f>
        <v>*Kategoria*</v>
      </c>
      <c r="C47" s="10" t="s">
        <v>673</v>
      </c>
      <c r="D47" s="10" t="s">
        <v>674</v>
      </c>
      <c r="E47" s="10" t="s">
        <v>675</v>
      </c>
      <c r="F47" s="10" t="s">
        <v>676</v>
      </c>
      <c r="G47" s="10" t="s">
        <v>677</v>
      </c>
      <c r="H47" s="10" t="s">
        <v>678</v>
      </c>
      <c r="I47" s="10" t="s">
        <v>679</v>
      </c>
      <c r="J47" s="10" t="s">
        <v>680</v>
      </c>
      <c r="K47" s="10" t="s">
        <v>681</v>
      </c>
      <c r="L47" s="10" t="s">
        <v>682</v>
      </c>
      <c r="M47" s="10" t="s">
        <v>683</v>
      </c>
      <c r="N47" s="10" t="s">
        <v>684</v>
      </c>
      <c r="O47" s="10" t="s">
        <v>685</v>
      </c>
      <c r="P47" s="10"/>
      <c r="Q47" s="10"/>
      <c r="R47" s="10"/>
      <c r="S47" s="10"/>
      <c r="T47" s="10"/>
      <c r="U47" s="10"/>
      <c r="V47" s="10"/>
      <c r="W47" s="10"/>
      <c r="X47" s="10"/>
      <c r="Y47" s="10"/>
      <c r="Z47" s="10"/>
    </row>
    <row r="48" spans="1:26" ht="15">
      <c r="A48" s="11"/>
      <c r="B48" s="10" t="s">
        <v>686</v>
      </c>
      <c r="C48" s="10" t="s">
        <v>829</v>
      </c>
      <c r="D48" s="10" t="s">
        <v>816</v>
      </c>
      <c r="E48" s="10" t="s">
        <v>688</v>
      </c>
      <c r="F48" s="10" t="s">
        <v>830</v>
      </c>
      <c r="G48" s="10" t="s">
        <v>688</v>
      </c>
      <c r="H48" s="10" t="s">
        <v>688</v>
      </c>
      <c r="I48" s="10" t="s">
        <v>688</v>
      </c>
      <c r="J48" s="10" t="s">
        <v>688</v>
      </c>
      <c r="K48" s="10" t="s">
        <v>688</v>
      </c>
      <c r="L48" s="10" t="s">
        <v>688</v>
      </c>
      <c r="M48" s="10" t="s">
        <v>688</v>
      </c>
      <c r="N48" s="10">
        <v>1.23</v>
      </c>
      <c r="O48" s="10" t="s">
        <v>707</v>
      </c>
      <c r="P48" s="10"/>
      <c r="Q48" s="10"/>
      <c r="R48" s="10"/>
      <c r="S48" s="10"/>
      <c r="T48" s="10"/>
      <c r="U48" s="10"/>
      <c r="V48" s="10"/>
      <c r="W48" s="10"/>
      <c r="X48" s="10"/>
      <c r="Y48" s="10"/>
      <c r="Z48" s="10"/>
    </row>
    <row r="49" spans="1:26" ht="15">
      <c r="A49" s="9">
        <v>25</v>
      </c>
      <c r="B49" s="10" t="str">
        <f ca="1">IFERROR(__xludf.DUMMYFUNCTION((TRANSPOSE(ImportHTML("http://spending.data.al/sq/moneypower/view/id/25/year/2013",  "table", 0)))),"*Kategoria*")</f>
        <v>*Kategoria*</v>
      </c>
      <c r="C49" s="10" t="s">
        <v>673</v>
      </c>
      <c r="D49" s="10" t="s">
        <v>674</v>
      </c>
      <c r="E49" s="10" t="s">
        <v>675</v>
      </c>
      <c r="F49" s="10" t="s">
        <v>676</v>
      </c>
      <c r="G49" s="10" t="s">
        <v>677</v>
      </c>
      <c r="H49" s="10" t="s">
        <v>678</v>
      </c>
      <c r="I49" s="10" t="s">
        <v>679</v>
      </c>
      <c r="J49" s="10" t="s">
        <v>680</v>
      </c>
      <c r="K49" s="10" t="s">
        <v>681</v>
      </c>
      <c r="L49" s="10" t="s">
        <v>682</v>
      </c>
      <c r="M49" s="10" t="s">
        <v>683</v>
      </c>
      <c r="N49" s="10" t="s">
        <v>684</v>
      </c>
      <c r="O49" s="10" t="s">
        <v>685</v>
      </c>
      <c r="P49" s="10"/>
      <c r="Q49" s="10"/>
      <c r="R49" s="10"/>
      <c r="S49" s="10"/>
      <c r="T49" s="10"/>
      <c r="U49" s="10"/>
      <c r="V49" s="10"/>
      <c r="W49" s="10"/>
      <c r="X49" s="10"/>
      <c r="Y49" s="10"/>
      <c r="Z49" s="10"/>
    </row>
    <row r="50" spans="1:26" ht="15">
      <c r="A50" s="11"/>
      <c r="B50" s="10" t="s">
        <v>686</v>
      </c>
      <c r="C50" s="10" t="s">
        <v>695</v>
      </c>
      <c r="D50" s="10" t="s">
        <v>692</v>
      </c>
      <c r="E50" s="10" t="s">
        <v>696</v>
      </c>
      <c r="F50" s="10" t="s">
        <v>688</v>
      </c>
      <c r="G50" s="10" t="s">
        <v>688</v>
      </c>
      <c r="H50" s="10" t="s">
        <v>688</v>
      </c>
      <c r="I50" s="10" t="s">
        <v>688</v>
      </c>
      <c r="J50" s="10" t="s">
        <v>688</v>
      </c>
      <c r="K50" s="10" t="s">
        <v>688</v>
      </c>
      <c r="L50" s="10" t="s">
        <v>697</v>
      </c>
      <c r="M50" s="10" t="s">
        <v>688</v>
      </c>
      <c r="N50" s="10">
        <v>1.7</v>
      </c>
      <c r="O50" s="10" t="s">
        <v>688</v>
      </c>
      <c r="P50" s="10"/>
      <c r="Q50" s="10"/>
      <c r="R50" s="10"/>
      <c r="S50" s="10"/>
      <c r="T50" s="10"/>
      <c r="U50" s="10"/>
      <c r="V50" s="10"/>
      <c r="W50" s="10"/>
      <c r="X50" s="10"/>
      <c r="Y50" s="10"/>
      <c r="Z50" s="10"/>
    </row>
    <row r="51" spans="1:26" ht="15">
      <c r="A51" s="9">
        <v>26</v>
      </c>
      <c r="B51" s="10" t="str">
        <f ca="1">IFERROR(__xludf.DUMMYFUNCTION((TRANSPOSE(ImportHTML("http://spending.data.al/sq/moneypower/view/id/26/year/2013",  "table", 0)))),"*Kategoria*")</f>
        <v>*Kategoria*</v>
      </c>
      <c r="C51" s="10" t="s">
        <v>673</v>
      </c>
      <c r="D51" s="10" t="s">
        <v>674</v>
      </c>
      <c r="E51" s="10" t="s">
        <v>675</v>
      </c>
      <c r="F51" s="10" t="s">
        <v>676</v>
      </c>
      <c r="G51" s="10" t="s">
        <v>677</v>
      </c>
      <c r="H51" s="10" t="s">
        <v>678</v>
      </c>
      <c r="I51" s="10" t="s">
        <v>679</v>
      </c>
      <c r="J51" s="10" t="s">
        <v>680</v>
      </c>
      <c r="K51" s="10" t="s">
        <v>681</v>
      </c>
      <c r="L51" s="10" t="s">
        <v>682</v>
      </c>
      <c r="M51" s="10" t="s">
        <v>683</v>
      </c>
      <c r="N51" s="10" t="s">
        <v>684</v>
      </c>
      <c r="O51" s="10" t="s">
        <v>685</v>
      </c>
      <c r="P51" s="10"/>
      <c r="Q51" s="10"/>
      <c r="R51" s="10"/>
      <c r="S51" s="10"/>
      <c r="T51" s="10"/>
      <c r="U51" s="10"/>
      <c r="V51" s="10"/>
      <c r="W51" s="10"/>
      <c r="X51" s="10"/>
      <c r="Y51" s="10"/>
      <c r="Z51" s="10"/>
    </row>
    <row r="52" spans="1:26" ht="15">
      <c r="A52" s="11"/>
      <c r="B52" s="10" t="s">
        <v>686</v>
      </c>
      <c r="C52" s="10" t="s">
        <v>831</v>
      </c>
      <c r="D52" s="10" t="s">
        <v>688</v>
      </c>
      <c r="E52" s="10" t="s">
        <v>696</v>
      </c>
      <c r="F52" s="10" t="s">
        <v>688</v>
      </c>
      <c r="G52" s="10" t="s">
        <v>688</v>
      </c>
      <c r="H52" s="10" t="s">
        <v>688</v>
      </c>
      <c r="I52" s="10" t="s">
        <v>688</v>
      </c>
      <c r="J52" s="10" t="s">
        <v>688</v>
      </c>
      <c r="K52" s="10" t="s">
        <v>688</v>
      </c>
      <c r="L52" s="10" t="s">
        <v>832</v>
      </c>
      <c r="M52" s="10" t="s">
        <v>688</v>
      </c>
      <c r="N52" s="10">
        <v>1.2</v>
      </c>
      <c r="O52" s="10" t="s">
        <v>688</v>
      </c>
      <c r="P52" s="10"/>
      <c r="Q52" s="10"/>
      <c r="R52" s="10"/>
      <c r="S52" s="10"/>
      <c r="T52" s="10"/>
      <c r="U52" s="10"/>
      <c r="V52" s="10"/>
      <c r="W52" s="10"/>
      <c r="X52" s="10"/>
      <c r="Y52" s="10"/>
      <c r="Z52" s="10"/>
    </row>
    <row r="53" spans="1:26" ht="15">
      <c r="A53" s="9">
        <v>27</v>
      </c>
      <c r="B53" s="10" t="str">
        <f ca="1">IFERROR(__xludf.DUMMYFUNCTION((TRANSPOSE(ImportHTML("http://spending.data.al/sq/moneypower/view/id/27/year/2013",  "table", 0)))),"*Kategoria*")</f>
        <v>*Kategoria*</v>
      </c>
      <c r="C53" s="10" t="s">
        <v>673</v>
      </c>
      <c r="D53" s="10" t="s">
        <v>674</v>
      </c>
      <c r="E53" s="10" t="s">
        <v>675</v>
      </c>
      <c r="F53" s="10" t="s">
        <v>676</v>
      </c>
      <c r="G53" s="10" t="s">
        <v>677</v>
      </c>
      <c r="H53" s="10" t="s">
        <v>678</v>
      </c>
      <c r="I53" s="10" t="s">
        <v>679</v>
      </c>
      <c r="J53" s="10" t="s">
        <v>680</v>
      </c>
      <c r="K53" s="10" t="s">
        <v>681</v>
      </c>
      <c r="L53" s="10" t="s">
        <v>682</v>
      </c>
      <c r="M53" s="10" t="s">
        <v>683</v>
      </c>
      <c r="N53" s="10" t="s">
        <v>684</v>
      </c>
      <c r="O53" s="10" t="s">
        <v>685</v>
      </c>
      <c r="P53" s="10"/>
      <c r="Q53" s="10"/>
      <c r="R53" s="10"/>
      <c r="S53" s="10"/>
      <c r="T53" s="10"/>
      <c r="U53" s="10"/>
      <c r="V53" s="10"/>
      <c r="W53" s="10"/>
      <c r="X53" s="10"/>
      <c r="Y53" s="10"/>
      <c r="Z53" s="10"/>
    </row>
    <row r="54" spans="1:26" ht="15">
      <c r="A54" s="11"/>
      <c r="B54" s="10" t="s">
        <v>686</v>
      </c>
      <c r="C54" s="10" t="s">
        <v>833</v>
      </c>
      <c r="D54" s="10" t="s">
        <v>688</v>
      </c>
      <c r="E54" s="10" t="s">
        <v>834</v>
      </c>
      <c r="F54" s="10" t="s">
        <v>688</v>
      </c>
      <c r="G54" s="10" t="s">
        <v>688</v>
      </c>
      <c r="H54" s="10" t="s">
        <v>688</v>
      </c>
      <c r="I54" s="10" t="s">
        <v>688</v>
      </c>
      <c r="J54" s="10" t="s">
        <v>688</v>
      </c>
      <c r="K54" s="10" t="s">
        <v>688</v>
      </c>
      <c r="L54" s="10" t="s">
        <v>835</v>
      </c>
      <c r="M54" s="10" t="s">
        <v>688</v>
      </c>
      <c r="N54" s="10">
        <v>1.17</v>
      </c>
      <c r="O54" s="10" t="s">
        <v>688</v>
      </c>
      <c r="P54" s="10"/>
      <c r="Q54" s="10"/>
      <c r="R54" s="10"/>
      <c r="S54" s="10"/>
      <c r="T54" s="10"/>
      <c r="U54" s="10"/>
      <c r="V54" s="10"/>
      <c r="W54" s="10"/>
      <c r="X54" s="10"/>
      <c r="Y54" s="10"/>
      <c r="Z54" s="10"/>
    </row>
    <row r="55" spans="1:26" ht="15">
      <c r="A55" s="9">
        <v>28</v>
      </c>
      <c r="B55" s="10" t="str">
        <f ca="1">IFERROR(__xludf.DUMMYFUNCTION((TRANSPOSE(ImportHTML("http://spending.data.al/sq/moneypower/view/id/28/year/2013",  "table", 0)))),"*Emër Subjekti*")</f>
        <v>*Emër Subjekti*</v>
      </c>
      <c r="C55" s="10" t="s">
        <v>698</v>
      </c>
      <c r="D55" s="10" t="s">
        <v>699</v>
      </c>
      <c r="E55" s="10" t="s">
        <v>700</v>
      </c>
      <c r="F55" s="10" t="s">
        <v>701</v>
      </c>
      <c r="G55" s="10" t="s">
        <v>702</v>
      </c>
      <c r="H55" s="10"/>
      <c r="I55" s="10"/>
      <c r="J55" s="10"/>
      <c r="K55" s="10"/>
      <c r="L55" s="10"/>
      <c r="M55" s="10"/>
      <c r="N55" s="10"/>
      <c r="O55" s="10"/>
      <c r="P55" s="10"/>
      <c r="Q55" s="10"/>
      <c r="R55" s="10"/>
      <c r="S55" s="10"/>
      <c r="T55" s="10"/>
      <c r="U55" s="10"/>
      <c r="V55" s="10"/>
      <c r="W55" s="10"/>
      <c r="X55" s="10"/>
      <c r="Y55" s="10"/>
      <c r="Z55" s="10"/>
    </row>
    <row r="56" spans="1:26" ht="15">
      <c r="A56" s="11"/>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
      <c r="A57" s="11"/>
      <c r="B57" s="10" t="s">
        <v>1912</v>
      </c>
      <c r="C57" s="10" t="s">
        <v>1913</v>
      </c>
      <c r="D57" s="10" t="s">
        <v>705</v>
      </c>
      <c r="E57" s="10" t="s">
        <v>1914</v>
      </c>
      <c r="F57" s="10" t="s">
        <v>707</v>
      </c>
      <c r="G57" s="10" t="s">
        <v>707</v>
      </c>
      <c r="H57" s="10"/>
      <c r="I57" s="10"/>
      <c r="J57" s="10"/>
      <c r="K57" s="10"/>
      <c r="L57" s="10"/>
      <c r="M57" s="10"/>
      <c r="N57" s="10"/>
      <c r="O57" s="10"/>
      <c r="P57" s="10"/>
      <c r="Q57" s="10"/>
      <c r="R57" s="10"/>
      <c r="S57" s="10"/>
      <c r="T57" s="10"/>
      <c r="U57" s="10"/>
      <c r="V57" s="10"/>
      <c r="W57" s="10"/>
      <c r="X57" s="10"/>
      <c r="Y57" s="10"/>
      <c r="Z57" s="10"/>
    </row>
    <row r="58" spans="1:26" ht="15">
      <c r="A58" s="9">
        <v>29</v>
      </c>
      <c r="B58" s="10" t="str">
        <f ca="1">IFERROR(__xludf.DUMMYFUNCTION((TRANSPOSE(ImportHTML("http://spending.data.al/sq/moneypower/view/id/29/year/2013",  "table", 0)))),"*Kategoria*")</f>
        <v>*Kategoria*</v>
      </c>
      <c r="C58" s="10" t="s">
        <v>673</v>
      </c>
      <c r="D58" s="10" t="s">
        <v>674</v>
      </c>
      <c r="E58" s="10" t="s">
        <v>675</v>
      </c>
      <c r="F58" s="10" t="s">
        <v>676</v>
      </c>
      <c r="G58" s="10" t="s">
        <v>677</v>
      </c>
      <c r="H58" s="10" t="s">
        <v>678</v>
      </c>
      <c r="I58" s="10" t="s">
        <v>679</v>
      </c>
      <c r="J58" s="10" t="s">
        <v>680</v>
      </c>
      <c r="K58" s="10" t="s">
        <v>681</v>
      </c>
      <c r="L58" s="10" t="s">
        <v>682</v>
      </c>
      <c r="M58" s="10" t="s">
        <v>683</v>
      </c>
      <c r="N58" s="10" t="s">
        <v>684</v>
      </c>
      <c r="O58" s="10" t="s">
        <v>685</v>
      </c>
      <c r="P58" s="10"/>
      <c r="Q58" s="10"/>
      <c r="R58" s="10"/>
      <c r="S58" s="10"/>
      <c r="T58" s="10"/>
      <c r="U58" s="10"/>
      <c r="V58" s="10"/>
      <c r="W58" s="10"/>
      <c r="X58" s="10"/>
      <c r="Y58" s="10"/>
      <c r="Z58" s="10"/>
    </row>
    <row r="59" spans="1:26" ht="15">
      <c r="A59" s="11"/>
      <c r="B59" s="10" t="s">
        <v>686</v>
      </c>
      <c r="C59" s="10" t="s">
        <v>836</v>
      </c>
      <c r="D59" s="10" t="s">
        <v>837</v>
      </c>
      <c r="E59" s="10" t="s">
        <v>688</v>
      </c>
      <c r="F59" s="10" t="s">
        <v>688</v>
      </c>
      <c r="G59" s="10" t="s">
        <v>838</v>
      </c>
      <c r="H59" s="10" t="s">
        <v>688</v>
      </c>
      <c r="I59" s="10" t="s">
        <v>688</v>
      </c>
      <c r="J59" s="10" t="s">
        <v>688</v>
      </c>
      <c r="K59" s="10" t="s">
        <v>688</v>
      </c>
      <c r="L59" s="10" t="s">
        <v>839</v>
      </c>
      <c r="M59" s="10" t="s">
        <v>840</v>
      </c>
      <c r="N59" s="10">
        <v>11.11</v>
      </c>
      <c r="O59" s="10" t="s">
        <v>688</v>
      </c>
      <c r="P59" s="10"/>
      <c r="Q59" s="10"/>
      <c r="R59" s="10"/>
      <c r="S59" s="10"/>
      <c r="T59" s="10"/>
      <c r="U59" s="10"/>
      <c r="V59" s="10"/>
      <c r="W59" s="10"/>
      <c r="X59" s="10"/>
      <c r="Y59" s="10"/>
      <c r="Z59" s="10"/>
    </row>
    <row r="60" spans="1:26" ht="15">
      <c r="A60" s="9">
        <v>30</v>
      </c>
      <c r="B60" s="10" t="str">
        <f ca="1">IFERROR(__xludf.DUMMYFUNCTION((TRANSPOSE(ImportHTML("http://spending.data.al/sq/moneypower/view/id/30/year/2013",  "table", 0)))),"*Kategoria*")</f>
        <v>*Kategoria*</v>
      </c>
      <c r="C60" s="10" t="s">
        <v>673</v>
      </c>
      <c r="D60" s="10" t="s">
        <v>674</v>
      </c>
      <c r="E60" s="10" t="s">
        <v>675</v>
      </c>
      <c r="F60" s="10" t="s">
        <v>676</v>
      </c>
      <c r="G60" s="10" t="s">
        <v>677</v>
      </c>
      <c r="H60" s="10" t="s">
        <v>678</v>
      </c>
      <c r="I60" s="10" t="s">
        <v>679</v>
      </c>
      <c r="J60" s="10" t="s">
        <v>680</v>
      </c>
      <c r="K60" s="10" t="s">
        <v>681</v>
      </c>
      <c r="L60" s="10" t="s">
        <v>682</v>
      </c>
      <c r="M60" s="10" t="s">
        <v>683</v>
      </c>
      <c r="N60" s="10" t="s">
        <v>684</v>
      </c>
      <c r="O60" s="10" t="s">
        <v>685</v>
      </c>
      <c r="P60" s="10"/>
      <c r="Q60" s="10"/>
      <c r="R60" s="10"/>
      <c r="S60" s="10"/>
      <c r="T60" s="10"/>
      <c r="U60" s="10"/>
      <c r="V60" s="10"/>
      <c r="W60" s="10"/>
      <c r="X60" s="10"/>
      <c r="Y60" s="10"/>
      <c r="Z60" s="10"/>
    </row>
    <row r="61" spans="1:26" ht="15">
      <c r="A61" s="11"/>
      <c r="B61" s="10" t="s">
        <v>686</v>
      </c>
      <c r="C61" s="10" t="s">
        <v>841</v>
      </c>
      <c r="D61" s="10" t="s">
        <v>688</v>
      </c>
      <c r="E61" s="10" t="s">
        <v>842</v>
      </c>
      <c r="F61" s="10" t="s">
        <v>688</v>
      </c>
      <c r="G61" s="10" t="s">
        <v>688</v>
      </c>
      <c r="H61" s="10" t="s">
        <v>688</v>
      </c>
      <c r="I61" s="10" t="s">
        <v>688</v>
      </c>
      <c r="J61" s="10" t="s">
        <v>688</v>
      </c>
      <c r="K61" s="10" t="s">
        <v>688</v>
      </c>
      <c r="L61" s="10" t="s">
        <v>688</v>
      </c>
      <c r="M61" s="10" t="s">
        <v>688</v>
      </c>
      <c r="N61" s="10">
        <v>1.01</v>
      </c>
      <c r="O61" s="10" t="s">
        <v>688</v>
      </c>
      <c r="P61" s="10"/>
      <c r="Q61" s="10"/>
      <c r="R61" s="10"/>
      <c r="S61" s="10"/>
      <c r="T61" s="10"/>
      <c r="U61" s="10"/>
      <c r="V61" s="10"/>
      <c r="W61" s="10"/>
      <c r="X61" s="10"/>
      <c r="Y61" s="10"/>
      <c r="Z61" s="10"/>
    </row>
    <row r="62" spans="1:26" ht="15">
      <c r="A62" s="9">
        <v>31</v>
      </c>
      <c r="B62" s="10" t="str">
        <f ca="1">IFERROR(__xludf.DUMMYFUNCTION((TRANSPOSE(ImportHTML("http://spending.data.al/sq/moneypower/view/id/31/year/2013",  "table", 0)))),"*Kategoria*")</f>
        <v>*Kategoria*</v>
      </c>
      <c r="C62" s="10" t="s">
        <v>673</v>
      </c>
      <c r="D62" s="10" t="s">
        <v>674</v>
      </c>
      <c r="E62" s="10" t="s">
        <v>675</v>
      </c>
      <c r="F62" s="10" t="s">
        <v>676</v>
      </c>
      <c r="G62" s="10" t="s">
        <v>677</v>
      </c>
      <c r="H62" s="10" t="s">
        <v>678</v>
      </c>
      <c r="I62" s="10" t="s">
        <v>679</v>
      </c>
      <c r="J62" s="10" t="s">
        <v>680</v>
      </c>
      <c r="K62" s="10" t="s">
        <v>681</v>
      </c>
      <c r="L62" s="10" t="s">
        <v>682</v>
      </c>
      <c r="M62" s="10" t="s">
        <v>683</v>
      </c>
      <c r="N62" s="10" t="s">
        <v>684</v>
      </c>
      <c r="O62" s="10" t="s">
        <v>685</v>
      </c>
      <c r="P62" s="10"/>
      <c r="Q62" s="10"/>
      <c r="R62" s="10"/>
      <c r="S62" s="10"/>
      <c r="T62" s="10"/>
      <c r="U62" s="10"/>
      <c r="V62" s="10"/>
      <c r="W62" s="10"/>
      <c r="X62" s="10"/>
      <c r="Y62" s="10"/>
      <c r="Z62" s="10"/>
    </row>
    <row r="63" spans="1:26" ht="15">
      <c r="A63" s="11"/>
      <c r="B63" s="10" t="s">
        <v>686</v>
      </c>
      <c r="C63" s="10" t="s">
        <v>843</v>
      </c>
      <c r="D63" s="10" t="s">
        <v>844</v>
      </c>
      <c r="E63" s="10" t="s">
        <v>845</v>
      </c>
      <c r="F63" s="10" t="s">
        <v>688</v>
      </c>
      <c r="G63" s="10" t="s">
        <v>688</v>
      </c>
      <c r="H63" s="10" t="s">
        <v>688</v>
      </c>
      <c r="I63" s="10" t="s">
        <v>688</v>
      </c>
      <c r="J63" s="10" t="s">
        <v>688</v>
      </c>
      <c r="K63" s="10" t="s">
        <v>688</v>
      </c>
      <c r="L63" s="10" t="s">
        <v>846</v>
      </c>
      <c r="M63" s="10" t="s">
        <v>688</v>
      </c>
      <c r="N63" s="10">
        <v>2.62</v>
      </c>
      <c r="O63" s="10" t="s">
        <v>688</v>
      </c>
      <c r="P63" s="10"/>
      <c r="Q63" s="10"/>
      <c r="R63" s="10"/>
      <c r="S63" s="10"/>
      <c r="T63" s="10"/>
      <c r="U63" s="10"/>
      <c r="V63" s="10"/>
      <c r="W63" s="10"/>
      <c r="X63" s="10"/>
      <c r="Y63" s="10"/>
      <c r="Z63" s="10"/>
    </row>
    <row r="64" spans="1:26" ht="15">
      <c r="A64" s="9">
        <v>32</v>
      </c>
      <c r="B64" s="10" t="str">
        <f ca="1">IFERROR(__xludf.DUMMYFUNCTION((TRANSPOSE(ImportHTML("http://spending.data.al/sq/moneypower/view/id/32/year/2013",  "table", 0)))),"*Kategoria*")</f>
        <v>*Kategoria*</v>
      </c>
      <c r="C64" s="10" t="s">
        <v>673</v>
      </c>
      <c r="D64" s="10" t="s">
        <v>674</v>
      </c>
      <c r="E64" s="10" t="s">
        <v>675</v>
      </c>
      <c r="F64" s="10" t="s">
        <v>676</v>
      </c>
      <c r="G64" s="10" t="s">
        <v>677</v>
      </c>
      <c r="H64" s="10" t="s">
        <v>678</v>
      </c>
      <c r="I64" s="10" t="s">
        <v>679</v>
      </c>
      <c r="J64" s="10" t="s">
        <v>680</v>
      </c>
      <c r="K64" s="10" t="s">
        <v>681</v>
      </c>
      <c r="L64" s="10" t="s">
        <v>682</v>
      </c>
      <c r="M64" s="10" t="s">
        <v>683</v>
      </c>
      <c r="N64" s="10" t="s">
        <v>684</v>
      </c>
      <c r="O64" s="10" t="s">
        <v>685</v>
      </c>
      <c r="P64" s="10"/>
      <c r="Q64" s="10"/>
      <c r="R64" s="10"/>
      <c r="S64" s="10"/>
      <c r="T64" s="10"/>
      <c r="U64" s="10"/>
      <c r="V64" s="10"/>
      <c r="W64" s="10"/>
      <c r="X64" s="10"/>
      <c r="Y64" s="10"/>
      <c r="Z64" s="10"/>
    </row>
    <row r="65" spans="1:26" ht="15">
      <c r="A65" s="11"/>
      <c r="B65" s="10" t="s">
        <v>686</v>
      </c>
      <c r="C65" s="10" t="s">
        <v>847</v>
      </c>
      <c r="D65" s="10" t="s">
        <v>688</v>
      </c>
      <c r="E65" s="10" t="s">
        <v>848</v>
      </c>
      <c r="F65" s="10" t="s">
        <v>688</v>
      </c>
      <c r="G65" s="10" t="s">
        <v>688</v>
      </c>
      <c r="H65" s="10" t="s">
        <v>688</v>
      </c>
      <c r="I65" s="10" t="s">
        <v>688</v>
      </c>
      <c r="J65" s="10" t="s">
        <v>688</v>
      </c>
      <c r="K65" s="10" t="s">
        <v>688</v>
      </c>
      <c r="L65" s="10" t="s">
        <v>688</v>
      </c>
      <c r="M65" s="10" t="s">
        <v>688</v>
      </c>
      <c r="N65" s="10">
        <v>1.2</v>
      </c>
      <c r="O65" s="10" t="s">
        <v>688</v>
      </c>
      <c r="P65" s="10"/>
      <c r="Q65" s="10"/>
      <c r="R65" s="10"/>
      <c r="S65" s="10"/>
      <c r="T65" s="10"/>
      <c r="U65" s="10"/>
      <c r="V65" s="10"/>
      <c r="W65" s="10"/>
      <c r="X65" s="10"/>
      <c r="Y65" s="10"/>
      <c r="Z65" s="10"/>
    </row>
    <row r="66" spans="1:26" ht="15">
      <c r="A66" s="9">
        <v>33</v>
      </c>
      <c r="B66" s="10" t="s">
        <v>4417</v>
      </c>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
      <c r="A67" s="11"/>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
      <c r="A68" s="11"/>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
      <c r="A69" s="9">
        <v>34</v>
      </c>
      <c r="B69" s="10" t="str">
        <f ca="1">IFERROR(__xludf.DUMMYFUNCTION((TRANSPOSE(ImportHTML("http://spending.data.al/sq/moneypower/view/id/34/year/2013",  "table", 0)))),"*Kategoria*")</f>
        <v>*Kategoria*</v>
      </c>
      <c r="C69" s="10" t="s">
        <v>673</v>
      </c>
      <c r="D69" s="10" t="s">
        <v>674</v>
      </c>
      <c r="E69" s="10" t="s">
        <v>675</v>
      </c>
      <c r="F69" s="10" t="s">
        <v>676</v>
      </c>
      <c r="G69" s="10" t="s">
        <v>677</v>
      </c>
      <c r="H69" s="10" t="s">
        <v>678</v>
      </c>
      <c r="I69" s="10" t="s">
        <v>679</v>
      </c>
      <c r="J69" s="10" t="s">
        <v>680</v>
      </c>
      <c r="K69" s="10" t="s">
        <v>681</v>
      </c>
      <c r="L69" s="10" t="s">
        <v>682</v>
      </c>
      <c r="M69" s="10" t="s">
        <v>683</v>
      </c>
      <c r="N69" s="10" t="s">
        <v>684</v>
      </c>
      <c r="O69" s="10" t="s">
        <v>685</v>
      </c>
      <c r="P69" s="10"/>
      <c r="Q69" s="10"/>
      <c r="R69" s="10"/>
      <c r="S69" s="10"/>
      <c r="T69" s="10"/>
      <c r="U69" s="10"/>
      <c r="V69" s="10"/>
      <c r="W69" s="10"/>
      <c r="X69" s="10"/>
      <c r="Y69" s="10"/>
      <c r="Z69" s="10"/>
    </row>
    <row r="70" spans="1:26" ht="15">
      <c r="A70" s="11"/>
      <c r="B70" s="10" t="s">
        <v>686</v>
      </c>
      <c r="C70" s="10" t="s">
        <v>849</v>
      </c>
      <c r="D70" s="10" t="s">
        <v>688</v>
      </c>
      <c r="E70" s="10" t="s">
        <v>688</v>
      </c>
      <c r="F70" s="10" t="s">
        <v>688</v>
      </c>
      <c r="G70" s="10" t="s">
        <v>688</v>
      </c>
      <c r="H70" s="10" t="s">
        <v>688</v>
      </c>
      <c r="I70" s="10" t="s">
        <v>688</v>
      </c>
      <c r="J70" s="10" t="s">
        <v>688</v>
      </c>
      <c r="K70" s="10" t="s">
        <v>688</v>
      </c>
      <c r="L70" s="10" t="s">
        <v>850</v>
      </c>
      <c r="M70" s="10" t="s">
        <v>688</v>
      </c>
      <c r="N70" s="10">
        <v>1</v>
      </c>
      <c r="O70" s="10" t="s">
        <v>688</v>
      </c>
      <c r="P70" s="10"/>
      <c r="Q70" s="10"/>
      <c r="R70" s="10"/>
      <c r="S70" s="10"/>
      <c r="T70" s="10"/>
      <c r="U70" s="10"/>
      <c r="V70" s="10"/>
      <c r="W70" s="10"/>
      <c r="X70" s="10"/>
      <c r="Y70" s="10"/>
      <c r="Z70" s="10"/>
    </row>
    <row r="71" spans="1:26" ht="15">
      <c r="A71" s="9">
        <v>35</v>
      </c>
      <c r="B71" s="10" t="str">
        <f ca="1">IFERROR(__xludf.DUMMYFUNCTION((TRANSPOSE(ImportHTML("http://spending.data.al/sq/moneypower/view/id/35/year/2013",  "table", 0)))),"*Kategoria*")</f>
        <v>*Kategoria*</v>
      </c>
      <c r="C71" s="10" t="s">
        <v>673</v>
      </c>
      <c r="D71" s="10" t="s">
        <v>674</v>
      </c>
      <c r="E71" s="10" t="s">
        <v>675</v>
      </c>
      <c r="F71" s="10" t="s">
        <v>676</v>
      </c>
      <c r="G71" s="10" t="s">
        <v>677</v>
      </c>
      <c r="H71" s="10" t="s">
        <v>678</v>
      </c>
      <c r="I71" s="10" t="s">
        <v>679</v>
      </c>
      <c r="J71" s="10" t="s">
        <v>680</v>
      </c>
      <c r="K71" s="10" t="s">
        <v>681</v>
      </c>
      <c r="L71" s="10" t="s">
        <v>682</v>
      </c>
      <c r="M71" s="10" t="s">
        <v>683</v>
      </c>
      <c r="N71" s="10" t="s">
        <v>684</v>
      </c>
      <c r="O71" s="10" t="s">
        <v>685</v>
      </c>
      <c r="P71" s="10"/>
      <c r="Q71" s="10"/>
      <c r="R71" s="10"/>
      <c r="S71" s="10"/>
      <c r="T71" s="10"/>
      <c r="U71" s="10"/>
      <c r="V71" s="10"/>
      <c r="W71" s="10"/>
      <c r="X71" s="10"/>
      <c r="Y71" s="10"/>
      <c r="Z71" s="10"/>
    </row>
    <row r="72" spans="1:26" ht="15">
      <c r="A72" s="11"/>
      <c r="B72" s="10" t="s">
        <v>686</v>
      </c>
      <c r="C72" s="10" t="s">
        <v>851</v>
      </c>
      <c r="D72" s="10" t="s">
        <v>688</v>
      </c>
      <c r="E72" s="10" t="s">
        <v>852</v>
      </c>
      <c r="F72" s="10" t="s">
        <v>853</v>
      </c>
      <c r="G72" s="10" t="s">
        <v>688</v>
      </c>
      <c r="H72" s="10" t="s">
        <v>854</v>
      </c>
      <c r="I72" s="10" t="s">
        <v>688</v>
      </c>
      <c r="J72" s="10" t="s">
        <v>688</v>
      </c>
      <c r="K72" s="10" t="s">
        <v>688</v>
      </c>
      <c r="L72" s="10" t="s">
        <v>855</v>
      </c>
      <c r="M72" s="10" t="s">
        <v>688</v>
      </c>
      <c r="N72" s="10">
        <v>2.2200000000000002</v>
      </c>
      <c r="O72" s="10" t="s">
        <v>856</v>
      </c>
      <c r="P72" s="10"/>
      <c r="Q72" s="10"/>
      <c r="R72" s="10"/>
      <c r="S72" s="10"/>
      <c r="T72" s="10"/>
      <c r="U72" s="10"/>
      <c r="V72" s="10"/>
      <c r="W72" s="10"/>
      <c r="X72" s="10"/>
      <c r="Y72" s="10"/>
      <c r="Z72" s="10"/>
    </row>
    <row r="73" spans="1:26" ht="15">
      <c r="A73" s="9">
        <v>36</v>
      </c>
      <c r="B73" s="10" t="str">
        <f ca="1">IFERROR(__xludf.DUMMYFUNCTION((TRANSPOSE(ImportHTML("http://spending.data.al/sq/moneypower/view/id/36/year/2013",  "table", 0)))),"*Kategoria*")</f>
        <v>*Kategoria*</v>
      </c>
      <c r="C73" s="10" t="s">
        <v>673</v>
      </c>
      <c r="D73" s="10" t="s">
        <v>674</v>
      </c>
      <c r="E73" s="10" t="s">
        <v>675</v>
      </c>
      <c r="F73" s="10" t="s">
        <v>676</v>
      </c>
      <c r="G73" s="10" t="s">
        <v>677</v>
      </c>
      <c r="H73" s="10" t="s">
        <v>678</v>
      </c>
      <c r="I73" s="10" t="s">
        <v>679</v>
      </c>
      <c r="J73" s="10" t="s">
        <v>680</v>
      </c>
      <c r="K73" s="10" t="s">
        <v>681</v>
      </c>
      <c r="L73" s="10" t="s">
        <v>682</v>
      </c>
      <c r="M73" s="10" t="s">
        <v>683</v>
      </c>
      <c r="N73" s="10" t="s">
        <v>684</v>
      </c>
      <c r="O73" s="10" t="s">
        <v>685</v>
      </c>
      <c r="P73" s="10"/>
      <c r="Q73" s="10"/>
      <c r="R73" s="10"/>
      <c r="S73" s="10"/>
      <c r="T73" s="10"/>
      <c r="U73" s="10"/>
      <c r="V73" s="10"/>
      <c r="W73" s="10"/>
      <c r="X73" s="10"/>
      <c r="Y73" s="10"/>
      <c r="Z73" s="10"/>
    </row>
    <row r="74" spans="1:26" ht="15">
      <c r="A74" s="11"/>
      <c r="B74" s="10" t="s">
        <v>686</v>
      </c>
      <c r="C74" s="10" t="s">
        <v>857</v>
      </c>
      <c r="D74" s="10" t="s">
        <v>688</v>
      </c>
      <c r="E74" s="10" t="s">
        <v>858</v>
      </c>
      <c r="F74" s="10" t="s">
        <v>688</v>
      </c>
      <c r="G74" s="10" t="s">
        <v>688</v>
      </c>
      <c r="H74" s="10" t="s">
        <v>688</v>
      </c>
      <c r="I74" s="10" t="s">
        <v>688</v>
      </c>
      <c r="J74" s="10" t="s">
        <v>688</v>
      </c>
      <c r="K74" s="10" t="s">
        <v>688</v>
      </c>
      <c r="L74" s="10" t="s">
        <v>859</v>
      </c>
      <c r="M74" s="10" t="s">
        <v>688</v>
      </c>
      <c r="N74" s="10">
        <v>1.17</v>
      </c>
      <c r="O74" s="10" t="s">
        <v>688</v>
      </c>
      <c r="P74" s="10"/>
      <c r="Q74" s="10"/>
      <c r="R74" s="10"/>
      <c r="S74" s="10"/>
      <c r="T74" s="10"/>
      <c r="U74" s="10"/>
      <c r="V74" s="10"/>
      <c r="W74" s="10"/>
      <c r="X74" s="10"/>
      <c r="Y74" s="10"/>
      <c r="Z74" s="10"/>
    </row>
    <row r="75" spans="1:26" ht="15">
      <c r="A75" s="9">
        <v>37</v>
      </c>
      <c r="B75" s="10" t="str">
        <f ca="1">IFERROR(__xludf.DUMMYFUNCTION((TRANSPOSE(ImportHTML("http://spending.data.al/sq/moneypower/view/id/37/year/2013",  "table", 0)))),"*Kategoria*")</f>
        <v>*Kategoria*</v>
      </c>
      <c r="C75" s="10" t="s">
        <v>673</v>
      </c>
      <c r="D75" s="10" t="s">
        <v>674</v>
      </c>
      <c r="E75" s="10" t="s">
        <v>675</v>
      </c>
      <c r="F75" s="10" t="s">
        <v>676</v>
      </c>
      <c r="G75" s="10" t="s">
        <v>677</v>
      </c>
      <c r="H75" s="10" t="s">
        <v>678</v>
      </c>
      <c r="I75" s="10" t="s">
        <v>679</v>
      </c>
      <c r="J75" s="10" t="s">
        <v>680</v>
      </c>
      <c r="K75" s="10" t="s">
        <v>681</v>
      </c>
      <c r="L75" s="10" t="s">
        <v>682</v>
      </c>
      <c r="M75" s="10" t="s">
        <v>683</v>
      </c>
      <c r="N75" s="10" t="s">
        <v>684</v>
      </c>
      <c r="O75" s="10" t="s">
        <v>685</v>
      </c>
      <c r="P75" s="10"/>
      <c r="Q75" s="10"/>
      <c r="R75" s="10"/>
      <c r="S75" s="10"/>
      <c r="T75" s="10"/>
      <c r="U75" s="10"/>
      <c r="V75" s="10"/>
      <c r="W75" s="10"/>
      <c r="X75" s="10"/>
      <c r="Y75" s="10"/>
      <c r="Z75" s="10"/>
    </row>
    <row r="76" spans="1:26" ht="15">
      <c r="A76" s="11"/>
      <c r="B76" s="10" t="s">
        <v>686</v>
      </c>
      <c r="C76" s="10" t="s">
        <v>860</v>
      </c>
      <c r="D76" s="10" t="s">
        <v>688</v>
      </c>
      <c r="E76" s="10" t="s">
        <v>688</v>
      </c>
      <c r="F76" s="10" t="s">
        <v>688</v>
      </c>
      <c r="G76" s="10" t="s">
        <v>688</v>
      </c>
      <c r="H76" s="10" t="s">
        <v>688</v>
      </c>
      <c r="I76" s="10" t="s">
        <v>688</v>
      </c>
      <c r="J76" s="10" t="s">
        <v>688</v>
      </c>
      <c r="K76" s="10" t="s">
        <v>688</v>
      </c>
      <c r="L76" s="10" t="s">
        <v>861</v>
      </c>
      <c r="M76" s="10" t="s">
        <v>688</v>
      </c>
      <c r="N76" s="10">
        <v>1</v>
      </c>
      <c r="O76" s="10" t="s">
        <v>688</v>
      </c>
      <c r="P76" s="10"/>
      <c r="Q76" s="10"/>
      <c r="R76" s="10"/>
      <c r="S76" s="10"/>
      <c r="T76" s="10"/>
      <c r="U76" s="10"/>
      <c r="V76" s="10"/>
      <c r="W76" s="10"/>
      <c r="X76" s="10"/>
      <c r="Y76" s="10"/>
      <c r="Z76" s="10"/>
    </row>
    <row r="77" spans="1:26" ht="15">
      <c r="A77" s="9">
        <v>38</v>
      </c>
      <c r="B77" s="10" t="str">
        <f ca="1">IFERROR(__xludf.DUMMYFUNCTION((TRANSPOSE(ImportHTML("http://spending.data.al/sq/moneypower/view/id/38/year/2013",  "table", 0)))),"*Kategoria*")</f>
        <v>*Kategoria*</v>
      </c>
      <c r="C77" s="10" t="s">
        <v>673</v>
      </c>
      <c r="D77" s="10" t="s">
        <v>674</v>
      </c>
      <c r="E77" s="10" t="s">
        <v>675</v>
      </c>
      <c r="F77" s="10" t="s">
        <v>676</v>
      </c>
      <c r="G77" s="10" t="s">
        <v>677</v>
      </c>
      <c r="H77" s="10" t="s">
        <v>678</v>
      </c>
      <c r="I77" s="10" t="s">
        <v>679</v>
      </c>
      <c r="J77" s="10" t="s">
        <v>680</v>
      </c>
      <c r="K77" s="10" t="s">
        <v>681</v>
      </c>
      <c r="L77" s="10" t="s">
        <v>682</v>
      </c>
      <c r="M77" s="10" t="s">
        <v>683</v>
      </c>
      <c r="N77" s="10" t="s">
        <v>684</v>
      </c>
      <c r="O77" s="10" t="s">
        <v>685</v>
      </c>
      <c r="P77" s="10"/>
      <c r="Q77" s="10"/>
      <c r="R77" s="10"/>
      <c r="S77" s="10"/>
      <c r="T77" s="10"/>
      <c r="U77" s="10"/>
      <c r="V77" s="10"/>
      <c r="W77" s="10"/>
      <c r="X77" s="10"/>
      <c r="Y77" s="10"/>
      <c r="Z77" s="10"/>
    </row>
    <row r="78" spans="1:26" ht="15">
      <c r="A78" s="11"/>
      <c r="B78" s="10" t="s">
        <v>686</v>
      </c>
      <c r="C78" s="10" t="s">
        <v>862</v>
      </c>
      <c r="D78" s="10" t="s">
        <v>688</v>
      </c>
      <c r="E78" s="10" t="s">
        <v>863</v>
      </c>
      <c r="F78" s="10" t="s">
        <v>688</v>
      </c>
      <c r="G78" s="10" t="s">
        <v>688</v>
      </c>
      <c r="H78" s="10" t="s">
        <v>688</v>
      </c>
      <c r="I78" s="10" t="s">
        <v>688</v>
      </c>
      <c r="J78" s="10" t="s">
        <v>688</v>
      </c>
      <c r="K78" s="10" t="s">
        <v>688</v>
      </c>
      <c r="L78" s="10" t="s">
        <v>864</v>
      </c>
      <c r="M78" s="10" t="s">
        <v>688</v>
      </c>
      <c r="N78" s="10">
        <v>1.06</v>
      </c>
      <c r="O78" s="10" t="s">
        <v>688</v>
      </c>
      <c r="P78" s="10"/>
      <c r="Q78" s="10"/>
      <c r="R78" s="10"/>
      <c r="S78" s="10"/>
      <c r="T78" s="10"/>
      <c r="U78" s="10"/>
      <c r="V78" s="10"/>
      <c r="W78" s="10"/>
      <c r="X78" s="10"/>
      <c r="Y78" s="10"/>
      <c r="Z78" s="10"/>
    </row>
    <row r="79" spans="1:26" ht="15">
      <c r="A79" s="9">
        <v>39</v>
      </c>
      <c r="B79" s="10" t="str">
        <f ca="1">IFERROR(__xludf.DUMMYFUNCTION((TRANSPOSE(ImportHTML("http://spending.data.al/sq/moneypower/view/id/39/year/2013",  "table", 0)))),"*Kategoria*")</f>
        <v>*Kategoria*</v>
      </c>
      <c r="C79" s="10" t="s">
        <v>673</v>
      </c>
      <c r="D79" s="10" t="s">
        <v>674</v>
      </c>
      <c r="E79" s="10" t="s">
        <v>675</v>
      </c>
      <c r="F79" s="10" t="s">
        <v>676</v>
      </c>
      <c r="G79" s="10" t="s">
        <v>677</v>
      </c>
      <c r="H79" s="10" t="s">
        <v>678</v>
      </c>
      <c r="I79" s="10" t="s">
        <v>679</v>
      </c>
      <c r="J79" s="10" t="s">
        <v>680</v>
      </c>
      <c r="K79" s="10" t="s">
        <v>681</v>
      </c>
      <c r="L79" s="10" t="s">
        <v>682</v>
      </c>
      <c r="M79" s="10" t="s">
        <v>683</v>
      </c>
      <c r="N79" s="10" t="s">
        <v>684</v>
      </c>
      <c r="O79" s="10" t="s">
        <v>685</v>
      </c>
      <c r="P79" s="10"/>
      <c r="Q79" s="10"/>
      <c r="R79" s="10"/>
      <c r="S79" s="10"/>
      <c r="T79" s="10"/>
      <c r="U79" s="10"/>
      <c r="V79" s="10"/>
      <c r="W79" s="10"/>
      <c r="X79" s="10"/>
      <c r="Y79" s="10"/>
      <c r="Z79" s="10"/>
    </row>
    <row r="80" spans="1:26" ht="15">
      <c r="A80" s="11"/>
      <c r="B80" s="10" t="s">
        <v>686</v>
      </c>
      <c r="C80" s="10" t="s">
        <v>865</v>
      </c>
      <c r="D80" s="10" t="s">
        <v>688</v>
      </c>
      <c r="E80" s="10" t="s">
        <v>688</v>
      </c>
      <c r="F80" s="10" t="s">
        <v>688</v>
      </c>
      <c r="G80" s="10" t="s">
        <v>688</v>
      </c>
      <c r="H80" s="10" t="s">
        <v>688</v>
      </c>
      <c r="I80" s="10" t="s">
        <v>688</v>
      </c>
      <c r="J80" s="10" t="s">
        <v>688</v>
      </c>
      <c r="K80" s="10" t="s">
        <v>688</v>
      </c>
      <c r="L80" s="10" t="s">
        <v>688</v>
      </c>
      <c r="M80" s="10" t="s">
        <v>688</v>
      </c>
      <c r="N80" s="10">
        <v>1</v>
      </c>
      <c r="O80" s="10" t="s">
        <v>688</v>
      </c>
      <c r="P80" s="10"/>
      <c r="Q80" s="10"/>
      <c r="R80" s="10"/>
      <c r="S80" s="10"/>
      <c r="T80" s="10"/>
      <c r="U80" s="10"/>
      <c r="V80" s="10"/>
      <c r="W80" s="10"/>
      <c r="X80" s="10"/>
      <c r="Y80" s="10"/>
      <c r="Z80" s="10"/>
    </row>
    <row r="81" spans="1:26" ht="15">
      <c r="A81" s="9">
        <v>40</v>
      </c>
      <c r="B81" s="10" t="str">
        <f ca="1">IFERROR(__xludf.DUMMYFUNCTION((TRANSPOSE(ImportHTML("http://spending.data.al/sq/moneypower/view/id/40/year/2013",  "table", 0)))),"*Kategoria*")</f>
        <v>*Kategoria*</v>
      </c>
      <c r="C81" s="10" t="s">
        <v>673</v>
      </c>
      <c r="D81" s="10" t="s">
        <v>674</v>
      </c>
      <c r="E81" s="10" t="s">
        <v>675</v>
      </c>
      <c r="F81" s="10" t="s">
        <v>676</v>
      </c>
      <c r="G81" s="10" t="s">
        <v>677</v>
      </c>
      <c r="H81" s="10" t="s">
        <v>678</v>
      </c>
      <c r="I81" s="10" t="s">
        <v>679</v>
      </c>
      <c r="J81" s="10" t="s">
        <v>680</v>
      </c>
      <c r="K81" s="10" t="s">
        <v>681</v>
      </c>
      <c r="L81" s="10" t="s">
        <v>682</v>
      </c>
      <c r="M81" s="10" t="s">
        <v>683</v>
      </c>
      <c r="N81" s="10" t="s">
        <v>684</v>
      </c>
      <c r="O81" s="10" t="s">
        <v>685</v>
      </c>
      <c r="P81" s="10"/>
      <c r="Q81" s="10"/>
      <c r="R81" s="10"/>
      <c r="S81" s="10"/>
      <c r="T81" s="10"/>
      <c r="U81" s="10"/>
      <c r="V81" s="10"/>
      <c r="W81" s="10"/>
      <c r="X81" s="10"/>
      <c r="Y81" s="10"/>
      <c r="Z81" s="10"/>
    </row>
    <row r="82" spans="1:26" ht="15">
      <c r="A82" s="11"/>
      <c r="B82" s="10" t="s">
        <v>686</v>
      </c>
      <c r="C82" s="10" t="s">
        <v>866</v>
      </c>
      <c r="D82" s="10" t="s">
        <v>867</v>
      </c>
      <c r="E82" s="10" t="s">
        <v>868</v>
      </c>
      <c r="F82" s="10" t="s">
        <v>688</v>
      </c>
      <c r="G82" s="10" t="s">
        <v>688</v>
      </c>
      <c r="H82" s="10" t="s">
        <v>688</v>
      </c>
      <c r="I82" s="10" t="s">
        <v>688</v>
      </c>
      <c r="J82" s="10" t="s">
        <v>688</v>
      </c>
      <c r="K82" s="10" t="s">
        <v>688</v>
      </c>
      <c r="L82" s="10" t="s">
        <v>869</v>
      </c>
      <c r="M82" s="10" t="s">
        <v>688</v>
      </c>
      <c r="N82" s="10">
        <v>1.65</v>
      </c>
      <c r="O82" s="10" t="s">
        <v>688</v>
      </c>
      <c r="P82" s="10"/>
      <c r="Q82" s="10"/>
      <c r="R82" s="10"/>
      <c r="S82" s="10"/>
      <c r="T82" s="10"/>
      <c r="U82" s="10"/>
      <c r="V82" s="10"/>
      <c r="W82" s="10"/>
      <c r="X82" s="10"/>
      <c r="Y82" s="10"/>
      <c r="Z82" s="10"/>
    </row>
    <row r="83" spans="1:26" ht="15">
      <c r="A83" s="9">
        <v>41</v>
      </c>
      <c r="B83" s="10" t="str">
        <f ca="1">IFERROR(__xludf.DUMMYFUNCTION((TRANSPOSE(ImportHTML("http://spending.data.al/sq/moneypower/view/id/41/year/2013",  "table", 0)))),"*Kategoria*")</f>
        <v>*Kategoria*</v>
      </c>
      <c r="C83" s="10" t="s">
        <v>673</v>
      </c>
      <c r="D83" s="10" t="s">
        <v>674</v>
      </c>
      <c r="E83" s="10" t="s">
        <v>675</v>
      </c>
      <c r="F83" s="10" t="s">
        <v>676</v>
      </c>
      <c r="G83" s="10" t="s">
        <v>677</v>
      </c>
      <c r="H83" s="10" t="s">
        <v>678</v>
      </c>
      <c r="I83" s="10" t="s">
        <v>679</v>
      </c>
      <c r="J83" s="10" t="s">
        <v>680</v>
      </c>
      <c r="K83" s="10" t="s">
        <v>681</v>
      </c>
      <c r="L83" s="10" t="s">
        <v>682</v>
      </c>
      <c r="M83" s="10" t="s">
        <v>683</v>
      </c>
      <c r="N83" s="10" t="s">
        <v>684</v>
      </c>
      <c r="O83" s="10" t="s">
        <v>685</v>
      </c>
      <c r="P83" s="10"/>
      <c r="Q83" s="10"/>
      <c r="R83" s="10"/>
      <c r="S83" s="10"/>
      <c r="T83" s="10"/>
      <c r="U83" s="10"/>
      <c r="V83" s="10"/>
      <c r="W83" s="10"/>
      <c r="X83" s="10"/>
      <c r="Y83" s="10"/>
      <c r="Z83" s="10"/>
    </row>
    <row r="84" spans="1:26" ht="15">
      <c r="A84" s="11"/>
      <c r="B84" s="10" t="s">
        <v>686</v>
      </c>
      <c r="C84" s="10" t="s">
        <v>870</v>
      </c>
      <c r="D84" s="10" t="s">
        <v>688</v>
      </c>
      <c r="E84" s="10" t="s">
        <v>871</v>
      </c>
      <c r="F84" s="10" t="s">
        <v>688</v>
      </c>
      <c r="G84" s="10" t="s">
        <v>872</v>
      </c>
      <c r="H84" s="10" t="s">
        <v>873</v>
      </c>
      <c r="I84" s="10" t="s">
        <v>688</v>
      </c>
      <c r="J84" s="10" t="s">
        <v>688</v>
      </c>
      <c r="K84" s="10" t="s">
        <v>688</v>
      </c>
      <c r="L84" s="10" t="s">
        <v>688</v>
      </c>
      <c r="M84" s="10" t="s">
        <v>688</v>
      </c>
      <c r="N84" s="10">
        <v>2.48</v>
      </c>
      <c r="O84" s="10" t="s">
        <v>874</v>
      </c>
      <c r="P84" s="10"/>
      <c r="Q84" s="10"/>
      <c r="R84" s="10"/>
      <c r="S84" s="10"/>
      <c r="T84" s="10"/>
      <c r="U84" s="10"/>
      <c r="V84" s="10"/>
      <c r="W84" s="10"/>
      <c r="X84" s="10"/>
      <c r="Y84" s="10"/>
      <c r="Z84" s="10"/>
    </row>
    <row r="85" spans="1:26" ht="15">
      <c r="A85" s="9">
        <v>42</v>
      </c>
      <c r="B85" s="10" t="str">
        <f ca="1">IFERROR(__xludf.DUMMYFUNCTION((TRANSPOSE(ImportHTML("http://spending.data.al/sq/moneypower/view/id/42/year/2013",  "table", 0)))),"*Kategoria*")</f>
        <v>*Kategoria*</v>
      </c>
      <c r="C85" s="10" t="s">
        <v>673</v>
      </c>
      <c r="D85" s="10" t="s">
        <v>674</v>
      </c>
      <c r="E85" s="10" t="s">
        <v>675</v>
      </c>
      <c r="F85" s="10" t="s">
        <v>676</v>
      </c>
      <c r="G85" s="10" t="s">
        <v>677</v>
      </c>
      <c r="H85" s="10" t="s">
        <v>678</v>
      </c>
      <c r="I85" s="10" t="s">
        <v>679</v>
      </c>
      <c r="J85" s="10" t="s">
        <v>680</v>
      </c>
      <c r="K85" s="10" t="s">
        <v>681</v>
      </c>
      <c r="L85" s="10" t="s">
        <v>682</v>
      </c>
      <c r="M85" s="10" t="s">
        <v>683</v>
      </c>
      <c r="N85" s="10" t="s">
        <v>684</v>
      </c>
      <c r="O85" s="10" t="s">
        <v>685</v>
      </c>
      <c r="P85" s="10"/>
      <c r="Q85" s="10"/>
      <c r="R85" s="10"/>
      <c r="S85" s="10"/>
      <c r="T85" s="10"/>
      <c r="U85" s="10"/>
      <c r="V85" s="10"/>
      <c r="W85" s="10"/>
      <c r="X85" s="10"/>
      <c r="Y85" s="10"/>
      <c r="Z85" s="10"/>
    </row>
    <row r="86" spans="1:26" ht="15">
      <c r="A86" s="11"/>
      <c r="B86" s="10" t="s">
        <v>686</v>
      </c>
      <c r="C86" s="10" t="s">
        <v>875</v>
      </c>
      <c r="D86" s="10" t="s">
        <v>876</v>
      </c>
      <c r="E86" s="10" t="s">
        <v>845</v>
      </c>
      <c r="F86" s="10" t="s">
        <v>688</v>
      </c>
      <c r="G86" s="10" t="s">
        <v>688</v>
      </c>
      <c r="H86" s="10" t="s">
        <v>688</v>
      </c>
      <c r="I86" s="10" t="s">
        <v>688</v>
      </c>
      <c r="J86" s="10" t="s">
        <v>688</v>
      </c>
      <c r="K86" s="10" t="s">
        <v>688</v>
      </c>
      <c r="L86" s="10" t="s">
        <v>877</v>
      </c>
      <c r="M86" s="10" t="s">
        <v>688</v>
      </c>
      <c r="N86" s="10">
        <v>1.48</v>
      </c>
      <c r="O86" s="10" t="s">
        <v>688</v>
      </c>
      <c r="P86" s="10"/>
      <c r="Q86" s="10"/>
      <c r="R86" s="10"/>
      <c r="S86" s="10"/>
      <c r="T86" s="10"/>
      <c r="U86" s="10"/>
      <c r="V86" s="10"/>
      <c r="W86" s="10"/>
      <c r="X86" s="10"/>
      <c r="Y86" s="10"/>
      <c r="Z86" s="10"/>
    </row>
    <row r="87" spans="1:26" ht="15">
      <c r="A87" s="9">
        <v>43</v>
      </c>
      <c r="B87" s="10" t="str">
        <f ca="1">IFERROR(__xludf.DUMMYFUNCTION((TRANSPOSE(ImportHTML("http://spending.data.al/sq/moneypower/view/id/43/year/2013",  "table", 0)))),"*Kategoria*")</f>
        <v>*Kategoria*</v>
      </c>
      <c r="C87" s="10" t="s">
        <v>673</v>
      </c>
      <c r="D87" s="10" t="s">
        <v>674</v>
      </c>
      <c r="E87" s="10" t="s">
        <v>675</v>
      </c>
      <c r="F87" s="10" t="s">
        <v>676</v>
      </c>
      <c r="G87" s="10" t="s">
        <v>677</v>
      </c>
      <c r="H87" s="10" t="s">
        <v>678</v>
      </c>
      <c r="I87" s="10" t="s">
        <v>679</v>
      </c>
      <c r="J87" s="10" t="s">
        <v>680</v>
      </c>
      <c r="K87" s="10" t="s">
        <v>681</v>
      </c>
      <c r="L87" s="10" t="s">
        <v>682</v>
      </c>
      <c r="M87" s="10" t="s">
        <v>683</v>
      </c>
      <c r="N87" s="10" t="s">
        <v>684</v>
      </c>
      <c r="O87" s="10" t="s">
        <v>685</v>
      </c>
      <c r="P87" s="10"/>
      <c r="Q87" s="10"/>
      <c r="R87" s="10"/>
      <c r="S87" s="10"/>
      <c r="T87" s="10"/>
      <c r="U87" s="10"/>
      <c r="V87" s="10"/>
      <c r="W87" s="10"/>
      <c r="X87" s="10"/>
      <c r="Y87" s="10"/>
      <c r="Z87" s="10"/>
    </row>
    <row r="88" spans="1:26" ht="15">
      <c r="A88" s="11"/>
      <c r="B88" s="10" t="s">
        <v>686</v>
      </c>
      <c r="C88" s="10" t="s">
        <v>878</v>
      </c>
      <c r="D88" s="10" t="s">
        <v>688</v>
      </c>
      <c r="E88" s="10" t="s">
        <v>879</v>
      </c>
      <c r="F88" s="10" t="s">
        <v>688</v>
      </c>
      <c r="G88" s="10" t="s">
        <v>880</v>
      </c>
      <c r="H88" s="10" t="s">
        <v>688</v>
      </c>
      <c r="I88" s="10" t="s">
        <v>688</v>
      </c>
      <c r="J88" s="10" t="s">
        <v>688</v>
      </c>
      <c r="K88" s="10" t="s">
        <v>688</v>
      </c>
      <c r="L88" s="10" t="s">
        <v>881</v>
      </c>
      <c r="M88" s="10" t="s">
        <v>688</v>
      </c>
      <c r="N88" s="10">
        <v>1.37</v>
      </c>
      <c r="O88" s="10" t="s">
        <v>882</v>
      </c>
      <c r="P88" s="10"/>
      <c r="Q88" s="10"/>
      <c r="R88" s="10"/>
      <c r="S88" s="10"/>
      <c r="T88" s="10"/>
      <c r="U88" s="10"/>
      <c r="V88" s="10"/>
      <c r="W88" s="10"/>
      <c r="X88" s="10"/>
      <c r="Y88" s="10"/>
      <c r="Z88" s="10"/>
    </row>
    <row r="89" spans="1:26" ht="15">
      <c r="A89" s="9">
        <v>44</v>
      </c>
      <c r="B89" s="10" t="str">
        <f ca="1">IFERROR(__xludf.DUMMYFUNCTION((TRANSPOSE(ImportHTML("http://spending.data.al/sq/moneypower/view/id/44/year/2013",  "table", 0)))),"*Kategoria*")</f>
        <v>*Kategoria*</v>
      </c>
      <c r="C89" s="10" t="s">
        <v>673</v>
      </c>
      <c r="D89" s="10" t="s">
        <v>674</v>
      </c>
      <c r="E89" s="10" t="s">
        <v>675</v>
      </c>
      <c r="F89" s="10" t="s">
        <v>676</v>
      </c>
      <c r="G89" s="10" t="s">
        <v>677</v>
      </c>
      <c r="H89" s="10" t="s">
        <v>678</v>
      </c>
      <c r="I89" s="10" t="s">
        <v>679</v>
      </c>
      <c r="J89" s="10" t="s">
        <v>680</v>
      </c>
      <c r="K89" s="10" t="s">
        <v>681</v>
      </c>
      <c r="L89" s="10" t="s">
        <v>682</v>
      </c>
      <c r="M89" s="10" t="s">
        <v>683</v>
      </c>
      <c r="N89" s="10" t="s">
        <v>684</v>
      </c>
      <c r="O89" s="10" t="s">
        <v>685</v>
      </c>
      <c r="P89" s="10"/>
      <c r="Q89" s="10"/>
      <c r="R89" s="10"/>
      <c r="S89" s="10"/>
      <c r="T89" s="10"/>
      <c r="U89" s="10"/>
      <c r="V89" s="10"/>
      <c r="W89" s="10"/>
      <c r="X89" s="10"/>
      <c r="Y89" s="10"/>
      <c r="Z89" s="10"/>
    </row>
    <row r="90" spans="1:26" ht="15">
      <c r="A90" s="11"/>
      <c r="B90" s="10" t="s">
        <v>686</v>
      </c>
      <c r="C90" s="10" t="s">
        <v>883</v>
      </c>
      <c r="D90" s="10" t="s">
        <v>884</v>
      </c>
      <c r="E90" s="10" t="s">
        <v>885</v>
      </c>
      <c r="F90" s="10" t="s">
        <v>886</v>
      </c>
      <c r="G90" s="10" t="s">
        <v>688</v>
      </c>
      <c r="H90" s="10" t="s">
        <v>688</v>
      </c>
      <c r="I90" s="10" t="s">
        <v>688</v>
      </c>
      <c r="J90" s="10" t="s">
        <v>688</v>
      </c>
      <c r="K90" s="10" t="s">
        <v>688</v>
      </c>
      <c r="L90" s="10" t="s">
        <v>887</v>
      </c>
      <c r="M90" s="10" t="s">
        <v>688</v>
      </c>
      <c r="N90" s="10">
        <v>5.55</v>
      </c>
      <c r="O90" s="10" t="s">
        <v>888</v>
      </c>
      <c r="P90" s="10"/>
      <c r="Q90" s="10"/>
      <c r="R90" s="10"/>
      <c r="S90" s="10"/>
      <c r="T90" s="10"/>
      <c r="U90" s="10"/>
      <c r="V90" s="10"/>
      <c r="W90" s="10"/>
      <c r="X90" s="10"/>
      <c r="Y90" s="10"/>
      <c r="Z90" s="10"/>
    </row>
    <row r="91" spans="1:26" ht="15">
      <c r="A91" s="9">
        <v>45</v>
      </c>
      <c r="B91" s="10" t="str">
        <f ca="1">IFERROR(__xludf.DUMMYFUNCTION((TRANSPOSE(ImportHTML("http://spending.data.al/sq/moneypower/view/id/45/year/2013",  "table", 0)))),"*Kategoria*")</f>
        <v>*Kategoria*</v>
      </c>
      <c r="C91" s="10" t="s">
        <v>673</v>
      </c>
      <c r="D91" s="10" t="s">
        <v>674</v>
      </c>
      <c r="E91" s="10" t="s">
        <v>675</v>
      </c>
      <c r="F91" s="10" t="s">
        <v>676</v>
      </c>
      <c r="G91" s="10" t="s">
        <v>677</v>
      </c>
      <c r="H91" s="10" t="s">
        <v>678</v>
      </c>
      <c r="I91" s="10" t="s">
        <v>679</v>
      </c>
      <c r="J91" s="10" t="s">
        <v>680</v>
      </c>
      <c r="K91" s="10" t="s">
        <v>681</v>
      </c>
      <c r="L91" s="10" t="s">
        <v>682</v>
      </c>
      <c r="M91" s="10" t="s">
        <v>683</v>
      </c>
      <c r="N91" s="10" t="s">
        <v>684</v>
      </c>
      <c r="O91" s="10" t="s">
        <v>685</v>
      </c>
      <c r="P91" s="10"/>
      <c r="Q91" s="10"/>
      <c r="R91" s="10"/>
      <c r="S91" s="10"/>
      <c r="T91" s="10"/>
      <c r="U91" s="10"/>
      <c r="V91" s="10"/>
      <c r="W91" s="10"/>
      <c r="X91" s="10"/>
      <c r="Y91" s="10"/>
      <c r="Z91" s="10"/>
    </row>
    <row r="92" spans="1:26" ht="15">
      <c r="A92" s="11"/>
      <c r="B92" s="10" t="s">
        <v>686</v>
      </c>
      <c r="C92" s="10" t="s">
        <v>889</v>
      </c>
      <c r="D92" s="10" t="s">
        <v>688</v>
      </c>
      <c r="E92" s="10" t="s">
        <v>688</v>
      </c>
      <c r="F92" s="10" t="s">
        <v>688</v>
      </c>
      <c r="G92" s="10" t="s">
        <v>688</v>
      </c>
      <c r="H92" s="10" t="s">
        <v>890</v>
      </c>
      <c r="I92" s="10" t="s">
        <v>688</v>
      </c>
      <c r="J92" s="10" t="s">
        <v>688</v>
      </c>
      <c r="K92" s="10" t="s">
        <v>688</v>
      </c>
      <c r="L92" s="10" t="s">
        <v>891</v>
      </c>
      <c r="M92" s="10" t="s">
        <v>688</v>
      </c>
      <c r="N92" s="10">
        <v>1.46</v>
      </c>
      <c r="O92" s="10" t="s">
        <v>688</v>
      </c>
      <c r="P92" s="10"/>
      <c r="Q92" s="10"/>
      <c r="R92" s="10"/>
      <c r="S92" s="10"/>
      <c r="T92" s="10"/>
      <c r="U92" s="10"/>
      <c r="V92" s="10"/>
      <c r="W92" s="10"/>
      <c r="X92" s="10"/>
      <c r="Y92" s="10"/>
      <c r="Z92" s="10"/>
    </row>
    <row r="93" spans="1:26" ht="15">
      <c r="A93" s="9">
        <v>46</v>
      </c>
      <c r="B93" s="10" t="str">
        <f ca="1">IFERROR(__xludf.DUMMYFUNCTION((TRANSPOSE(ImportHTML("http://spending.data.al/sq/moneypower/view/id/46/year/2013",  "table", 0)))),"*Kategoria*")</f>
        <v>*Kategoria*</v>
      </c>
      <c r="C93" s="10" t="s">
        <v>673</v>
      </c>
      <c r="D93" s="10" t="s">
        <v>674</v>
      </c>
      <c r="E93" s="10" t="s">
        <v>675</v>
      </c>
      <c r="F93" s="10" t="s">
        <v>676</v>
      </c>
      <c r="G93" s="10" t="s">
        <v>677</v>
      </c>
      <c r="H93" s="10" t="s">
        <v>678</v>
      </c>
      <c r="I93" s="10" t="s">
        <v>679</v>
      </c>
      <c r="J93" s="10" t="s">
        <v>680</v>
      </c>
      <c r="K93" s="10" t="s">
        <v>681</v>
      </c>
      <c r="L93" s="10" t="s">
        <v>682</v>
      </c>
      <c r="M93" s="10" t="s">
        <v>683</v>
      </c>
      <c r="N93" s="10" t="s">
        <v>684</v>
      </c>
      <c r="O93" s="10" t="s">
        <v>685</v>
      </c>
      <c r="P93" s="10"/>
      <c r="Q93" s="10"/>
      <c r="R93" s="10"/>
      <c r="S93" s="10"/>
      <c r="T93" s="10"/>
      <c r="U93" s="10"/>
      <c r="V93" s="10"/>
      <c r="W93" s="10"/>
      <c r="X93" s="10"/>
      <c r="Y93" s="10"/>
      <c r="Z93" s="10"/>
    </row>
    <row r="94" spans="1:26" ht="15">
      <c r="A94" s="11"/>
      <c r="B94" s="10" t="s">
        <v>686</v>
      </c>
      <c r="C94" s="10" t="s">
        <v>892</v>
      </c>
      <c r="D94" s="10" t="s">
        <v>688</v>
      </c>
      <c r="E94" s="10" t="s">
        <v>688</v>
      </c>
      <c r="F94" s="10" t="s">
        <v>893</v>
      </c>
      <c r="G94" s="10" t="s">
        <v>688</v>
      </c>
      <c r="H94" s="10" t="s">
        <v>688</v>
      </c>
      <c r="I94" s="10" t="s">
        <v>688</v>
      </c>
      <c r="J94" s="10" t="s">
        <v>688</v>
      </c>
      <c r="K94" s="10" t="s">
        <v>688</v>
      </c>
      <c r="L94" s="10" t="s">
        <v>894</v>
      </c>
      <c r="M94" s="10" t="s">
        <v>688</v>
      </c>
      <c r="N94" s="10">
        <v>1.1100000000000001</v>
      </c>
      <c r="O94" s="10" t="s">
        <v>895</v>
      </c>
      <c r="P94" s="10"/>
      <c r="Q94" s="10"/>
      <c r="R94" s="10"/>
      <c r="S94" s="10"/>
      <c r="T94" s="10"/>
      <c r="U94" s="10"/>
      <c r="V94" s="10"/>
      <c r="W94" s="10"/>
      <c r="X94" s="10"/>
      <c r="Y94" s="10"/>
      <c r="Z94" s="10"/>
    </row>
    <row r="95" spans="1:26" ht="15">
      <c r="A95" s="9">
        <v>47</v>
      </c>
      <c r="B95" s="10" t="str">
        <f ca="1">IFERROR(__xludf.DUMMYFUNCTION((TRANSPOSE(ImportHTML("http://spending.data.al/sq/moneypower/view/id/47/year/2013",  "table", 0)))),"*Kategoria*")</f>
        <v>*Kategoria*</v>
      </c>
      <c r="C95" s="10" t="s">
        <v>673</v>
      </c>
      <c r="D95" s="10" t="s">
        <v>674</v>
      </c>
      <c r="E95" s="10" t="s">
        <v>675</v>
      </c>
      <c r="F95" s="10" t="s">
        <v>676</v>
      </c>
      <c r="G95" s="10" t="s">
        <v>677</v>
      </c>
      <c r="H95" s="10" t="s">
        <v>678</v>
      </c>
      <c r="I95" s="10" t="s">
        <v>679</v>
      </c>
      <c r="J95" s="10" t="s">
        <v>680</v>
      </c>
      <c r="K95" s="10" t="s">
        <v>681</v>
      </c>
      <c r="L95" s="10" t="s">
        <v>682</v>
      </c>
      <c r="M95" s="10" t="s">
        <v>683</v>
      </c>
      <c r="N95" s="10" t="s">
        <v>684</v>
      </c>
      <c r="O95" s="10" t="s">
        <v>685</v>
      </c>
      <c r="P95" s="10"/>
      <c r="Q95" s="10"/>
      <c r="R95" s="10"/>
      <c r="S95" s="10"/>
      <c r="T95" s="10"/>
      <c r="U95" s="10"/>
      <c r="V95" s="10"/>
      <c r="W95" s="10"/>
      <c r="X95" s="10"/>
      <c r="Y95" s="10"/>
      <c r="Z95" s="10"/>
    </row>
    <row r="96" spans="1:26" ht="15">
      <c r="A96" s="11"/>
      <c r="B96" s="10" t="s">
        <v>686</v>
      </c>
      <c r="C96" s="10" t="s">
        <v>3822</v>
      </c>
      <c r="D96" s="10" t="s">
        <v>692</v>
      </c>
      <c r="E96" s="10" t="s">
        <v>3823</v>
      </c>
      <c r="F96" s="10" t="s">
        <v>688</v>
      </c>
      <c r="G96" s="10" t="s">
        <v>688</v>
      </c>
      <c r="H96" s="10" t="s">
        <v>688</v>
      </c>
      <c r="I96" s="10" t="s">
        <v>688</v>
      </c>
      <c r="J96" s="10" t="s">
        <v>688</v>
      </c>
      <c r="K96" s="10" t="s">
        <v>688</v>
      </c>
      <c r="L96" s="10" t="s">
        <v>3824</v>
      </c>
      <c r="M96" s="10" t="s">
        <v>688</v>
      </c>
      <c r="N96" s="10">
        <v>1.73</v>
      </c>
      <c r="O96" s="10" t="s">
        <v>688</v>
      </c>
      <c r="P96" s="10"/>
      <c r="Q96" s="10"/>
      <c r="R96" s="10"/>
      <c r="S96" s="10"/>
      <c r="T96" s="10"/>
      <c r="U96" s="10"/>
      <c r="V96" s="10"/>
      <c r="W96" s="10"/>
      <c r="X96" s="10"/>
      <c r="Y96" s="10"/>
      <c r="Z96" s="10"/>
    </row>
    <row r="97" spans="1:26" ht="15">
      <c r="A97" s="9">
        <v>48</v>
      </c>
      <c r="B97" s="10" t="str">
        <f ca="1">IFERROR(__xludf.DUMMYFUNCTION((TRANSPOSE(ImportHTML("http://spending.data.al/sq/moneypower/view/id/48/year/2013",  "table", 0)))),"*Kategoria*")</f>
        <v>*Kategoria*</v>
      </c>
      <c r="C97" s="10" t="s">
        <v>673</v>
      </c>
      <c r="D97" s="10" t="s">
        <v>674</v>
      </c>
      <c r="E97" s="10" t="s">
        <v>675</v>
      </c>
      <c r="F97" s="10" t="s">
        <v>676</v>
      </c>
      <c r="G97" s="10" t="s">
        <v>677</v>
      </c>
      <c r="H97" s="10" t="s">
        <v>678</v>
      </c>
      <c r="I97" s="10" t="s">
        <v>679</v>
      </c>
      <c r="J97" s="10" t="s">
        <v>680</v>
      </c>
      <c r="K97" s="10" t="s">
        <v>681</v>
      </c>
      <c r="L97" s="10" t="s">
        <v>682</v>
      </c>
      <c r="M97" s="10" t="s">
        <v>683</v>
      </c>
      <c r="N97" s="10" t="s">
        <v>684</v>
      </c>
      <c r="O97" s="10" t="s">
        <v>685</v>
      </c>
      <c r="P97" s="10"/>
      <c r="Q97" s="10"/>
      <c r="R97" s="10"/>
      <c r="S97" s="10"/>
      <c r="T97" s="10"/>
      <c r="U97" s="10"/>
      <c r="V97" s="10"/>
      <c r="W97" s="10"/>
      <c r="X97" s="10"/>
      <c r="Y97" s="10"/>
      <c r="Z97" s="10"/>
    </row>
    <row r="98" spans="1:26" ht="15">
      <c r="A98" s="11"/>
      <c r="B98" s="10" t="s">
        <v>686</v>
      </c>
      <c r="C98" s="10" t="s">
        <v>900</v>
      </c>
      <c r="D98" s="10" t="s">
        <v>901</v>
      </c>
      <c r="E98" s="10" t="s">
        <v>902</v>
      </c>
      <c r="F98" s="10" t="s">
        <v>688</v>
      </c>
      <c r="G98" s="10" t="s">
        <v>903</v>
      </c>
      <c r="H98" s="10" t="s">
        <v>688</v>
      </c>
      <c r="I98" s="10" t="s">
        <v>688</v>
      </c>
      <c r="J98" s="10" t="s">
        <v>688</v>
      </c>
      <c r="K98" s="10" t="s">
        <v>688</v>
      </c>
      <c r="L98" s="10" t="s">
        <v>904</v>
      </c>
      <c r="M98" s="10" t="s">
        <v>688</v>
      </c>
      <c r="N98" s="10">
        <v>3.86</v>
      </c>
      <c r="O98" s="10" t="s">
        <v>688</v>
      </c>
      <c r="P98" s="10"/>
      <c r="Q98" s="10"/>
      <c r="R98" s="10"/>
      <c r="S98" s="10"/>
      <c r="T98" s="10"/>
      <c r="U98" s="10"/>
      <c r="V98" s="10"/>
      <c r="W98" s="10"/>
      <c r="X98" s="10"/>
      <c r="Y98" s="10"/>
      <c r="Z98" s="10"/>
    </row>
    <row r="99" spans="1:26" ht="15">
      <c r="A99" s="9">
        <v>49</v>
      </c>
      <c r="B99" s="10" t="str">
        <f ca="1">IFERROR(__xludf.DUMMYFUNCTION((TRANSPOSE(ImportHTML("http://spending.data.al/sq/moneypower/view/id/49/year/2013",  "table", 0)))),"*Kategoria*")</f>
        <v>*Kategoria*</v>
      </c>
      <c r="C99" s="10" t="s">
        <v>673</v>
      </c>
      <c r="D99" s="10" t="s">
        <v>674</v>
      </c>
      <c r="E99" s="10" t="s">
        <v>675</v>
      </c>
      <c r="F99" s="10" t="s">
        <v>676</v>
      </c>
      <c r="G99" s="10" t="s">
        <v>677</v>
      </c>
      <c r="H99" s="10" t="s">
        <v>678</v>
      </c>
      <c r="I99" s="10" t="s">
        <v>679</v>
      </c>
      <c r="J99" s="10" t="s">
        <v>680</v>
      </c>
      <c r="K99" s="10" t="s">
        <v>681</v>
      </c>
      <c r="L99" s="10" t="s">
        <v>682</v>
      </c>
      <c r="M99" s="10" t="s">
        <v>683</v>
      </c>
      <c r="N99" s="10" t="s">
        <v>684</v>
      </c>
      <c r="O99" s="10" t="s">
        <v>685</v>
      </c>
      <c r="P99" s="10"/>
      <c r="Q99" s="10"/>
      <c r="R99" s="10"/>
      <c r="S99" s="10"/>
      <c r="T99" s="10"/>
      <c r="U99" s="10"/>
      <c r="V99" s="10"/>
      <c r="W99" s="10"/>
      <c r="X99" s="10"/>
      <c r="Y99" s="10"/>
      <c r="Z99" s="10"/>
    </row>
    <row r="100" spans="1:26" ht="15">
      <c r="A100" s="11"/>
      <c r="B100" s="10" t="s">
        <v>686</v>
      </c>
      <c r="C100" s="10" t="s">
        <v>3825</v>
      </c>
      <c r="D100" s="10" t="s">
        <v>688</v>
      </c>
      <c r="E100" s="10" t="s">
        <v>3040</v>
      </c>
      <c r="F100" s="10" t="s">
        <v>688</v>
      </c>
      <c r="G100" s="10" t="s">
        <v>688</v>
      </c>
      <c r="H100" s="10" t="s">
        <v>688</v>
      </c>
      <c r="I100" s="10" t="s">
        <v>688</v>
      </c>
      <c r="J100" s="10" t="s">
        <v>688</v>
      </c>
      <c r="K100" s="10" t="s">
        <v>688</v>
      </c>
      <c r="L100" s="10" t="s">
        <v>3826</v>
      </c>
      <c r="M100" s="10" t="s">
        <v>688</v>
      </c>
      <c r="N100" s="10">
        <v>1.1000000000000001</v>
      </c>
      <c r="O100" s="10" t="s">
        <v>688</v>
      </c>
      <c r="P100" s="10"/>
      <c r="Q100" s="10"/>
      <c r="R100" s="10"/>
      <c r="S100" s="10"/>
      <c r="T100" s="10"/>
      <c r="U100" s="10"/>
      <c r="V100" s="10"/>
      <c r="W100" s="10"/>
      <c r="X100" s="10"/>
      <c r="Y100" s="10"/>
      <c r="Z100" s="10"/>
    </row>
    <row r="101" spans="1:26" ht="15">
      <c r="A101" s="9">
        <v>50</v>
      </c>
      <c r="B101" s="10" t="str">
        <f ca="1">IFERROR(__xludf.DUMMYFUNCTION((TRANSPOSE(ImportHTML("http://spending.data.al/sq/moneypower/view/id/50/year/2013",  "table", 0)))),"*Kategoria*")</f>
        <v>*Kategoria*</v>
      </c>
      <c r="C101" s="10" t="s">
        <v>673</v>
      </c>
      <c r="D101" s="10" t="s">
        <v>674</v>
      </c>
      <c r="E101" s="10" t="s">
        <v>675</v>
      </c>
      <c r="F101" s="10" t="s">
        <v>676</v>
      </c>
      <c r="G101" s="10" t="s">
        <v>677</v>
      </c>
      <c r="H101" s="10" t="s">
        <v>678</v>
      </c>
      <c r="I101" s="10" t="s">
        <v>679</v>
      </c>
      <c r="J101" s="10" t="s">
        <v>680</v>
      </c>
      <c r="K101" s="10" t="s">
        <v>681</v>
      </c>
      <c r="L101" s="10" t="s">
        <v>682</v>
      </c>
      <c r="M101" s="10" t="s">
        <v>683</v>
      </c>
      <c r="N101" s="10" t="s">
        <v>684</v>
      </c>
      <c r="O101" s="10" t="s">
        <v>685</v>
      </c>
      <c r="P101" s="10"/>
      <c r="Q101" s="10"/>
      <c r="R101" s="10"/>
      <c r="S101" s="10"/>
      <c r="T101" s="10"/>
      <c r="U101" s="10"/>
      <c r="V101" s="10"/>
      <c r="W101" s="10"/>
      <c r="X101" s="10"/>
      <c r="Y101" s="10"/>
      <c r="Z101" s="10"/>
    </row>
    <row r="102" spans="1:26" ht="15">
      <c r="A102" s="11"/>
      <c r="B102" s="10" t="s">
        <v>686</v>
      </c>
      <c r="C102" s="10" t="s">
        <v>909</v>
      </c>
      <c r="D102" s="10" t="s">
        <v>910</v>
      </c>
      <c r="E102" s="10" t="s">
        <v>911</v>
      </c>
      <c r="F102" s="10" t="s">
        <v>688</v>
      </c>
      <c r="G102" s="10" t="s">
        <v>688</v>
      </c>
      <c r="H102" s="10" t="s">
        <v>688</v>
      </c>
      <c r="I102" s="10" t="s">
        <v>688</v>
      </c>
      <c r="J102" s="10" t="s">
        <v>688</v>
      </c>
      <c r="K102" s="10" t="s">
        <v>688</v>
      </c>
      <c r="L102" s="10" t="s">
        <v>912</v>
      </c>
      <c r="M102" s="10" t="s">
        <v>913</v>
      </c>
      <c r="N102" s="10">
        <v>1.48</v>
      </c>
      <c r="O102" s="10" t="s">
        <v>688</v>
      </c>
      <c r="P102" s="10"/>
      <c r="Q102" s="10"/>
      <c r="R102" s="10"/>
      <c r="S102" s="10"/>
      <c r="T102" s="10"/>
      <c r="U102" s="10"/>
      <c r="V102" s="10"/>
      <c r="W102" s="10"/>
      <c r="X102" s="10"/>
      <c r="Y102" s="10"/>
      <c r="Z102" s="10"/>
    </row>
    <row r="103" spans="1:26" ht="15">
      <c r="A103" s="9">
        <v>51</v>
      </c>
      <c r="B103" s="10" t="str">
        <f ca="1">IFERROR(__xludf.DUMMYFUNCTION((TRANSPOSE(ImportHTML("http://spending.data.al/sq/moneypower/view/id/51/year/2013",  "table", 0)))),"*Kategoria*")</f>
        <v>*Kategoria*</v>
      </c>
      <c r="C103" s="10" t="s">
        <v>673</v>
      </c>
      <c r="D103" s="10" t="s">
        <v>674</v>
      </c>
      <c r="E103" s="10" t="s">
        <v>675</v>
      </c>
      <c r="F103" s="10" t="s">
        <v>676</v>
      </c>
      <c r="G103" s="10" t="s">
        <v>677</v>
      </c>
      <c r="H103" s="10" t="s">
        <v>678</v>
      </c>
      <c r="I103" s="10" t="s">
        <v>679</v>
      </c>
      <c r="J103" s="10" t="s">
        <v>680</v>
      </c>
      <c r="K103" s="10" t="s">
        <v>681</v>
      </c>
      <c r="L103" s="10" t="s">
        <v>682</v>
      </c>
      <c r="M103" s="10" t="s">
        <v>683</v>
      </c>
      <c r="N103" s="10" t="s">
        <v>684</v>
      </c>
      <c r="O103" s="10" t="s">
        <v>685</v>
      </c>
      <c r="P103" s="10"/>
      <c r="Q103" s="10"/>
      <c r="R103" s="10"/>
      <c r="S103" s="10"/>
      <c r="T103" s="10"/>
      <c r="U103" s="10"/>
      <c r="V103" s="10"/>
      <c r="W103" s="10"/>
      <c r="X103" s="10"/>
      <c r="Y103" s="10"/>
      <c r="Z103" s="10"/>
    </row>
    <row r="104" spans="1:26" ht="15">
      <c r="A104" s="11"/>
      <c r="B104" s="10" t="s">
        <v>686</v>
      </c>
      <c r="C104" s="10" t="s">
        <v>914</v>
      </c>
      <c r="D104" s="10" t="s">
        <v>915</v>
      </c>
      <c r="E104" s="10" t="s">
        <v>868</v>
      </c>
      <c r="F104" s="10" t="s">
        <v>688</v>
      </c>
      <c r="G104" s="10" t="s">
        <v>688</v>
      </c>
      <c r="H104" s="10" t="s">
        <v>688</v>
      </c>
      <c r="I104" s="10" t="s">
        <v>688</v>
      </c>
      <c r="J104" s="10" t="s">
        <v>688</v>
      </c>
      <c r="K104" s="10" t="s">
        <v>688</v>
      </c>
      <c r="L104" s="10" t="s">
        <v>916</v>
      </c>
      <c r="M104" s="10" t="s">
        <v>917</v>
      </c>
      <c r="N104" s="10">
        <v>2.4500000000000002</v>
      </c>
      <c r="O104" s="10" t="s">
        <v>688</v>
      </c>
      <c r="P104" s="10"/>
      <c r="Q104" s="10"/>
      <c r="R104" s="10"/>
      <c r="S104" s="10"/>
      <c r="T104" s="10"/>
      <c r="U104" s="10"/>
      <c r="V104" s="10"/>
      <c r="W104" s="10"/>
      <c r="X104" s="10"/>
      <c r="Y104" s="10"/>
      <c r="Z104" s="10"/>
    </row>
    <row r="105" spans="1:26" ht="15">
      <c r="A105" s="9">
        <v>52</v>
      </c>
      <c r="B105" s="10" t="str">
        <f ca="1">IFERROR(__xludf.DUMMYFUNCTION((TRANSPOSE(ImportHTML("http://spending.data.al/sq/moneypower/view/id/52/year/2013",  "table", 0)))),"*Kategoria*")</f>
        <v>*Kategoria*</v>
      </c>
      <c r="C105" s="10" t="s">
        <v>673</v>
      </c>
      <c r="D105" s="10" t="s">
        <v>674</v>
      </c>
      <c r="E105" s="10" t="s">
        <v>675</v>
      </c>
      <c r="F105" s="10" t="s">
        <v>676</v>
      </c>
      <c r="G105" s="10" t="s">
        <v>677</v>
      </c>
      <c r="H105" s="10" t="s">
        <v>678</v>
      </c>
      <c r="I105" s="10" t="s">
        <v>679</v>
      </c>
      <c r="J105" s="10" t="s">
        <v>680</v>
      </c>
      <c r="K105" s="10" t="s">
        <v>681</v>
      </c>
      <c r="L105" s="10" t="s">
        <v>682</v>
      </c>
      <c r="M105" s="10" t="s">
        <v>683</v>
      </c>
      <c r="N105" s="10" t="s">
        <v>684</v>
      </c>
      <c r="O105" s="10" t="s">
        <v>685</v>
      </c>
      <c r="P105" s="10"/>
      <c r="Q105" s="10"/>
      <c r="R105" s="10"/>
      <c r="S105" s="10"/>
      <c r="T105" s="10"/>
      <c r="U105" s="10"/>
      <c r="V105" s="10"/>
      <c r="W105" s="10"/>
      <c r="X105" s="10"/>
      <c r="Y105" s="10"/>
      <c r="Z105" s="10"/>
    </row>
    <row r="106" spans="1:26" ht="15">
      <c r="A106" s="11"/>
      <c r="B106" s="10" t="s">
        <v>686</v>
      </c>
      <c r="C106" s="10" t="s">
        <v>918</v>
      </c>
      <c r="D106" s="10" t="s">
        <v>688</v>
      </c>
      <c r="E106" s="10" t="s">
        <v>919</v>
      </c>
      <c r="F106" s="10" t="s">
        <v>688</v>
      </c>
      <c r="G106" s="10" t="s">
        <v>688</v>
      </c>
      <c r="H106" s="10" t="s">
        <v>688</v>
      </c>
      <c r="I106" s="10" t="s">
        <v>688</v>
      </c>
      <c r="J106" s="10" t="s">
        <v>688</v>
      </c>
      <c r="K106" s="10" t="s">
        <v>688</v>
      </c>
      <c r="L106" s="10" t="s">
        <v>920</v>
      </c>
      <c r="M106" s="10" t="s">
        <v>688</v>
      </c>
      <c r="N106" s="10">
        <v>1.44</v>
      </c>
      <c r="O106" s="10" t="s">
        <v>688</v>
      </c>
      <c r="P106" s="10"/>
      <c r="Q106" s="10"/>
      <c r="R106" s="10"/>
      <c r="S106" s="10"/>
      <c r="T106" s="10"/>
      <c r="U106" s="10"/>
      <c r="V106" s="10"/>
      <c r="W106" s="10"/>
      <c r="X106" s="10"/>
      <c r="Y106" s="10"/>
      <c r="Z106" s="10"/>
    </row>
    <row r="107" spans="1:26" ht="15">
      <c r="A107" s="9">
        <v>53</v>
      </c>
      <c r="B107" s="10" t="str">
        <f ca="1">IFERROR(__xludf.DUMMYFUNCTION((TRANSPOSE(ImportHTML("http://spending.data.al/sq/moneypower/view/id/53/year/2013",  "table", 0)))),"*Kategoria*")</f>
        <v>*Kategoria*</v>
      </c>
      <c r="C107" s="10" t="s">
        <v>673</v>
      </c>
      <c r="D107" s="10" t="s">
        <v>674</v>
      </c>
      <c r="E107" s="10" t="s">
        <v>675</v>
      </c>
      <c r="F107" s="10" t="s">
        <v>676</v>
      </c>
      <c r="G107" s="10" t="s">
        <v>677</v>
      </c>
      <c r="H107" s="10" t="s">
        <v>678</v>
      </c>
      <c r="I107" s="10" t="s">
        <v>679</v>
      </c>
      <c r="J107" s="10" t="s">
        <v>680</v>
      </c>
      <c r="K107" s="10" t="s">
        <v>681</v>
      </c>
      <c r="L107" s="10" t="s">
        <v>682</v>
      </c>
      <c r="M107" s="10" t="s">
        <v>683</v>
      </c>
      <c r="N107" s="10" t="s">
        <v>684</v>
      </c>
      <c r="O107" s="10" t="s">
        <v>685</v>
      </c>
      <c r="P107" s="10"/>
      <c r="Q107" s="10"/>
      <c r="R107" s="10"/>
      <c r="S107" s="10"/>
      <c r="T107" s="10"/>
      <c r="U107" s="10"/>
      <c r="V107" s="10"/>
      <c r="W107" s="10"/>
      <c r="X107" s="10"/>
      <c r="Y107" s="10"/>
      <c r="Z107" s="10"/>
    </row>
    <row r="108" spans="1:26" ht="15">
      <c r="A108" s="11"/>
      <c r="B108" s="10" t="s">
        <v>686</v>
      </c>
      <c r="C108" s="10" t="s">
        <v>921</v>
      </c>
      <c r="D108" s="10" t="s">
        <v>688</v>
      </c>
      <c r="E108" s="10" t="s">
        <v>696</v>
      </c>
      <c r="F108" s="10" t="s">
        <v>922</v>
      </c>
      <c r="G108" s="10" t="s">
        <v>688</v>
      </c>
      <c r="H108" s="10" t="s">
        <v>688</v>
      </c>
      <c r="I108" s="10" t="s">
        <v>688</v>
      </c>
      <c r="J108" s="10" t="s">
        <v>688</v>
      </c>
      <c r="K108" s="10" t="s">
        <v>688</v>
      </c>
      <c r="L108" s="10" t="s">
        <v>923</v>
      </c>
      <c r="M108" s="10" t="s">
        <v>688</v>
      </c>
      <c r="N108" s="10">
        <v>1.22</v>
      </c>
      <c r="O108" s="10" t="s">
        <v>688</v>
      </c>
      <c r="P108" s="10"/>
      <c r="Q108" s="10"/>
      <c r="R108" s="10"/>
      <c r="S108" s="10"/>
      <c r="T108" s="10"/>
      <c r="U108" s="10"/>
      <c r="V108" s="10"/>
      <c r="W108" s="10"/>
      <c r="X108" s="10"/>
      <c r="Y108" s="10"/>
      <c r="Z108" s="10"/>
    </row>
    <row r="109" spans="1:26" ht="15">
      <c r="A109" s="9">
        <v>54</v>
      </c>
      <c r="B109" s="10" t="str">
        <f ca="1">IFERROR(__xludf.DUMMYFUNCTION((TRANSPOSE(ImportHTML("http://spending.data.al/sq/moneypower/view/id/54/year/2013",  "table", 0)))),"*Kategoria*")</f>
        <v>*Kategoria*</v>
      </c>
      <c r="C109" s="10" t="s">
        <v>673</v>
      </c>
      <c r="D109" s="10" t="s">
        <v>674</v>
      </c>
      <c r="E109" s="10" t="s">
        <v>675</v>
      </c>
      <c r="F109" s="10" t="s">
        <v>676</v>
      </c>
      <c r="G109" s="10" t="s">
        <v>677</v>
      </c>
      <c r="H109" s="10" t="s">
        <v>678</v>
      </c>
      <c r="I109" s="10" t="s">
        <v>679</v>
      </c>
      <c r="J109" s="10" t="s">
        <v>680</v>
      </c>
      <c r="K109" s="10" t="s">
        <v>681</v>
      </c>
      <c r="L109" s="10" t="s">
        <v>682</v>
      </c>
      <c r="M109" s="10" t="s">
        <v>683</v>
      </c>
      <c r="N109" s="10" t="s">
        <v>684</v>
      </c>
      <c r="O109" s="10" t="s">
        <v>685</v>
      </c>
      <c r="P109" s="10"/>
      <c r="Q109" s="10"/>
      <c r="R109" s="10"/>
      <c r="S109" s="10"/>
      <c r="T109" s="10"/>
      <c r="U109" s="10"/>
      <c r="V109" s="10"/>
      <c r="W109" s="10"/>
      <c r="X109" s="10"/>
      <c r="Y109" s="10"/>
      <c r="Z109" s="10"/>
    </row>
    <row r="110" spans="1:26" ht="15">
      <c r="A110" s="11"/>
      <c r="B110" s="10" t="s">
        <v>686</v>
      </c>
      <c r="C110" s="10" t="s">
        <v>924</v>
      </c>
      <c r="D110" s="10" t="s">
        <v>688</v>
      </c>
      <c r="E110" s="10" t="s">
        <v>879</v>
      </c>
      <c r="F110" s="10" t="s">
        <v>688</v>
      </c>
      <c r="G110" s="10" t="s">
        <v>925</v>
      </c>
      <c r="H110" s="10" t="s">
        <v>688</v>
      </c>
      <c r="I110" s="10" t="s">
        <v>688</v>
      </c>
      <c r="J110" s="10" t="s">
        <v>688</v>
      </c>
      <c r="K110" s="10" t="s">
        <v>688</v>
      </c>
      <c r="L110" s="10" t="s">
        <v>926</v>
      </c>
      <c r="M110" s="10" t="s">
        <v>927</v>
      </c>
      <c r="N110" s="10">
        <v>2.0499999999999998</v>
      </c>
      <c r="O110" s="10" t="s">
        <v>688</v>
      </c>
      <c r="P110" s="10"/>
      <c r="Q110" s="10"/>
      <c r="R110" s="10"/>
      <c r="S110" s="10"/>
      <c r="T110" s="10"/>
      <c r="U110" s="10"/>
      <c r="V110" s="10"/>
      <c r="W110" s="10"/>
      <c r="X110" s="10"/>
      <c r="Y110" s="10"/>
      <c r="Z110" s="10"/>
    </row>
    <row r="111" spans="1:26" ht="15">
      <c r="A111" s="9">
        <v>55</v>
      </c>
      <c r="B111" s="10" t="str">
        <f ca="1">IFERROR(__xludf.DUMMYFUNCTION((TRANSPOSE(ImportHTML("http://spending.data.al/sq/moneypower/view/id/55/year/2013",  "table", 0)))),"*Kategoria*")</f>
        <v>*Kategoria*</v>
      </c>
      <c r="C111" s="10" t="s">
        <v>673</v>
      </c>
      <c r="D111" s="10" t="s">
        <v>674</v>
      </c>
      <c r="E111" s="10" t="s">
        <v>675</v>
      </c>
      <c r="F111" s="10" t="s">
        <v>676</v>
      </c>
      <c r="G111" s="10" t="s">
        <v>677</v>
      </c>
      <c r="H111" s="10" t="s">
        <v>678</v>
      </c>
      <c r="I111" s="10" t="s">
        <v>679</v>
      </c>
      <c r="J111" s="10" t="s">
        <v>680</v>
      </c>
      <c r="K111" s="10" t="s">
        <v>681</v>
      </c>
      <c r="L111" s="10" t="s">
        <v>682</v>
      </c>
      <c r="M111" s="10" t="s">
        <v>683</v>
      </c>
      <c r="N111" s="10" t="s">
        <v>684</v>
      </c>
      <c r="O111" s="10" t="s">
        <v>685</v>
      </c>
      <c r="P111" s="10"/>
      <c r="Q111" s="10"/>
      <c r="R111" s="10"/>
      <c r="S111" s="10"/>
      <c r="T111" s="10"/>
      <c r="U111" s="10"/>
      <c r="V111" s="10"/>
      <c r="W111" s="10"/>
      <c r="X111" s="10"/>
      <c r="Y111" s="10"/>
      <c r="Z111" s="10"/>
    </row>
    <row r="112" spans="1:26" ht="15">
      <c r="A112" s="11"/>
      <c r="B112" s="10" t="s">
        <v>686</v>
      </c>
      <c r="C112" s="10" t="s">
        <v>928</v>
      </c>
      <c r="D112" s="10" t="s">
        <v>929</v>
      </c>
      <c r="E112" s="10" t="s">
        <v>930</v>
      </c>
      <c r="F112" s="10" t="s">
        <v>688</v>
      </c>
      <c r="G112" s="10" t="s">
        <v>688</v>
      </c>
      <c r="H112" s="10" t="s">
        <v>688</v>
      </c>
      <c r="I112" s="10" t="s">
        <v>688</v>
      </c>
      <c r="J112" s="10" t="s">
        <v>688</v>
      </c>
      <c r="K112" s="10" t="s">
        <v>688</v>
      </c>
      <c r="L112" s="10" t="s">
        <v>688</v>
      </c>
      <c r="M112" s="10" t="s">
        <v>688</v>
      </c>
      <c r="N112" s="10">
        <v>1.06</v>
      </c>
      <c r="O112" s="10" t="s">
        <v>688</v>
      </c>
      <c r="P112" s="10"/>
      <c r="Q112" s="10"/>
      <c r="R112" s="10"/>
      <c r="S112" s="10"/>
      <c r="T112" s="10"/>
      <c r="U112" s="10"/>
      <c r="V112" s="10"/>
      <c r="W112" s="10"/>
      <c r="X112" s="10"/>
      <c r="Y112" s="10"/>
      <c r="Z112" s="10"/>
    </row>
    <row r="113" spans="1:26" ht="15">
      <c r="A113" s="9">
        <v>56</v>
      </c>
      <c r="B113" s="10" t="str">
        <f ca="1">IFERROR(__xludf.DUMMYFUNCTION((TRANSPOSE(ImportHTML("http://spending.data.al/sq/moneypower/view/id/56/year/2013",  "table", 0)))),"*Kategoria*")</f>
        <v>*Kategoria*</v>
      </c>
      <c r="C113" s="10" t="s">
        <v>673</v>
      </c>
      <c r="D113" s="10" t="s">
        <v>674</v>
      </c>
      <c r="E113" s="10" t="s">
        <v>675</v>
      </c>
      <c r="F113" s="10" t="s">
        <v>676</v>
      </c>
      <c r="G113" s="10" t="s">
        <v>677</v>
      </c>
      <c r="H113" s="10" t="s">
        <v>678</v>
      </c>
      <c r="I113" s="10" t="s">
        <v>679</v>
      </c>
      <c r="J113" s="10" t="s">
        <v>680</v>
      </c>
      <c r="K113" s="10" t="s">
        <v>681</v>
      </c>
      <c r="L113" s="10" t="s">
        <v>682</v>
      </c>
      <c r="M113" s="10" t="s">
        <v>683</v>
      </c>
      <c r="N113" s="10" t="s">
        <v>684</v>
      </c>
      <c r="O113" s="10" t="s">
        <v>685</v>
      </c>
      <c r="P113" s="10"/>
      <c r="Q113" s="10"/>
      <c r="R113" s="10"/>
      <c r="S113" s="10"/>
      <c r="T113" s="10"/>
      <c r="U113" s="10"/>
      <c r="V113" s="10"/>
      <c r="W113" s="10"/>
      <c r="X113" s="10"/>
      <c r="Y113" s="10"/>
      <c r="Z113" s="10"/>
    </row>
    <row r="114" spans="1:26" ht="15">
      <c r="A114" s="11"/>
      <c r="B114" s="10" t="s">
        <v>686</v>
      </c>
      <c r="C114" s="10" t="s">
        <v>931</v>
      </c>
      <c r="D114" s="10" t="s">
        <v>932</v>
      </c>
      <c r="E114" s="10" t="s">
        <v>933</v>
      </c>
      <c r="F114" s="10" t="s">
        <v>934</v>
      </c>
      <c r="G114" s="10" t="s">
        <v>688</v>
      </c>
      <c r="H114" s="10" t="s">
        <v>688</v>
      </c>
      <c r="I114" s="10" t="s">
        <v>688</v>
      </c>
      <c r="J114" s="10" t="s">
        <v>688</v>
      </c>
      <c r="K114" s="10" t="s">
        <v>688</v>
      </c>
      <c r="L114" s="10" t="s">
        <v>935</v>
      </c>
      <c r="M114" s="10" t="s">
        <v>688</v>
      </c>
      <c r="N114" s="10">
        <v>1.57</v>
      </c>
      <c r="O114" s="10" t="s">
        <v>688</v>
      </c>
      <c r="P114" s="10"/>
      <c r="Q114" s="10"/>
      <c r="R114" s="10"/>
      <c r="S114" s="10"/>
      <c r="T114" s="10"/>
      <c r="U114" s="10"/>
      <c r="V114" s="10"/>
      <c r="W114" s="10"/>
      <c r="X114" s="10"/>
      <c r="Y114" s="10"/>
      <c r="Z114" s="10"/>
    </row>
    <row r="115" spans="1:26" ht="15">
      <c r="A115" s="9">
        <v>57</v>
      </c>
      <c r="B115" s="10" t="str">
        <f ca="1">IFERROR(__xludf.DUMMYFUNCTION((TRANSPOSE(ImportHTML("http://spending.data.al/sq/moneypower/view/id/57/year/2013",  "table", 0)))),"*Kategoria*")</f>
        <v>*Kategoria*</v>
      </c>
      <c r="C115" s="10" t="s">
        <v>673</v>
      </c>
      <c r="D115" s="10" t="s">
        <v>674</v>
      </c>
      <c r="E115" s="10" t="s">
        <v>675</v>
      </c>
      <c r="F115" s="10" t="s">
        <v>676</v>
      </c>
      <c r="G115" s="10" t="s">
        <v>677</v>
      </c>
      <c r="H115" s="10" t="s">
        <v>678</v>
      </c>
      <c r="I115" s="10" t="s">
        <v>679</v>
      </c>
      <c r="J115" s="10" t="s">
        <v>680</v>
      </c>
      <c r="K115" s="10" t="s">
        <v>681</v>
      </c>
      <c r="L115" s="10" t="s">
        <v>682</v>
      </c>
      <c r="M115" s="10" t="s">
        <v>683</v>
      </c>
      <c r="N115" s="10" t="s">
        <v>684</v>
      </c>
      <c r="O115" s="10" t="s">
        <v>685</v>
      </c>
      <c r="P115" s="10"/>
      <c r="Q115" s="10"/>
      <c r="R115" s="10"/>
      <c r="S115" s="10"/>
      <c r="T115" s="10"/>
      <c r="U115" s="10"/>
      <c r="V115" s="10"/>
      <c r="W115" s="10"/>
      <c r="X115" s="10"/>
      <c r="Y115" s="10"/>
      <c r="Z115" s="10"/>
    </row>
    <row r="116" spans="1:26" ht="15">
      <c r="A116" s="11"/>
      <c r="B116" s="10" t="s">
        <v>686</v>
      </c>
      <c r="C116" s="10" t="s">
        <v>936</v>
      </c>
      <c r="D116" s="10" t="s">
        <v>688</v>
      </c>
      <c r="E116" s="10" t="s">
        <v>688</v>
      </c>
      <c r="F116" s="10" t="s">
        <v>688</v>
      </c>
      <c r="G116" s="10" t="s">
        <v>688</v>
      </c>
      <c r="H116" s="10" t="s">
        <v>688</v>
      </c>
      <c r="I116" s="10" t="s">
        <v>688</v>
      </c>
      <c r="J116" s="10" t="s">
        <v>688</v>
      </c>
      <c r="K116" s="10" t="s">
        <v>688</v>
      </c>
      <c r="L116" s="10" t="s">
        <v>937</v>
      </c>
      <c r="M116" s="10" t="s">
        <v>688</v>
      </c>
      <c r="N116" s="10">
        <v>1</v>
      </c>
      <c r="O116" s="10" t="s">
        <v>688</v>
      </c>
      <c r="P116" s="10"/>
      <c r="Q116" s="10"/>
      <c r="R116" s="10"/>
      <c r="S116" s="10"/>
      <c r="T116" s="10"/>
      <c r="U116" s="10"/>
      <c r="V116" s="10"/>
      <c r="W116" s="10"/>
      <c r="X116" s="10"/>
      <c r="Y116" s="10"/>
      <c r="Z116" s="10"/>
    </row>
    <row r="117" spans="1:26" ht="15">
      <c r="A117" s="9">
        <v>58</v>
      </c>
      <c r="B117" s="10" t="str">
        <f ca="1">IFERROR(__xludf.DUMMYFUNCTION((TRANSPOSE(ImportHTML("http://spending.data.al/sq/moneypower/view/id/58/year/2013",  "table", 0)))),"*Kategoria*")</f>
        <v>*Kategoria*</v>
      </c>
      <c r="C117" s="10" t="s">
        <v>673</v>
      </c>
      <c r="D117" s="10" t="s">
        <v>674</v>
      </c>
      <c r="E117" s="10" t="s">
        <v>675</v>
      </c>
      <c r="F117" s="10" t="s">
        <v>676</v>
      </c>
      <c r="G117" s="10" t="s">
        <v>677</v>
      </c>
      <c r="H117" s="10" t="s">
        <v>678</v>
      </c>
      <c r="I117" s="10" t="s">
        <v>679</v>
      </c>
      <c r="J117" s="10" t="s">
        <v>680</v>
      </c>
      <c r="K117" s="10" t="s">
        <v>681</v>
      </c>
      <c r="L117" s="10" t="s">
        <v>682</v>
      </c>
      <c r="M117" s="10" t="s">
        <v>683</v>
      </c>
      <c r="N117" s="10" t="s">
        <v>684</v>
      </c>
      <c r="O117" s="10" t="s">
        <v>685</v>
      </c>
      <c r="P117" s="10"/>
      <c r="Q117" s="10"/>
      <c r="R117" s="10"/>
      <c r="S117" s="10"/>
      <c r="T117" s="10"/>
      <c r="U117" s="10"/>
      <c r="V117" s="10"/>
      <c r="W117" s="10"/>
      <c r="X117" s="10"/>
      <c r="Y117" s="10"/>
      <c r="Z117" s="10"/>
    </row>
    <row r="118" spans="1:26" ht="15">
      <c r="A118" s="11"/>
      <c r="B118" s="10" t="s">
        <v>686</v>
      </c>
      <c r="C118" s="10" t="s">
        <v>938</v>
      </c>
      <c r="D118" s="10" t="s">
        <v>688</v>
      </c>
      <c r="E118" s="10" t="s">
        <v>688</v>
      </c>
      <c r="F118" s="10" t="s">
        <v>688</v>
      </c>
      <c r="G118" s="10" t="s">
        <v>688</v>
      </c>
      <c r="H118" s="10" t="s">
        <v>688</v>
      </c>
      <c r="I118" s="10" t="s">
        <v>688</v>
      </c>
      <c r="J118" s="10" t="s">
        <v>688</v>
      </c>
      <c r="K118" s="10" t="s">
        <v>688</v>
      </c>
      <c r="L118" s="10" t="s">
        <v>939</v>
      </c>
      <c r="M118" s="10" t="s">
        <v>688</v>
      </c>
      <c r="N118" s="10">
        <v>1</v>
      </c>
      <c r="O118" s="10" t="s">
        <v>688</v>
      </c>
      <c r="P118" s="10"/>
      <c r="Q118" s="10"/>
      <c r="R118" s="10"/>
      <c r="S118" s="10"/>
      <c r="T118" s="10"/>
      <c r="U118" s="10"/>
      <c r="V118" s="10"/>
      <c r="W118" s="10"/>
      <c r="X118" s="10"/>
      <c r="Y118" s="10"/>
      <c r="Z118" s="10"/>
    </row>
    <row r="119" spans="1:26" ht="15">
      <c r="A119" s="9">
        <v>59</v>
      </c>
      <c r="B119" s="10" t="str">
        <f ca="1">IFERROR(__xludf.DUMMYFUNCTION((TRANSPOSE(ImportHTML("http://spending.data.al/sq/moneypower/view/id/59/year/2013",  "table", 0)))),"*Kategoria*")</f>
        <v>*Kategoria*</v>
      </c>
      <c r="C119" s="10" t="s">
        <v>673</v>
      </c>
      <c r="D119" s="10" t="s">
        <v>674</v>
      </c>
      <c r="E119" s="10" t="s">
        <v>675</v>
      </c>
      <c r="F119" s="10" t="s">
        <v>676</v>
      </c>
      <c r="G119" s="10" t="s">
        <v>677</v>
      </c>
      <c r="H119" s="10" t="s">
        <v>678</v>
      </c>
      <c r="I119" s="10" t="s">
        <v>679</v>
      </c>
      <c r="J119" s="10" t="s">
        <v>680</v>
      </c>
      <c r="K119" s="10" t="s">
        <v>681</v>
      </c>
      <c r="L119" s="10" t="s">
        <v>682</v>
      </c>
      <c r="M119" s="10" t="s">
        <v>683</v>
      </c>
      <c r="N119" s="10" t="s">
        <v>684</v>
      </c>
      <c r="O119" s="10" t="s">
        <v>685</v>
      </c>
      <c r="P119" s="10"/>
      <c r="Q119" s="10"/>
      <c r="R119" s="10"/>
      <c r="S119" s="10"/>
      <c r="T119" s="10"/>
      <c r="U119" s="10"/>
      <c r="V119" s="10"/>
      <c r="W119" s="10"/>
      <c r="X119" s="10"/>
      <c r="Y119" s="10"/>
      <c r="Z119" s="10"/>
    </row>
    <row r="120" spans="1:26" ht="15">
      <c r="A120" s="11"/>
      <c r="B120" s="10" t="s">
        <v>686</v>
      </c>
      <c r="C120" s="10" t="s">
        <v>940</v>
      </c>
      <c r="D120" s="10" t="s">
        <v>688</v>
      </c>
      <c r="E120" s="10" t="s">
        <v>868</v>
      </c>
      <c r="F120" s="10" t="s">
        <v>688</v>
      </c>
      <c r="G120" s="10" t="s">
        <v>688</v>
      </c>
      <c r="H120" s="10" t="s">
        <v>688</v>
      </c>
      <c r="I120" s="10" t="s">
        <v>688</v>
      </c>
      <c r="J120" s="10" t="s">
        <v>688</v>
      </c>
      <c r="K120" s="10" t="s">
        <v>688</v>
      </c>
      <c r="L120" s="10" t="s">
        <v>941</v>
      </c>
      <c r="M120" s="10" t="s">
        <v>688</v>
      </c>
      <c r="N120" s="10">
        <v>1.2</v>
      </c>
      <c r="O120" s="10" t="s">
        <v>688</v>
      </c>
      <c r="P120" s="10"/>
      <c r="Q120" s="10"/>
      <c r="R120" s="10"/>
      <c r="S120" s="10"/>
      <c r="T120" s="10"/>
      <c r="U120" s="10"/>
      <c r="V120" s="10"/>
      <c r="W120" s="10"/>
      <c r="X120" s="10"/>
      <c r="Y120" s="10"/>
      <c r="Z120" s="10"/>
    </row>
    <row r="121" spans="1:26" ht="15">
      <c r="A121" s="9">
        <v>60</v>
      </c>
      <c r="B121" s="10" t="str">
        <f ca="1">IFERROR(__xludf.DUMMYFUNCTION((TRANSPOSE(ImportHTML("http://spending.data.al/sq/moneypower/view/id/60/year/2013",  "table", 0)))),"*Kategoria*")</f>
        <v>*Kategoria*</v>
      </c>
      <c r="C121" s="10" t="s">
        <v>673</v>
      </c>
      <c r="D121" s="10" t="s">
        <v>674</v>
      </c>
      <c r="E121" s="10" t="s">
        <v>675</v>
      </c>
      <c r="F121" s="10" t="s">
        <v>676</v>
      </c>
      <c r="G121" s="10" t="s">
        <v>677</v>
      </c>
      <c r="H121" s="10" t="s">
        <v>678</v>
      </c>
      <c r="I121" s="10" t="s">
        <v>679</v>
      </c>
      <c r="J121" s="10" t="s">
        <v>680</v>
      </c>
      <c r="K121" s="10" t="s">
        <v>681</v>
      </c>
      <c r="L121" s="10" t="s">
        <v>682</v>
      </c>
      <c r="M121" s="10" t="s">
        <v>683</v>
      </c>
      <c r="N121" s="10" t="s">
        <v>684</v>
      </c>
      <c r="O121" s="10" t="s">
        <v>685</v>
      </c>
      <c r="P121" s="10"/>
      <c r="Q121" s="10"/>
      <c r="R121" s="10"/>
      <c r="S121" s="10"/>
      <c r="T121" s="10"/>
      <c r="U121" s="10"/>
      <c r="V121" s="10"/>
      <c r="W121" s="10"/>
      <c r="X121" s="10"/>
      <c r="Y121" s="10"/>
      <c r="Z121" s="10"/>
    </row>
    <row r="122" spans="1:26" ht="15">
      <c r="A122" s="11"/>
      <c r="B122" s="10" t="s">
        <v>686</v>
      </c>
      <c r="C122" s="10" t="s">
        <v>3827</v>
      </c>
      <c r="D122" s="10" t="s">
        <v>688</v>
      </c>
      <c r="E122" s="10" t="s">
        <v>919</v>
      </c>
      <c r="F122" s="10" t="s">
        <v>688</v>
      </c>
      <c r="G122" s="10" t="s">
        <v>688</v>
      </c>
      <c r="H122" s="10" t="s">
        <v>688</v>
      </c>
      <c r="I122" s="10" t="s">
        <v>688</v>
      </c>
      <c r="J122" s="10" t="s">
        <v>688</v>
      </c>
      <c r="K122" s="10" t="s">
        <v>3828</v>
      </c>
      <c r="L122" s="10" t="s">
        <v>3829</v>
      </c>
      <c r="M122" s="10" t="s">
        <v>688</v>
      </c>
      <c r="N122" s="10">
        <v>1.1000000000000001</v>
      </c>
      <c r="O122" s="10" t="s">
        <v>3830</v>
      </c>
      <c r="P122" s="10"/>
      <c r="Q122" s="10"/>
      <c r="R122" s="10"/>
      <c r="S122" s="10"/>
      <c r="T122" s="10"/>
      <c r="U122" s="10"/>
      <c r="V122" s="10"/>
      <c r="W122" s="10"/>
      <c r="X122" s="10"/>
      <c r="Y122" s="10"/>
      <c r="Z122" s="10"/>
    </row>
    <row r="123" spans="1:26" ht="15">
      <c r="A123" s="9">
        <v>61</v>
      </c>
      <c r="B123" s="10" t="str">
        <f ca="1">IFERROR(__xludf.DUMMYFUNCTION((TRANSPOSE(ImportHTML("http://spending.data.al/sq/moneypower/view/id/61/year/2013",  "table", 0)))),"*Kategoria*")</f>
        <v>*Kategoria*</v>
      </c>
      <c r="C123" s="10" t="s">
        <v>673</v>
      </c>
      <c r="D123" s="10" t="s">
        <v>674</v>
      </c>
      <c r="E123" s="10" t="s">
        <v>675</v>
      </c>
      <c r="F123" s="10" t="s">
        <v>676</v>
      </c>
      <c r="G123" s="10" t="s">
        <v>677</v>
      </c>
      <c r="H123" s="10" t="s">
        <v>678</v>
      </c>
      <c r="I123" s="10" t="s">
        <v>679</v>
      </c>
      <c r="J123" s="10" t="s">
        <v>680</v>
      </c>
      <c r="K123" s="10" t="s">
        <v>681</v>
      </c>
      <c r="L123" s="10" t="s">
        <v>682</v>
      </c>
      <c r="M123" s="10" t="s">
        <v>683</v>
      </c>
      <c r="N123" s="10" t="s">
        <v>684</v>
      </c>
      <c r="O123" s="10" t="s">
        <v>685</v>
      </c>
      <c r="P123" s="10"/>
      <c r="Q123" s="10"/>
      <c r="R123" s="10"/>
      <c r="S123" s="10"/>
      <c r="T123" s="10"/>
      <c r="U123" s="10"/>
      <c r="V123" s="10"/>
      <c r="W123" s="10"/>
      <c r="X123" s="10"/>
      <c r="Y123" s="10"/>
      <c r="Z123" s="10"/>
    </row>
    <row r="124" spans="1:26" ht="15">
      <c r="A124" s="11"/>
      <c r="B124" s="10" t="s">
        <v>686</v>
      </c>
      <c r="C124" s="10" t="s">
        <v>948</v>
      </c>
      <c r="D124" s="10" t="s">
        <v>688</v>
      </c>
      <c r="E124" s="10" t="s">
        <v>688</v>
      </c>
      <c r="F124" s="10" t="s">
        <v>688</v>
      </c>
      <c r="G124" s="10" t="s">
        <v>688</v>
      </c>
      <c r="H124" s="10" t="s">
        <v>949</v>
      </c>
      <c r="I124" s="10" t="s">
        <v>688</v>
      </c>
      <c r="J124" s="10" t="s">
        <v>688</v>
      </c>
      <c r="K124" s="10" t="s">
        <v>688</v>
      </c>
      <c r="L124" s="10" t="s">
        <v>950</v>
      </c>
      <c r="M124" s="10" t="s">
        <v>688</v>
      </c>
      <c r="N124" s="10">
        <v>2.15</v>
      </c>
      <c r="O124" s="10" t="s">
        <v>688</v>
      </c>
      <c r="P124" s="10"/>
      <c r="Q124" s="10"/>
      <c r="R124" s="10"/>
      <c r="S124" s="10"/>
      <c r="T124" s="10"/>
      <c r="U124" s="10"/>
      <c r="V124" s="10"/>
      <c r="W124" s="10"/>
      <c r="X124" s="10"/>
      <c r="Y124" s="10"/>
      <c r="Z124" s="10"/>
    </row>
    <row r="125" spans="1:26" ht="15">
      <c r="A125" s="9">
        <v>62</v>
      </c>
      <c r="B125" s="10" t="str">
        <f ca="1">IFERROR(__xludf.DUMMYFUNCTION((TRANSPOSE(ImportHTML("http://spending.data.al/sq/moneypower/view/id/62/year/2013",  "table", 0)))),"*Kategoria*")</f>
        <v>*Kategoria*</v>
      </c>
      <c r="C125" s="10" t="s">
        <v>673</v>
      </c>
      <c r="D125" s="10" t="s">
        <v>674</v>
      </c>
      <c r="E125" s="10" t="s">
        <v>675</v>
      </c>
      <c r="F125" s="10" t="s">
        <v>676</v>
      </c>
      <c r="G125" s="10" t="s">
        <v>677</v>
      </c>
      <c r="H125" s="10" t="s">
        <v>678</v>
      </c>
      <c r="I125" s="10" t="s">
        <v>679</v>
      </c>
      <c r="J125" s="10" t="s">
        <v>680</v>
      </c>
      <c r="K125" s="10" t="s">
        <v>681</v>
      </c>
      <c r="L125" s="10" t="s">
        <v>682</v>
      </c>
      <c r="M125" s="10" t="s">
        <v>683</v>
      </c>
      <c r="N125" s="10" t="s">
        <v>684</v>
      </c>
      <c r="O125" s="10" t="s">
        <v>685</v>
      </c>
      <c r="P125" s="10"/>
      <c r="Q125" s="10"/>
      <c r="R125" s="10"/>
      <c r="S125" s="10"/>
      <c r="T125" s="10"/>
      <c r="U125" s="10"/>
      <c r="V125" s="10"/>
      <c r="W125" s="10"/>
      <c r="X125" s="10"/>
      <c r="Y125" s="10"/>
      <c r="Z125" s="10"/>
    </row>
    <row r="126" spans="1:26" ht="15">
      <c r="A126" s="11"/>
      <c r="B126" s="10" t="s">
        <v>686</v>
      </c>
      <c r="C126" s="10" t="s">
        <v>951</v>
      </c>
      <c r="D126" s="10" t="s">
        <v>688</v>
      </c>
      <c r="E126" s="10" t="s">
        <v>952</v>
      </c>
      <c r="F126" s="10" t="s">
        <v>688</v>
      </c>
      <c r="G126" s="10" t="s">
        <v>688</v>
      </c>
      <c r="H126" s="10" t="s">
        <v>688</v>
      </c>
      <c r="I126" s="10" t="s">
        <v>688</v>
      </c>
      <c r="J126" s="10" t="s">
        <v>688</v>
      </c>
      <c r="K126" s="10" t="s">
        <v>688</v>
      </c>
      <c r="L126" s="10" t="s">
        <v>953</v>
      </c>
      <c r="M126" s="10" t="s">
        <v>688</v>
      </c>
      <c r="N126" s="10">
        <v>1.72</v>
      </c>
      <c r="O126" s="10" t="s">
        <v>688</v>
      </c>
      <c r="P126" s="10"/>
      <c r="Q126" s="10"/>
      <c r="R126" s="10"/>
      <c r="S126" s="10"/>
      <c r="T126" s="10"/>
      <c r="U126" s="10"/>
      <c r="V126" s="10"/>
      <c r="W126" s="10"/>
      <c r="X126" s="10"/>
      <c r="Y126" s="10"/>
      <c r="Z126" s="10"/>
    </row>
    <row r="127" spans="1:26" ht="15">
      <c r="A127" s="9">
        <v>63</v>
      </c>
      <c r="B127" s="10" t="str">
        <f ca="1">IFERROR(__xludf.DUMMYFUNCTION((TRANSPOSE(ImportHTML("http://spending.data.al/sq/moneypower/view/id/63/year/2013",  "table", 0)))),"*Kategoria*")</f>
        <v>*Kategoria*</v>
      </c>
      <c r="C127" s="10" t="s">
        <v>673</v>
      </c>
      <c r="D127" s="10" t="s">
        <v>674</v>
      </c>
      <c r="E127" s="10" t="s">
        <v>675</v>
      </c>
      <c r="F127" s="10" t="s">
        <v>676</v>
      </c>
      <c r="G127" s="10" t="s">
        <v>677</v>
      </c>
      <c r="H127" s="10" t="s">
        <v>678</v>
      </c>
      <c r="I127" s="10" t="s">
        <v>679</v>
      </c>
      <c r="J127" s="10" t="s">
        <v>680</v>
      </c>
      <c r="K127" s="10" t="s">
        <v>681</v>
      </c>
      <c r="L127" s="10" t="s">
        <v>682</v>
      </c>
      <c r="M127" s="10" t="s">
        <v>683</v>
      </c>
      <c r="N127" s="10" t="s">
        <v>684</v>
      </c>
      <c r="O127" s="10" t="s">
        <v>685</v>
      </c>
      <c r="P127" s="10"/>
      <c r="Q127" s="10"/>
      <c r="R127" s="10"/>
      <c r="S127" s="10"/>
      <c r="T127" s="10"/>
      <c r="U127" s="10"/>
      <c r="V127" s="10"/>
      <c r="W127" s="10"/>
      <c r="X127" s="10"/>
      <c r="Y127" s="10"/>
      <c r="Z127" s="10"/>
    </row>
    <row r="128" spans="1:26" ht="15">
      <c r="A128" s="11"/>
      <c r="B128" s="10" t="s">
        <v>686</v>
      </c>
      <c r="C128" s="10" t="s">
        <v>954</v>
      </c>
      <c r="D128" s="10" t="s">
        <v>688</v>
      </c>
      <c r="E128" s="10" t="s">
        <v>688</v>
      </c>
      <c r="F128" s="10" t="s">
        <v>688</v>
      </c>
      <c r="G128" s="10" t="s">
        <v>688</v>
      </c>
      <c r="H128" s="10" t="s">
        <v>688</v>
      </c>
      <c r="I128" s="10" t="s">
        <v>688</v>
      </c>
      <c r="J128" s="10" t="s">
        <v>688</v>
      </c>
      <c r="K128" s="10" t="s">
        <v>688</v>
      </c>
      <c r="L128" s="10" t="s">
        <v>955</v>
      </c>
      <c r="M128" s="10" t="s">
        <v>688</v>
      </c>
      <c r="N128" s="10">
        <v>1</v>
      </c>
      <c r="O128" s="10" t="s">
        <v>688</v>
      </c>
      <c r="P128" s="10"/>
      <c r="Q128" s="10"/>
      <c r="R128" s="10"/>
      <c r="S128" s="10"/>
      <c r="T128" s="10"/>
      <c r="U128" s="10"/>
      <c r="V128" s="10"/>
      <c r="W128" s="10"/>
      <c r="X128" s="10"/>
      <c r="Y128" s="10"/>
      <c r="Z128" s="10"/>
    </row>
    <row r="129" spans="1:26" ht="15">
      <c r="A129" s="9">
        <v>64</v>
      </c>
      <c r="B129" s="10" t="str">
        <f ca="1">IFERROR(__xludf.DUMMYFUNCTION((TRANSPOSE(ImportHTML("http://spending.data.al/sq/moneypower/view/id/64/year/2013",  "table", 0)))),"*Kategoria*")</f>
        <v>*Kategoria*</v>
      </c>
      <c r="C129" s="10" t="s">
        <v>673</v>
      </c>
      <c r="D129" s="10" t="s">
        <v>674</v>
      </c>
      <c r="E129" s="10" t="s">
        <v>675</v>
      </c>
      <c r="F129" s="10" t="s">
        <v>676</v>
      </c>
      <c r="G129" s="10" t="s">
        <v>677</v>
      </c>
      <c r="H129" s="10" t="s">
        <v>678</v>
      </c>
      <c r="I129" s="10" t="s">
        <v>679</v>
      </c>
      <c r="J129" s="10" t="s">
        <v>680</v>
      </c>
      <c r="K129" s="10" t="s">
        <v>681</v>
      </c>
      <c r="L129" s="10" t="s">
        <v>682</v>
      </c>
      <c r="M129" s="10" t="s">
        <v>683</v>
      </c>
      <c r="N129" s="10" t="s">
        <v>684</v>
      </c>
      <c r="O129" s="10" t="s">
        <v>685</v>
      </c>
      <c r="P129" s="10"/>
      <c r="Q129" s="10"/>
      <c r="R129" s="10"/>
      <c r="S129" s="10"/>
      <c r="T129" s="10"/>
      <c r="U129" s="10"/>
      <c r="V129" s="10"/>
      <c r="W129" s="10"/>
      <c r="X129" s="10"/>
      <c r="Y129" s="10"/>
      <c r="Z129" s="10"/>
    </row>
    <row r="130" spans="1:26" ht="15">
      <c r="A130" s="11"/>
      <c r="B130" s="10" t="s">
        <v>686</v>
      </c>
      <c r="C130" s="10" t="s">
        <v>956</v>
      </c>
      <c r="D130" s="10" t="s">
        <v>688</v>
      </c>
      <c r="E130" s="10" t="s">
        <v>957</v>
      </c>
      <c r="F130" s="10" t="s">
        <v>688</v>
      </c>
      <c r="G130" s="10" t="s">
        <v>688</v>
      </c>
      <c r="H130" s="10" t="s">
        <v>688</v>
      </c>
      <c r="I130" s="10" t="s">
        <v>688</v>
      </c>
      <c r="J130" s="10" t="s">
        <v>688</v>
      </c>
      <c r="K130" s="10" t="s">
        <v>688</v>
      </c>
      <c r="L130" s="10" t="s">
        <v>688</v>
      </c>
      <c r="M130" s="10" t="s">
        <v>688</v>
      </c>
      <c r="N130" s="10">
        <v>1.1399999999999999</v>
      </c>
      <c r="O130" s="10" t="s">
        <v>688</v>
      </c>
      <c r="P130" s="10"/>
      <c r="Q130" s="10"/>
      <c r="R130" s="10"/>
      <c r="S130" s="10"/>
      <c r="T130" s="10"/>
      <c r="U130" s="10"/>
      <c r="V130" s="10"/>
      <c r="W130" s="10"/>
      <c r="X130" s="10"/>
      <c r="Y130" s="10"/>
      <c r="Z130" s="10"/>
    </row>
    <row r="131" spans="1:26" ht="15">
      <c r="A131" s="9">
        <v>65</v>
      </c>
      <c r="B131" s="10" t="str">
        <f ca="1">IFERROR(__xludf.DUMMYFUNCTION((TRANSPOSE(ImportHTML("http://spending.data.al/sq/moneypower/view/id/65/year/2013",  "table", 0)))),"*Kategoria*")</f>
        <v>*Kategoria*</v>
      </c>
      <c r="C131" s="10" t="s">
        <v>673</v>
      </c>
      <c r="D131" s="10" t="s">
        <v>674</v>
      </c>
      <c r="E131" s="10" t="s">
        <v>675</v>
      </c>
      <c r="F131" s="10" t="s">
        <v>676</v>
      </c>
      <c r="G131" s="10" t="s">
        <v>677</v>
      </c>
      <c r="H131" s="10" t="s">
        <v>678</v>
      </c>
      <c r="I131" s="10" t="s">
        <v>679</v>
      </c>
      <c r="J131" s="10" t="s">
        <v>680</v>
      </c>
      <c r="K131" s="10" t="s">
        <v>681</v>
      </c>
      <c r="L131" s="10" t="s">
        <v>682</v>
      </c>
      <c r="M131" s="10" t="s">
        <v>683</v>
      </c>
      <c r="N131" s="10" t="s">
        <v>684</v>
      </c>
      <c r="O131" s="10" t="s">
        <v>685</v>
      </c>
      <c r="P131" s="10"/>
      <c r="Q131" s="10"/>
      <c r="R131" s="10"/>
      <c r="S131" s="10"/>
      <c r="T131" s="10"/>
      <c r="U131" s="10"/>
      <c r="V131" s="10"/>
      <c r="W131" s="10"/>
      <c r="X131" s="10"/>
      <c r="Y131" s="10"/>
      <c r="Z131" s="10"/>
    </row>
    <row r="132" spans="1:26" ht="15">
      <c r="A132" s="11"/>
      <c r="B132" s="10" t="s">
        <v>686</v>
      </c>
      <c r="C132" s="10" t="s">
        <v>3831</v>
      </c>
      <c r="D132" s="10" t="s">
        <v>3115</v>
      </c>
      <c r="E132" s="10" t="s">
        <v>919</v>
      </c>
      <c r="F132" s="10" t="s">
        <v>688</v>
      </c>
      <c r="G132" s="10" t="s">
        <v>3832</v>
      </c>
      <c r="H132" s="10" t="s">
        <v>688</v>
      </c>
      <c r="I132" s="10" t="s">
        <v>688</v>
      </c>
      <c r="J132" s="10" t="s">
        <v>688</v>
      </c>
      <c r="K132" s="10" t="s">
        <v>688</v>
      </c>
      <c r="L132" s="10" t="s">
        <v>3833</v>
      </c>
      <c r="M132" s="10" t="s">
        <v>688</v>
      </c>
      <c r="N132" s="10">
        <v>4.47</v>
      </c>
      <c r="O132" s="10" t="s">
        <v>688</v>
      </c>
      <c r="P132" s="10"/>
      <c r="Q132" s="10"/>
      <c r="R132" s="10"/>
      <c r="S132" s="10"/>
      <c r="T132" s="10"/>
      <c r="U132" s="10"/>
      <c r="V132" s="10"/>
      <c r="W132" s="10"/>
      <c r="X132" s="10"/>
      <c r="Y132" s="10"/>
      <c r="Z132" s="10"/>
    </row>
    <row r="133" spans="1:26" ht="15">
      <c r="A133" s="9">
        <v>66</v>
      </c>
      <c r="B133" s="10" t="str">
        <f ca="1">IFERROR(__xludf.DUMMYFUNCTION((TRANSPOSE(ImportHTML("http://spending.data.al/sq/moneypower/view/id/66/year/2013",  "table", 0)))),"*Kategoria*")</f>
        <v>*Kategoria*</v>
      </c>
      <c r="C133" s="10" t="s">
        <v>673</v>
      </c>
      <c r="D133" s="10" t="s">
        <v>674</v>
      </c>
      <c r="E133" s="10" t="s">
        <v>675</v>
      </c>
      <c r="F133" s="10" t="s">
        <v>676</v>
      </c>
      <c r="G133" s="10" t="s">
        <v>677</v>
      </c>
      <c r="H133" s="10" t="s">
        <v>678</v>
      </c>
      <c r="I133" s="10" t="s">
        <v>679</v>
      </c>
      <c r="J133" s="10" t="s">
        <v>680</v>
      </c>
      <c r="K133" s="10" t="s">
        <v>681</v>
      </c>
      <c r="L133" s="10" t="s">
        <v>682</v>
      </c>
      <c r="M133" s="10" t="s">
        <v>683</v>
      </c>
      <c r="N133" s="10" t="s">
        <v>684</v>
      </c>
      <c r="O133" s="10" t="s">
        <v>685</v>
      </c>
      <c r="P133" s="10"/>
      <c r="Q133" s="10"/>
      <c r="R133" s="10"/>
      <c r="S133" s="10"/>
      <c r="T133" s="10"/>
      <c r="U133" s="10"/>
      <c r="V133" s="10"/>
      <c r="W133" s="10"/>
      <c r="X133" s="10"/>
      <c r="Y133" s="10"/>
      <c r="Z133" s="10"/>
    </row>
    <row r="134" spans="1:26" ht="15">
      <c r="A134" s="11"/>
      <c r="B134" s="10" t="s">
        <v>686</v>
      </c>
      <c r="C134" s="10" t="s">
        <v>962</v>
      </c>
      <c r="D134" s="10" t="s">
        <v>688</v>
      </c>
      <c r="E134" s="10" t="s">
        <v>696</v>
      </c>
      <c r="F134" s="10" t="s">
        <v>688</v>
      </c>
      <c r="G134" s="10" t="s">
        <v>688</v>
      </c>
      <c r="H134" s="10" t="s">
        <v>688</v>
      </c>
      <c r="I134" s="10" t="s">
        <v>688</v>
      </c>
      <c r="J134" s="10" t="s">
        <v>688</v>
      </c>
      <c r="K134" s="10" t="s">
        <v>688</v>
      </c>
      <c r="L134" s="10" t="s">
        <v>688</v>
      </c>
      <c r="M134" s="10" t="s">
        <v>688</v>
      </c>
      <c r="N134" s="10">
        <v>1.2</v>
      </c>
      <c r="O134" s="10" t="s">
        <v>963</v>
      </c>
      <c r="P134" s="10"/>
      <c r="Q134" s="10"/>
      <c r="R134" s="10"/>
      <c r="S134" s="10"/>
      <c r="T134" s="10"/>
      <c r="U134" s="10"/>
      <c r="V134" s="10"/>
      <c r="W134" s="10"/>
      <c r="X134" s="10"/>
      <c r="Y134" s="10"/>
      <c r="Z134" s="10"/>
    </row>
    <row r="135" spans="1:26" ht="15">
      <c r="A135" s="9">
        <v>67</v>
      </c>
      <c r="B135" s="10" t="str">
        <f ca="1">IFERROR(__xludf.DUMMYFUNCTION((TRANSPOSE(ImportHTML("http://spending.data.al/sq/moneypower/view/id/67/year/2013",  "table", 0)))),"*Kategoria*")</f>
        <v>*Kategoria*</v>
      </c>
      <c r="C135" s="10" t="s">
        <v>673</v>
      </c>
      <c r="D135" s="10" t="s">
        <v>674</v>
      </c>
      <c r="E135" s="10" t="s">
        <v>675</v>
      </c>
      <c r="F135" s="10" t="s">
        <v>676</v>
      </c>
      <c r="G135" s="10" t="s">
        <v>677</v>
      </c>
      <c r="H135" s="10" t="s">
        <v>678</v>
      </c>
      <c r="I135" s="10" t="s">
        <v>679</v>
      </c>
      <c r="J135" s="10" t="s">
        <v>680</v>
      </c>
      <c r="K135" s="10" t="s">
        <v>681</v>
      </c>
      <c r="L135" s="10" t="s">
        <v>682</v>
      </c>
      <c r="M135" s="10" t="s">
        <v>683</v>
      </c>
      <c r="N135" s="10" t="s">
        <v>684</v>
      </c>
      <c r="O135" s="10" t="s">
        <v>685</v>
      </c>
      <c r="P135" s="10"/>
      <c r="Q135" s="10"/>
      <c r="R135" s="10"/>
      <c r="S135" s="10"/>
      <c r="T135" s="10"/>
      <c r="U135" s="10"/>
      <c r="V135" s="10"/>
      <c r="W135" s="10"/>
      <c r="X135" s="10"/>
      <c r="Y135" s="10"/>
      <c r="Z135" s="10"/>
    </row>
    <row r="136" spans="1:26" ht="15">
      <c r="A136" s="11"/>
      <c r="B136" s="10" t="s">
        <v>686</v>
      </c>
      <c r="C136" s="10" t="s">
        <v>964</v>
      </c>
      <c r="D136" s="10" t="s">
        <v>965</v>
      </c>
      <c r="E136" s="10" t="s">
        <v>688</v>
      </c>
      <c r="F136" s="10" t="s">
        <v>966</v>
      </c>
      <c r="G136" s="10" t="s">
        <v>688</v>
      </c>
      <c r="H136" s="10" t="s">
        <v>688</v>
      </c>
      <c r="I136" s="10" t="s">
        <v>688</v>
      </c>
      <c r="J136" s="10" t="s">
        <v>688</v>
      </c>
      <c r="K136" s="10" t="s">
        <v>688</v>
      </c>
      <c r="L136" s="10" t="s">
        <v>967</v>
      </c>
      <c r="M136" s="10" t="s">
        <v>688</v>
      </c>
      <c r="N136" s="10">
        <v>1.39</v>
      </c>
      <c r="O136" s="10" t="s">
        <v>688</v>
      </c>
      <c r="P136" s="10"/>
      <c r="Q136" s="10"/>
      <c r="R136" s="10"/>
      <c r="S136" s="10"/>
      <c r="T136" s="10"/>
      <c r="U136" s="10"/>
      <c r="V136" s="10"/>
      <c r="W136" s="10"/>
      <c r="X136" s="10"/>
      <c r="Y136" s="10"/>
      <c r="Z136" s="10"/>
    </row>
    <row r="137" spans="1:26" ht="15">
      <c r="A137" s="9">
        <v>68</v>
      </c>
      <c r="B137" s="10" t="str">
        <f ca="1">IFERROR(__xludf.DUMMYFUNCTION((TRANSPOSE(ImportHTML("http://spending.data.al/sq/moneypower/view/id/68/year/2013",  "table", 0)))),"*Kategoria*")</f>
        <v>*Kategoria*</v>
      </c>
      <c r="C137" s="10" t="s">
        <v>673</v>
      </c>
      <c r="D137" s="10" t="s">
        <v>674</v>
      </c>
      <c r="E137" s="10" t="s">
        <v>675</v>
      </c>
      <c r="F137" s="10" t="s">
        <v>676</v>
      </c>
      <c r="G137" s="10" t="s">
        <v>677</v>
      </c>
      <c r="H137" s="10" t="s">
        <v>678</v>
      </c>
      <c r="I137" s="10" t="s">
        <v>679</v>
      </c>
      <c r="J137" s="10" t="s">
        <v>680</v>
      </c>
      <c r="K137" s="10" t="s">
        <v>681</v>
      </c>
      <c r="L137" s="10" t="s">
        <v>682</v>
      </c>
      <c r="M137" s="10" t="s">
        <v>683</v>
      </c>
      <c r="N137" s="10" t="s">
        <v>684</v>
      </c>
      <c r="O137" s="10" t="s">
        <v>685</v>
      </c>
      <c r="P137" s="10"/>
      <c r="Q137" s="10"/>
      <c r="R137" s="10"/>
      <c r="S137" s="10"/>
      <c r="T137" s="10"/>
      <c r="U137" s="10"/>
      <c r="V137" s="10"/>
      <c r="W137" s="10"/>
      <c r="X137" s="10"/>
      <c r="Y137" s="10"/>
      <c r="Z137" s="10"/>
    </row>
    <row r="138" spans="1:26" ht="15">
      <c r="A138" s="11"/>
      <c r="B138" s="10" t="s">
        <v>686</v>
      </c>
      <c r="C138" s="10" t="s">
        <v>3834</v>
      </c>
      <c r="D138" s="10" t="s">
        <v>688</v>
      </c>
      <c r="E138" s="10" t="s">
        <v>3835</v>
      </c>
      <c r="F138" s="10" t="s">
        <v>688</v>
      </c>
      <c r="G138" s="10" t="s">
        <v>688</v>
      </c>
      <c r="H138" s="10" t="s">
        <v>688</v>
      </c>
      <c r="I138" s="10" t="s">
        <v>688</v>
      </c>
      <c r="J138" s="10" t="s">
        <v>688</v>
      </c>
      <c r="K138" s="10" t="s">
        <v>688</v>
      </c>
      <c r="L138" s="10" t="s">
        <v>3836</v>
      </c>
      <c r="M138" s="10" t="s">
        <v>688</v>
      </c>
      <c r="N138" s="10">
        <v>1.07</v>
      </c>
      <c r="O138" s="10" t="s">
        <v>688</v>
      </c>
      <c r="P138" s="10"/>
      <c r="Q138" s="10"/>
      <c r="R138" s="10"/>
      <c r="S138" s="10"/>
      <c r="T138" s="10"/>
      <c r="U138" s="10"/>
      <c r="V138" s="10"/>
      <c r="W138" s="10"/>
      <c r="X138" s="10"/>
      <c r="Y138" s="10"/>
      <c r="Z138" s="10"/>
    </row>
    <row r="139" spans="1:26" ht="15">
      <c r="A139" s="9">
        <v>69</v>
      </c>
      <c r="B139" s="10" t="str">
        <f ca="1">IFERROR(__xludf.DUMMYFUNCTION((TRANSPOSE(ImportHTML("http://spending.data.al/sq/moneypower/view/id/69/year/2013",  "table", 0)))),"*Kategoria*")</f>
        <v>*Kategoria*</v>
      </c>
      <c r="C139" s="10" t="s">
        <v>673</v>
      </c>
      <c r="D139" s="10" t="s">
        <v>674</v>
      </c>
      <c r="E139" s="10" t="s">
        <v>675</v>
      </c>
      <c r="F139" s="10" t="s">
        <v>676</v>
      </c>
      <c r="G139" s="10" t="s">
        <v>677</v>
      </c>
      <c r="H139" s="10" t="s">
        <v>678</v>
      </c>
      <c r="I139" s="10" t="s">
        <v>679</v>
      </c>
      <c r="J139" s="10" t="s">
        <v>680</v>
      </c>
      <c r="K139" s="10" t="s">
        <v>681</v>
      </c>
      <c r="L139" s="10" t="s">
        <v>682</v>
      </c>
      <c r="M139" s="10" t="s">
        <v>683</v>
      </c>
      <c r="N139" s="10" t="s">
        <v>684</v>
      </c>
      <c r="O139" s="10" t="s">
        <v>685</v>
      </c>
      <c r="P139" s="10"/>
      <c r="Q139" s="10"/>
      <c r="R139" s="10"/>
      <c r="S139" s="10"/>
      <c r="T139" s="10"/>
      <c r="U139" s="10"/>
      <c r="V139" s="10"/>
      <c r="W139" s="10"/>
      <c r="X139" s="10"/>
      <c r="Y139" s="10"/>
      <c r="Z139" s="10"/>
    </row>
    <row r="140" spans="1:26" ht="15">
      <c r="A140" s="11"/>
      <c r="B140" s="10" t="s">
        <v>686</v>
      </c>
      <c r="C140" s="10" t="s">
        <v>3837</v>
      </c>
      <c r="D140" s="10" t="s">
        <v>688</v>
      </c>
      <c r="E140" s="10" t="s">
        <v>688</v>
      </c>
      <c r="F140" s="10" t="s">
        <v>688</v>
      </c>
      <c r="G140" s="10" t="s">
        <v>688</v>
      </c>
      <c r="H140" s="10" t="s">
        <v>688</v>
      </c>
      <c r="I140" s="10" t="s">
        <v>688</v>
      </c>
      <c r="J140" s="10" t="s">
        <v>688</v>
      </c>
      <c r="K140" s="10" t="s">
        <v>688</v>
      </c>
      <c r="L140" s="10" t="s">
        <v>3129</v>
      </c>
      <c r="M140" s="10" t="s">
        <v>688</v>
      </c>
      <c r="N140" s="10">
        <v>1</v>
      </c>
      <c r="O140" s="10" t="s">
        <v>688</v>
      </c>
      <c r="P140" s="10"/>
      <c r="Q140" s="10"/>
      <c r="R140" s="10"/>
      <c r="S140" s="10"/>
      <c r="T140" s="10"/>
      <c r="U140" s="10"/>
      <c r="V140" s="10"/>
      <c r="W140" s="10"/>
      <c r="X140" s="10"/>
      <c r="Y140" s="10"/>
      <c r="Z140" s="10"/>
    </row>
    <row r="141" spans="1:26" ht="15">
      <c r="A141" s="9">
        <v>70</v>
      </c>
      <c r="B141" s="10" t="str">
        <f ca="1">IFERROR(__xludf.DUMMYFUNCTION((TRANSPOSE(ImportHTML("http://spending.data.al/sq/moneypower/view/id/70/year/2013",  "table", 0)))),"*Kategoria*")</f>
        <v>*Kategoria*</v>
      </c>
      <c r="C141" s="10" t="s">
        <v>673</v>
      </c>
      <c r="D141" s="10" t="s">
        <v>674</v>
      </c>
      <c r="E141" s="10" t="s">
        <v>675</v>
      </c>
      <c r="F141" s="10" t="s">
        <v>676</v>
      </c>
      <c r="G141" s="10" t="s">
        <v>677</v>
      </c>
      <c r="H141" s="10" t="s">
        <v>678</v>
      </c>
      <c r="I141" s="10" t="s">
        <v>679</v>
      </c>
      <c r="J141" s="10" t="s">
        <v>680</v>
      </c>
      <c r="K141" s="10" t="s">
        <v>681</v>
      </c>
      <c r="L141" s="10" t="s">
        <v>682</v>
      </c>
      <c r="M141" s="10" t="s">
        <v>683</v>
      </c>
      <c r="N141" s="10" t="s">
        <v>684</v>
      </c>
      <c r="O141" s="10" t="s">
        <v>685</v>
      </c>
      <c r="P141" s="10"/>
      <c r="Q141" s="10"/>
      <c r="R141" s="10"/>
      <c r="S141" s="10"/>
      <c r="T141" s="10"/>
      <c r="U141" s="10"/>
      <c r="V141" s="10"/>
      <c r="W141" s="10"/>
      <c r="X141" s="10"/>
      <c r="Y141" s="10"/>
      <c r="Z141" s="10"/>
    </row>
    <row r="142" spans="1:26" ht="15">
      <c r="A142" s="11"/>
      <c r="B142" s="10" t="s">
        <v>686</v>
      </c>
      <c r="C142" s="10" t="s">
        <v>3838</v>
      </c>
      <c r="D142" s="10" t="s">
        <v>688</v>
      </c>
      <c r="E142" s="10" t="s">
        <v>688</v>
      </c>
      <c r="F142" s="10" t="s">
        <v>688</v>
      </c>
      <c r="G142" s="10" t="s">
        <v>688</v>
      </c>
      <c r="H142" s="10" t="s">
        <v>688</v>
      </c>
      <c r="I142" s="10" t="s">
        <v>3839</v>
      </c>
      <c r="J142" s="10" t="s">
        <v>688</v>
      </c>
      <c r="K142" s="10" t="s">
        <v>688</v>
      </c>
      <c r="L142" s="10" t="s">
        <v>3840</v>
      </c>
      <c r="M142" s="10" t="s">
        <v>688</v>
      </c>
      <c r="N142" s="10">
        <v>1</v>
      </c>
      <c r="O142" s="10" t="s">
        <v>688</v>
      </c>
      <c r="P142" s="10"/>
      <c r="Q142" s="10"/>
      <c r="R142" s="10"/>
      <c r="S142" s="10"/>
      <c r="T142" s="10"/>
      <c r="U142" s="10"/>
      <c r="V142" s="10"/>
      <c r="W142" s="10"/>
      <c r="X142" s="10"/>
      <c r="Y142" s="10"/>
      <c r="Z142" s="10"/>
    </row>
    <row r="143" spans="1:26" ht="15">
      <c r="A143" s="9">
        <v>71</v>
      </c>
      <c r="B143" s="10" t="str">
        <f ca="1">IFERROR(__xludf.DUMMYFUNCTION((TRANSPOSE(ImportHTML("http://spending.data.al/sq/moneypower/view/id/71/year/2013",  "table", 0)))),"*Kategoria*")</f>
        <v>*Kategoria*</v>
      </c>
      <c r="C143" s="10" t="s">
        <v>673</v>
      </c>
      <c r="D143" s="10" t="s">
        <v>674</v>
      </c>
      <c r="E143" s="10" t="s">
        <v>675</v>
      </c>
      <c r="F143" s="10" t="s">
        <v>676</v>
      </c>
      <c r="G143" s="10" t="s">
        <v>677</v>
      </c>
      <c r="H143" s="10" t="s">
        <v>678</v>
      </c>
      <c r="I143" s="10" t="s">
        <v>679</v>
      </c>
      <c r="J143" s="10" t="s">
        <v>680</v>
      </c>
      <c r="K143" s="10" t="s">
        <v>681</v>
      </c>
      <c r="L143" s="10" t="s">
        <v>682</v>
      </c>
      <c r="M143" s="10" t="s">
        <v>683</v>
      </c>
      <c r="N143" s="10" t="s">
        <v>684</v>
      </c>
      <c r="O143" s="10" t="s">
        <v>685</v>
      </c>
      <c r="P143" s="10"/>
      <c r="Q143" s="10"/>
      <c r="R143" s="10"/>
      <c r="S143" s="10"/>
      <c r="T143" s="10"/>
      <c r="U143" s="10"/>
      <c r="V143" s="10"/>
      <c r="W143" s="10"/>
      <c r="X143" s="10"/>
      <c r="Y143" s="10"/>
      <c r="Z143" s="10"/>
    </row>
    <row r="144" spans="1:26" ht="15">
      <c r="A144" s="11"/>
      <c r="B144" s="10" t="s">
        <v>686</v>
      </c>
      <c r="C144" s="10" t="s">
        <v>980</v>
      </c>
      <c r="D144" s="10" t="s">
        <v>688</v>
      </c>
      <c r="E144" s="10" t="s">
        <v>981</v>
      </c>
      <c r="F144" s="10" t="s">
        <v>688</v>
      </c>
      <c r="G144" s="10" t="s">
        <v>688</v>
      </c>
      <c r="H144" s="10" t="s">
        <v>688</v>
      </c>
      <c r="I144" s="10" t="s">
        <v>688</v>
      </c>
      <c r="J144" s="10" t="s">
        <v>688</v>
      </c>
      <c r="K144" s="10" t="s">
        <v>688</v>
      </c>
      <c r="L144" s="10" t="s">
        <v>982</v>
      </c>
      <c r="M144" s="10" t="s">
        <v>688</v>
      </c>
      <c r="N144" s="10">
        <v>1.1599999999999999</v>
      </c>
      <c r="O144" s="10" t="s">
        <v>688</v>
      </c>
      <c r="P144" s="10"/>
      <c r="Q144" s="10"/>
      <c r="R144" s="10"/>
      <c r="S144" s="10"/>
      <c r="T144" s="10"/>
      <c r="U144" s="10"/>
      <c r="V144" s="10"/>
      <c r="W144" s="10"/>
      <c r="X144" s="10"/>
      <c r="Y144" s="10"/>
      <c r="Z144" s="10"/>
    </row>
    <row r="145" spans="1:26" ht="15">
      <c r="A145" s="9">
        <v>72</v>
      </c>
      <c r="B145" s="10" t="str">
        <f ca="1">IFERROR(__xludf.DUMMYFUNCTION((TRANSPOSE(ImportHTML("http://spending.data.al/sq/moneypower/view/id/72/year/2013",  "table", 0)))),"*Kategoria*")</f>
        <v>*Kategoria*</v>
      </c>
      <c r="C145" s="10" t="s">
        <v>673</v>
      </c>
      <c r="D145" s="10" t="s">
        <v>674</v>
      </c>
      <c r="E145" s="10" t="s">
        <v>675</v>
      </c>
      <c r="F145" s="10" t="s">
        <v>676</v>
      </c>
      <c r="G145" s="10" t="s">
        <v>677</v>
      </c>
      <c r="H145" s="10" t="s">
        <v>678</v>
      </c>
      <c r="I145" s="10" t="s">
        <v>679</v>
      </c>
      <c r="J145" s="10" t="s">
        <v>680</v>
      </c>
      <c r="K145" s="10" t="s">
        <v>681</v>
      </c>
      <c r="L145" s="10" t="s">
        <v>682</v>
      </c>
      <c r="M145" s="10" t="s">
        <v>683</v>
      </c>
      <c r="N145" s="10" t="s">
        <v>684</v>
      </c>
      <c r="O145" s="10" t="s">
        <v>685</v>
      </c>
      <c r="P145" s="10"/>
      <c r="Q145" s="10"/>
      <c r="R145" s="10"/>
      <c r="S145" s="10"/>
      <c r="T145" s="10"/>
      <c r="U145" s="10"/>
      <c r="V145" s="10"/>
      <c r="W145" s="10"/>
      <c r="X145" s="10"/>
      <c r="Y145" s="10"/>
      <c r="Z145" s="10"/>
    </row>
    <row r="146" spans="1:26" ht="15">
      <c r="A146" s="11"/>
      <c r="B146" s="10" t="s">
        <v>686</v>
      </c>
      <c r="C146" s="10" t="s">
        <v>3841</v>
      </c>
      <c r="D146" s="10" t="s">
        <v>3842</v>
      </c>
      <c r="E146" s="10" t="s">
        <v>852</v>
      </c>
      <c r="F146" s="10" t="s">
        <v>3843</v>
      </c>
      <c r="G146" s="10" t="s">
        <v>688</v>
      </c>
      <c r="H146" s="10" t="s">
        <v>688</v>
      </c>
      <c r="I146" s="10" t="s">
        <v>688</v>
      </c>
      <c r="J146" s="10" t="s">
        <v>688</v>
      </c>
      <c r="K146" s="10" t="s">
        <v>688</v>
      </c>
      <c r="L146" s="10" t="s">
        <v>3844</v>
      </c>
      <c r="M146" s="10" t="s">
        <v>688</v>
      </c>
      <c r="N146" s="10">
        <v>1.65</v>
      </c>
      <c r="O146" s="10" t="s">
        <v>3845</v>
      </c>
      <c r="P146" s="10"/>
      <c r="Q146" s="10"/>
      <c r="R146" s="10"/>
      <c r="S146" s="10"/>
      <c r="T146" s="10"/>
      <c r="U146" s="10"/>
      <c r="V146" s="10"/>
      <c r="W146" s="10"/>
      <c r="X146" s="10"/>
      <c r="Y146" s="10"/>
      <c r="Z146" s="10"/>
    </row>
    <row r="147" spans="1:26" ht="15">
      <c r="A147" s="9">
        <v>73</v>
      </c>
      <c r="B147" s="10" t="str">
        <f ca="1">IFERROR(__xludf.DUMMYFUNCTION((TRANSPOSE(ImportHTML("http://spending.data.al/sq/moneypower/view/id/73/year/2013",  "table", 0)))),"*Kategoria*")</f>
        <v>*Kategoria*</v>
      </c>
      <c r="C147" s="10" t="s">
        <v>673</v>
      </c>
      <c r="D147" s="10" t="s">
        <v>674</v>
      </c>
      <c r="E147" s="10" t="s">
        <v>675</v>
      </c>
      <c r="F147" s="10" t="s">
        <v>676</v>
      </c>
      <c r="G147" s="10" t="s">
        <v>677</v>
      </c>
      <c r="H147" s="10" t="s">
        <v>678</v>
      </c>
      <c r="I147" s="10" t="s">
        <v>679</v>
      </c>
      <c r="J147" s="10" t="s">
        <v>680</v>
      </c>
      <c r="K147" s="10" t="s">
        <v>681</v>
      </c>
      <c r="L147" s="10" t="s">
        <v>682</v>
      </c>
      <c r="M147" s="10" t="s">
        <v>683</v>
      </c>
      <c r="N147" s="10" t="s">
        <v>684</v>
      </c>
      <c r="O147" s="10" t="s">
        <v>685</v>
      </c>
      <c r="P147" s="10"/>
      <c r="Q147" s="10"/>
      <c r="R147" s="10"/>
      <c r="S147" s="10"/>
      <c r="T147" s="10"/>
      <c r="U147" s="10"/>
      <c r="V147" s="10"/>
      <c r="W147" s="10"/>
      <c r="X147" s="10"/>
      <c r="Y147" s="10"/>
      <c r="Z147" s="10"/>
    </row>
    <row r="148" spans="1:26" ht="15">
      <c r="A148" s="11"/>
      <c r="B148" s="10" t="s">
        <v>686</v>
      </c>
      <c r="C148" s="10" t="s">
        <v>3846</v>
      </c>
      <c r="D148" s="10" t="s">
        <v>688</v>
      </c>
      <c r="E148" s="10" t="s">
        <v>688</v>
      </c>
      <c r="F148" s="10" t="s">
        <v>3847</v>
      </c>
      <c r="G148" s="10" t="s">
        <v>688</v>
      </c>
      <c r="H148" s="10" t="s">
        <v>688</v>
      </c>
      <c r="I148" s="10" t="s">
        <v>688</v>
      </c>
      <c r="J148" s="10" t="s">
        <v>688</v>
      </c>
      <c r="K148" s="10" t="s">
        <v>688</v>
      </c>
      <c r="L148" s="10" t="s">
        <v>3848</v>
      </c>
      <c r="M148" s="10" t="s">
        <v>3849</v>
      </c>
      <c r="N148" s="10">
        <v>1.46</v>
      </c>
      <c r="O148" s="10"/>
      <c r="P148" s="10"/>
      <c r="Q148" s="10"/>
      <c r="R148" s="10"/>
      <c r="S148" s="10"/>
      <c r="T148" s="10"/>
      <c r="U148" s="10"/>
      <c r="V148" s="10"/>
      <c r="W148" s="10"/>
      <c r="X148" s="10"/>
      <c r="Y148" s="10"/>
      <c r="Z148" s="10"/>
    </row>
    <row r="149" spans="1:26" ht="15">
      <c r="A149" s="9">
        <v>74</v>
      </c>
      <c r="B149" s="10" t="str">
        <f ca="1">IFERROR(__xludf.DUMMYFUNCTION((TRANSPOSE(ImportHTML("http://spending.data.al/sq/moneypower/view/id/74/year/2013",  "table", 0)))),"*Kategoria*")</f>
        <v>*Kategoria*</v>
      </c>
      <c r="C149" s="10" t="s">
        <v>673</v>
      </c>
      <c r="D149" s="10" t="s">
        <v>674</v>
      </c>
      <c r="E149" s="10" t="s">
        <v>675</v>
      </c>
      <c r="F149" s="10" t="s">
        <v>676</v>
      </c>
      <c r="G149" s="10" t="s">
        <v>677</v>
      </c>
      <c r="H149" s="10" t="s">
        <v>678</v>
      </c>
      <c r="I149" s="10" t="s">
        <v>679</v>
      </c>
      <c r="J149" s="10" t="s">
        <v>680</v>
      </c>
      <c r="K149" s="10" t="s">
        <v>681</v>
      </c>
      <c r="L149" s="10" t="s">
        <v>682</v>
      </c>
      <c r="M149" s="10" t="s">
        <v>683</v>
      </c>
      <c r="N149" s="10" t="s">
        <v>684</v>
      </c>
      <c r="O149" s="10" t="s">
        <v>685</v>
      </c>
      <c r="P149" s="10"/>
      <c r="Q149" s="10"/>
      <c r="R149" s="10"/>
      <c r="S149" s="10"/>
      <c r="T149" s="10"/>
      <c r="U149" s="10"/>
      <c r="V149" s="10"/>
      <c r="W149" s="10"/>
      <c r="X149" s="10"/>
      <c r="Y149" s="10"/>
      <c r="Z149" s="10"/>
    </row>
    <row r="150" spans="1:26" ht="15">
      <c r="A150" s="11"/>
      <c r="B150" s="10" t="s">
        <v>686</v>
      </c>
      <c r="C150" s="10" t="s">
        <v>3850</v>
      </c>
      <c r="D150" s="10" t="s">
        <v>688</v>
      </c>
      <c r="E150" s="10" t="s">
        <v>688</v>
      </c>
      <c r="F150" s="10" t="s">
        <v>3851</v>
      </c>
      <c r="G150" s="10" t="s">
        <v>3852</v>
      </c>
      <c r="H150" s="10" t="s">
        <v>688</v>
      </c>
      <c r="I150" s="10" t="s">
        <v>688</v>
      </c>
      <c r="J150" s="10" t="s">
        <v>688</v>
      </c>
      <c r="K150" s="10" t="s">
        <v>688</v>
      </c>
      <c r="L150" s="10" t="s">
        <v>3853</v>
      </c>
      <c r="M150" s="10" t="s">
        <v>688</v>
      </c>
      <c r="N150" s="10">
        <v>1.8</v>
      </c>
      <c r="O150" s="10" t="s">
        <v>3854</v>
      </c>
      <c r="P150" s="10"/>
      <c r="Q150" s="10"/>
      <c r="R150" s="10"/>
      <c r="S150" s="10"/>
      <c r="T150" s="10"/>
      <c r="U150" s="10"/>
      <c r="V150" s="10"/>
      <c r="W150" s="10"/>
      <c r="X150" s="10"/>
      <c r="Y150" s="10"/>
      <c r="Z150" s="10"/>
    </row>
    <row r="151" spans="1:26" ht="15">
      <c r="A151" s="9">
        <v>75</v>
      </c>
      <c r="B151" s="10" t="str">
        <f ca="1">IFERROR(__xludf.DUMMYFUNCTION((TRANSPOSE(ImportHTML("http://spending.data.al/sq/moneypower/view/id/75/year/2013",  "table", 0)))),"*Kategoria*")</f>
        <v>*Kategoria*</v>
      </c>
      <c r="C151" s="10" t="s">
        <v>673</v>
      </c>
      <c r="D151" s="10" t="s">
        <v>674</v>
      </c>
      <c r="E151" s="10" t="s">
        <v>675</v>
      </c>
      <c r="F151" s="10" t="s">
        <v>676</v>
      </c>
      <c r="G151" s="10" t="s">
        <v>677</v>
      </c>
      <c r="H151" s="10" t="s">
        <v>678</v>
      </c>
      <c r="I151" s="10" t="s">
        <v>679</v>
      </c>
      <c r="J151" s="10" t="s">
        <v>680</v>
      </c>
      <c r="K151" s="10" t="s">
        <v>681</v>
      </c>
      <c r="L151" s="10" t="s">
        <v>682</v>
      </c>
      <c r="M151" s="10" t="s">
        <v>683</v>
      </c>
      <c r="N151" s="10" t="s">
        <v>684</v>
      </c>
      <c r="O151" s="10" t="s">
        <v>685</v>
      </c>
      <c r="P151" s="10"/>
      <c r="Q151" s="10"/>
      <c r="R151" s="10"/>
      <c r="S151" s="10"/>
      <c r="T151" s="10"/>
      <c r="U151" s="10"/>
      <c r="V151" s="10"/>
      <c r="W151" s="10"/>
      <c r="X151" s="10"/>
      <c r="Y151" s="10"/>
      <c r="Z151" s="10"/>
    </row>
    <row r="152" spans="1:26" ht="15">
      <c r="A152" s="11"/>
      <c r="B152" s="10" t="s">
        <v>686</v>
      </c>
      <c r="C152" s="10" t="s">
        <v>3855</v>
      </c>
      <c r="D152" s="10" t="s">
        <v>688</v>
      </c>
      <c r="E152" s="10" t="s">
        <v>688</v>
      </c>
      <c r="F152" s="10" t="s">
        <v>688</v>
      </c>
      <c r="G152" s="10" t="s">
        <v>688</v>
      </c>
      <c r="H152" s="10" t="s">
        <v>688</v>
      </c>
      <c r="I152" s="10" t="s">
        <v>688</v>
      </c>
      <c r="J152" s="10" t="s">
        <v>688</v>
      </c>
      <c r="K152" s="10" t="s">
        <v>688</v>
      </c>
      <c r="L152" s="10" t="s">
        <v>688</v>
      </c>
      <c r="M152" s="10" t="s">
        <v>688</v>
      </c>
      <c r="N152" s="10">
        <v>1</v>
      </c>
      <c r="O152" s="10"/>
      <c r="P152" s="10"/>
      <c r="Q152" s="10"/>
      <c r="R152" s="10"/>
      <c r="S152" s="10"/>
      <c r="T152" s="10"/>
      <c r="U152" s="10"/>
      <c r="V152" s="10"/>
      <c r="W152" s="10"/>
      <c r="X152" s="10"/>
      <c r="Y152" s="10"/>
      <c r="Z152" s="10"/>
    </row>
    <row r="153" spans="1:26" ht="15">
      <c r="A153" s="9">
        <v>76</v>
      </c>
      <c r="B153" s="10" t="str">
        <f ca="1">IFERROR(__xludf.DUMMYFUNCTION((TRANSPOSE(ImportHTML("http://spending.data.al/sq/moneypower/view/id/76/year/2013",  "table", 0)))),"*Kategoria*")</f>
        <v>*Kategoria*</v>
      </c>
      <c r="C153" s="10" t="s">
        <v>673</v>
      </c>
      <c r="D153" s="10" t="s">
        <v>674</v>
      </c>
      <c r="E153" s="10" t="s">
        <v>675</v>
      </c>
      <c r="F153" s="10" t="s">
        <v>676</v>
      </c>
      <c r="G153" s="10" t="s">
        <v>677</v>
      </c>
      <c r="H153" s="10" t="s">
        <v>678</v>
      </c>
      <c r="I153" s="10" t="s">
        <v>679</v>
      </c>
      <c r="J153" s="10" t="s">
        <v>680</v>
      </c>
      <c r="K153" s="10" t="s">
        <v>681</v>
      </c>
      <c r="L153" s="10" t="s">
        <v>682</v>
      </c>
      <c r="M153" s="10" t="s">
        <v>683</v>
      </c>
      <c r="N153" s="10" t="s">
        <v>684</v>
      </c>
      <c r="O153" s="10" t="s">
        <v>685</v>
      </c>
      <c r="P153" s="10"/>
      <c r="Q153" s="10"/>
      <c r="R153" s="10"/>
      <c r="S153" s="10"/>
      <c r="T153" s="10"/>
      <c r="U153" s="10"/>
      <c r="V153" s="10"/>
      <c r="W153" s="10"/>
      <c r="X153" s="10"/>
      <c r="Y153" s="10"/>
      <c r="Z153" s="10"/>
    </row>
    <row r="154" spans="1:26" ht="15">
      <c r="A154" s="11"/>
      <c r="B154" s="10" t="s">
        <v>686</v>
      </c>
      <c r="C154" s="10" t="s">
        <v>3856</v>
      </c>
      <c r="D154" s="10" t="s">
        <v>688</v>
      </c>
      <c r="E154" s="10"/>
      <c r="F154" s="10" t="s">
        <v>3857</v>
      </c>
      <c r="G154" s="10" t="s">
        <v>688</v>
      </c>
      <c r="H154" s="10" t="s">
        <v>688</v>
      </c>
      <c r="I154" s="10" t="s">
        <v>688</v>
      </c>
      <c r="J154" s="10" t="s">
        <v>688</v>
      </c>
      <c r="K154" s="10" t="s">
        <v>688</v>
      </c>
      <c r="L154" s="10" t="s">
        <v>3858</v>
      </c>
      <c r="M154" s="10" t="s">
        <v>688</v>
      </c>
      <c r="N154" s="10">
        <v>1.23</v>
      </c>
      <c r="O154" s="10" t="s">
        <v>3859</v>
      </c>
      <c r="P154" s="10"/>
      <c r="Q154" s="10"/>
      <c r="R154" s="10"/>
      <c r="S154" s="10"/>
      <c r="T154" s="10"/>
      <c r="U154" s="10"/>
      <c r="V154" s="10"/>
      <c r="W154" s="10"/>
      <c r="X154" s="10"/>
      <c r="Y154" s="10"/>
      <c r="Z154" s="10"/>
    </row>
    <row r="155" spans="1:26" ht="15">
      <c r="A155" s="9">
        <v>77</v>
      </c>
      <c r="B155" s="10" t="str">
        <f ca="1">IFERROR(__xludf.DUMMYFUNCTION((TRANSPOSE(ImportHTML("http://spending.data.al/sq/moneypower/view/id/77/year/2013",  "table", 0)))),"*Kategoria*")</f>
        <v>*Kategoria*</v>
      </c>
      <c r="C155" s="10" t="s">
        <v>673</v>
      </c>
      <c r="D155" s="10" t="s">
        <v>674</v>
      </c>
      <c r="E155" s="10" t="s">
        <v>675</v>
      </c>
      <c r="F155" s="10" t="s">
        <v>676</v>
      </c>
      <c r="G155" s="10" t="s">
        <v>677</v>
      </c>
      <c r="H155" s="10" t="s">
        <v>678</v>
      </c>
      <c r="I155" s="10" t="s">
        <v>679</v>
      </c>
      <c r="J155" s="10" t="s">
        <v>680</v>
      </c>
      <c r="K155" s="10" t="s">
        <v>681</v>
      </c>
      <c r="L155" s="10" t="s">
        <v>682</v>
      </c>
      <c r="M155" s="10" t="s">
        <v>683</v>
      </c>
      <c r="N155" s="10" t="s">
        <v>684</v>
      </c>
      <c r="O155" s="10" t="s">
        <v>685</v>
      </c>
      <c r="P155" s="10"/>
      <c r="Q155" s="10"/>
      <c r="R155" s="10"/>
      <c r="S155" s="10"/>
      <c r="T155" s="10"/>
      <c r="U155" s="10"/>
      <c r="V155" s="10"/>
      <c r="W155" s="10"/>
      <c r="X155" s="10"/>
      <c r="Y155" s="10"/>
      <c r="Z155" s="10"/>
    </row>
    <row r="156" spans="1:26" ht="15">
      <c r="A156" s="11"/>
      <c r="B156" s="10" t="s">
        <v>686</v>
      </c>
      <c r="C156" s="10" t="s">
        <v>3860</v>
      </c>
      <c r="D156" s="10" t="s">
        <v>688</v>
      </c>
      <c r="E156" s="10" t="s">
        <v>688</v>
      </c>
      <c r="F156" s="10" t="s">
        <v>688</v>
      </c>
      <c r="G156" s="10" t="s">
        <v>688</v>
      </c>
      <c r="H156" s="10" t="s">
        <v>688</v>
      </c>
      <c r="I156" s="10" t="s">
        <v>688</v>
      </c>
      <c r="J156" s="10" t="s">
        <v>688</v>
      </c>
      <c r="K156" s="10" t="s">
        <v>688</v>
      </c>
      <c r="L156" s="10" t="s">
        <v>3861</v>
      </c>
      <c r="M156" s="10" t="s">
        <v>688</v>
      </c>
      <c r="N156" s="10">
        <v>2.91</v>
      </c>
      <c r="O156" s="10"/>
      <c r="P156" s="10"/>
      <c r="Q156" s="10"/>
      <c r="R156" s="10"/>
      <c r="S156" s="10"/>
      <c r="T156" s="10"/>
      <c r="U156" s="10"/>
      <c r="V156" s="10"/>
      <c r="W156" s="10"/>
      <c r="X156" s="10"/>
      <c r="Y156" s="10"/>
      <c r="Z156" s="10"/>
    </row>
    <row r="157" spans="1:26" ht="15">
      <c r="A157" s="9">
        <v>78</v>
      </c>
      <c r="B157" s="10" t="str">
        <f ca="1">IFERROR(__xludf.DUMMYFUNCTION((TRANSPOSE(ImportHTML("http://spending.data.al/sq/moneypower/view/id/78/year/2013",  "table", 0)))),"*Kategoria*")</f>
        <v>*Kategoria*</v>
      </c>
      <c r="C157" s="10" t="s">
        <v>673</v>
      </c>
      <c r="D157" s="10" t="s">
        <v>674</v>
      </c>
      <c r="E157" s="10" t="s">
        <v>675</v>
      </c>
      <c r="F157" s="10" t="s">
        <v>676</v>
      </c>
      <c r="G157" s="10" t="s">
        <v>677</v>
      </c>
      <c r="H157" s="10" t="s">
        <v>678</v>
      </c>
      <c r="I157" s="10" t="s">
        <v>679</v>
      </c>
      <c r="J157" s="10" t="s">
        <v>680</v>
      </c>
      <c r="K157" s="10" t="s">
        <v>681</v>
      </c>
      <c r="L157" s="10" t="s">
        <v>682</v>
      </c>
      <c r="M157" s="10" t="s">
        <v>683</v>
      </c>
      <c r="N157" s="10" t="s">
        <v>684</v>
      </c>
      <c r="O157" s="10" t="s">
        <v>685</v>
      </c>
      <c r="P157" s="10"/>
      <c r="Q157" s="10"/>
      <c r="R157" s="10"/>
      <c r="S157" s="10"/>
      <c r="T157" s="10"/>
      <c r="U157" s="10"/>
      <c r="V157" s="10"/>
      <c r="W157" s="10"/>
      <c r="X157" s="10"/>
      <c r="Y157" s="10"/>
      <c r="Z157" s="10"/>
    </row>
    <row r="158" spans="1:26" ht="15">
      <c r="A158" s="11"/>
      <c r="B158" s="10" t="s">
        <v>686</v>
      </c>
      <c r="C158" s="10" t="s">
        <v>3862</v>
      </c>
      <c r="D158" s="10" t="s">
        <v>688</v>
      </c>
      <c r="E158" s="10" t="s">
        <v>3863</v>
      </c>
      <c r="F158" s="10" t="s">
        <v>3864</v>
      </c>
      <c r="G158" s="10" t="s">
        <v>688</v>
      </c>
      <c r="H158" s="10" t="s">
        <v>688</v>
      </c>
      <c r="I158" s="10" t="s">
        <v>688</v>
      </c>
      <c r="J158" s="10" t="s">
        <v>688</v>
      </c>
      <c r="K158" s="10" t="s">
        <v>688</v>
      </c>
      <c r="L158" s="10" t="s">
        <v>3865</v>
      </c>
      <c r="M158" s="10" t="s">
        <v>688</v>
      </c>
      <c r="N158" s="10">
        <v>1.64</v>
      </c>
      <c r="O158" s="10" t="s">
        <v>3866</v>
      </c>
      <c r="P158" s="10"/>
      <c r="Q158" s="10"/>
      <c r="R158" s="10"/>
      <c r="S158" s="10"/>
      <c r="T158" s="10"/>
      <c r="U158" s="10"/>
      <c r="V158" s="10"/>
      <c r="W158" s="10"/>
      <c r="X158" s="10"/>
      <c r="Y158" s="10"/>
      <c r="Z158" s="10"/>
    </row>
    <row r="159" spans="1:26" ht="15">
      <c r="A159" s="9">
        <v>79</v>
      </c>
      <c r="B159" s="10" t="str">
        <f ca="1">IFERROR(__xludf.DUMMYFUNCTION((TRANSPOSE(ImportHTML("http://spending.data.al/sq/moneypower/view/id/79/year/2013",  "table", 0)))),"*Kategoria*")</f>
        <v>*Kategoria*</v>
      </c>
      <c r="C159" s="10" t="s">
        <v>673</v>
      </c>
      <c r="D159" s="10" t="s">
        <v>674</v>
      </c>
      <c r="E159" s="10" t="s">
        <v>675</v>
      </c>
      <c r="F159" s="10" t="s">
        <v>676</v>
      </c>
      <c r="G159" s="10" t="s">
        <v>677</v>
      </c>
      <c r="H159" s="10" t="s">
        <v>678</v>
      </c>
      <c r="I159" s="10" t="s">
        <v>679</v>
      </c>
      <c r="J159" s="10" t="s">
        <v>680</v>
      </c>
      <c r="K159" s="10" t="s">
        <v>681</v>
      </c>
      <c r="L159" s="10" t="s">
        <v>682</v>
      </c>
      <c r="M159" s="10" t="s">
        <v>683</v>
      </c>
      <c r="N159" s="10" t="s">
        <v>684</v>
      </c>
      <c r="O159" s="10" t="s">
        <v>685</v>
      </c>
      <c r="P159" s="10"/>
      <c r="Q159" s="10"/>
      <c r="R159" s="10"/>
      <c r="S159" s="10"/>
      <c r="T159" s="10"/>
      <c r="U159" s="10"/>
      <c r="V159" s="10"/>
      <c r="W159" s="10"/>
      <c r="X159" s="10"/>
      <c r="Y159" s="10"/>
      <c r="Z159" s="10"/>
    </row>
    <row r="160" spans="1:26" ht="15">
      <c r="A160" s="11"/>
      <c r="B160" s="10" t="s">
        <v>686</v>
      </c>
      <c r="C160" s="10" t="s">
        <v>3867</v>
      </c>
      <c r="D160" s="10" t="s">
        <v>688</v>
      </c>
      <c r="E160" s="10" t="s">
        <v>3868</v>
      </c>
      <c r="F160" s="10" t="s">
        <v>3869</v>
      </c>
      <c r="G160" s="10" t="s">
        <v>3870</v>
      </c>
      <c r="H160" s="10" t="s">
        <v>688</v>
      </c>
      <c r="I160" s="10" t="s">
        <v>688</v>
      </c>
      <c r="J160" s="10" t="s">
        <v>688</v>
      </c>
      <c r="K160" s="10" t="s">
        <v>688</v>
      </c>
      <c r="L160" s="10" t="s">
        <v>3871</v>
      </c>
      <c r="M160" s="10" t="s">
        <v>688</v>
      </c>
      <c r="N160" s="10">
        <v>2.64</v>
      </c>
      <c r="O160" s="10"/>
      <c r="P160" s="10"/>
      <c r="Q160" s="10"/>
      <c r="R160" s="10"/>
      <c r="S160" s="10"/>
      <c r="T160" s="10"/>
      <c r="U160" s="10"/>
      <c r="V160" s="10"/>
      <c r="W160" s="10"/>
      <c r="X160" s="10"/>
      <c r="Y160" s="10"/>
      <c r="Z160" s="10"/>
    </row>
    <row r="161" spans="1:26" ht="15">
      <c r="A161" s="9">
        <v>80</v>
      </c>
      <c r="B161" s="10" t="str">
        <f ca="1">IFERROR(__xludf.DUMMYFUNCTION((TRANSPOSE(ImportHTML("http://spending.data.al/sq/moneypower/view/id/80/year/2013",  "table", 0)))),"*Kategoria*")</f>
        <v>*Kategoria*</v>
      </c>
      <c r="C161" s="10" t="s">
        <v>673</v>
      </c>
      <c r="D161" s="10" t="s">
        <v>674</v>
      </c>
      <c r="E161" s="10" t="s">
        <v>675</v>
      </c>
      <c r="F161" s="10" t="s">
        <v>676</v>
      </c>
      <c r="G161" s="10" t="s">
        <v>677</v>
      </c>
      <c r="H161" s="10" t="s">
        <v>678</v>
      </c>
      <c r="I161" s="10" t="s">
        <v>679</v>
      </c>
      <c r="J161" s="10" t="s">
        <v>680</v>
      </c>
      <c r="K161" s="10" t="s">
        <v>681</v>
      </c>
      <c r="L161" s="10" t="s">
        <v>682</v>
      </c>
      <c r="M161" s="10" t="s">
        <v>683</v>
      </c>
      <c r="N161" s="10" t="s">
        <v>684</v>
      </c>
      <c r="O161" s="10" t="s">
        <v>685</v>
      </c>
      <c r="P161" s="10"/>
      <c r="Q161" s="10"/>
      <c r="R161" s="10"/>
      <c r="S161" s="10"/>
      <c r="T161" s="10"/>
      <c r="U161" s="10"/>
      <c r="V161" s="10"/>
      <c r="W161" s="10"/>
      <c r="X161" s="10"/>
      <c r="Y161" s="10"/>
      <c r="Z161" s="10"/>
    </row>
    <row r="162" spans="1:26" ht="15">
      <c r="A162" s="11"/>
      <c r="B162" s="10" t="s">
        <v>686</v>
      </c>
      <c r="C162" s="10" t="s">
        <v>3872</v>
      </c>
      <c r="D162" s="10" t="s">
        <v>688</v>
      </c>
      <c r="E162" s="10" t="s">
        <v>3873</v>
      </c>
      <c r="F162" s="10" t="s">
        <v>688</v>
      </c>
      <c r="G162" s="10" t="s">
        <v>688</v>
      </c>
      <c r="H162" s="10" t="s">
        <v>688</v>
      </c>
      <c r="I162" s="10" t="s">
        <v>688</v>
      </c>
      <c r="J162" s="10" t="s">
        <v>688</v>
      </c>
      <c r="K162" s="10" t="s">
        <v>688</v>
      </c>
      <c r="L162" s="10" t="s">
        <v>3874</v>
      </c>
      <c r="M162" s="10" t="s">
        <v>688</v>
      </c>
      <c r="N162" s="10">
        <v>1.01</v>
      </c>
      <c r="O162" s="10" t="s">
        <v>3875</v>
      </c>
      <c r="P162" s="10"/>
      <c r="Q162" s="10"/>
      <c r="R162" s="10"/>
      <c r="S162" s="10"/>
      <c r="T162" s="10"/>
      <c r="U162" s="10"/>
      <c r="V162" s="10"/>
      <c r="W162" s="10"/>
      <c r="X162" s="10"/>
      <c r="Y162" s="10"/>
      <c r="Z162" s="10"/>
    </row>
    <row r="163" spans="1:26" ht="15">
      <c r="A163" s="9">
        <v>81</v>
      </c>
      <c r="B163" s="10" t="str">
        <f ca="1">IFERROR(__xludf.DUMMYFUNCTION((TRANSPOSE(ImportHTML("http://spending.data.al/sq/moneypower/view/id/81/year/2013",  "table", 0)))),"*Kategoria*")</f>
        <v>*Kategoria*</v>
      </c>
      <c r="C163" s="10" t="s">
        <v>673</v>
      </c>
      <c r="D163" s="10" t="s">
        <v>674</v>
      </c>
      <c r="E163" s="10" t="s">
        <v>675</v>
      </c>
      <c r="F163" s="10" t="s">
        <v>676</v>
      </c>
      <c r="G163" s="10" t="s">
        <v>677</v>
      </c>
      <c r="H163" s="10" t="s">
        <v>678</v>
      </c>
      <c r="I163" s="10" t="s">
        <v>679</v>
      </c>
      <c r="J163" s="10" t="s">
        <v>680</v>
      </c>
      <c r="K163" s="10" t="s">
        <v>681</v>
      </c>
      <c r="L163" s="10" t="s">
        <v>682</v>
      </c>
      <c r="M163" s="10" t="s">
        <v>683</v>
      </c>
      <c r="N163" s="10" t="s">
        <v>684</v>
      </c>
      <c r="O163" s="10" t="s">
        <v>685</v>
      </c>
      <c r="P163" s="10"/>
      <c r="Q163" s="10"/>
      <c r="R163" s="10"/>
      <c r="S163" s="10"/>
      <c r="T163" s="10"/>
      <c r="U163" s="10"/>
      <c r="V163" s="10"/>
      <c r="W163" s="10"/>
      <c r="X163" s="10"/>
      <c r="Y163" s="10"/>
      <c r="Z163" s="10"/>
    </row>
    <row r="164" spans="1:26" ht="15">
      <c r="A164" s="11"/>
      <c r="B164" s="10" t="s">
        <v>686</v>
      </c>
      <c r="C164" s="10" t="s">
        <v>3876</v>
      </c>
      <c r="D164" s="10" t="s">
        <v>688</v>
      </c>
      <c r="E164" s="10" t="s">
        <v>688</v>
      </c>
      <c r="F164" s="10" t="s">
        <v>688</v>
      </c>
      <c r="G164" s="10" t="s">
        <v>688</v>
      </c>
      <c r="H164" s="10" t="s">
        <v>688</v>
      </c>
      <c r="I164" s="10" t="s">
        <v>688</v>
      </c>
      <c r="J164" s="10" t="s">
        <v>688</v>
      </c>
      <c r="K164" s="10" t="s">
        <v>688</v>
      </c>
      <c r="L164" s="10" t="s">
        <v>3172</v>
      </c>
      <c r="M164" s="10" t="s">
        <v>688</v>
      </c>
      <c r="N164" s="10">
        <v>1</v>
      </c>
      <c r="O164" s="10" t="s">
        <v>688</v>
      </c>
      <c r="P164" s="10"/>
      <c r="Q164" s="10"/>
      <c r="R164" s="10"/>
      <c r="S164" s="10"/>
      <c r="T164" s="10"/>
      <c r="U164" s="10"/>
      <c r="V164" s="10"/>
      <c r="W164" s="10"/>
      <c r="X164" s="10"/>
      <c r="Y164" s="10"/>
      <c r="Z164" s="10"/>
    </row>
    <row r="165" spans="1:26" ht="15">
      <c r="A165" s="9">
        <v>82</v>
      </c>
      <c r="B165" s="10" t="str">
        <f ca="1">IFERROR(__xludf.DUMMYFUNCTION((TRANSPOSE(ImportHTML("http://spending.data.al/sq/moneypower/view/id/82/year/2013",  "table", 0)))),"*Kategoria*")</f>
        <v>*Kategoria*</v>
      </c>
      <c r="C165" s="10" t="s">
        <v>673</v>
      </c>
      <c r="D165" s="10" t="s">
        <v>674</v>
      </c>
      <c r="E165" s="10" t="s">
        <v>675</v>
      </c>
      <c r="F165" s="10" t="s">
        <v>676</v>
      </c>
      <c r="G165" s="10" t="s">
        <v>677</v>
      </c>
      <c r="H165" s="10" t="s">
        <v>678</v>
      </c>
      <c r="I165" s="10" t="s">
        <v>679</v>
      </c>
      <c r="J165" s="10" t="s">
        <v>680</v>
      </c>
      <c r="K165" s="10" t="s">
        <v>681</v>
      </c>
      <c r="L165" s="10" t="s">
        <v>682</v>
      </c>
      <c r="M165" s="10" t="s">
        <v>683</v>
      </c>
      <c r="N165" s="10" t="s">
        <v>684</v>
      </c>
      <c r="O165" s="10" t="s">
        <v>685</v>
      </c>
      <c r="P165" s="10"/>
      <c r="Q165" s="10"/>
      <c r="R165" s="10"/>
      <c r="S165" s="10"/>
      <c r="T165" s="10"/>
      <c r="U165" s="10"/>
      <c r="V165" s="10"/>
      <c r="W165" s="10"/>
      <c r="X165" s="10"/>
      <c r="Y165" s="10"/>
      <c r="Z165" s="10"/>
    </row>
    <row r="166" spans="1:26" ht="15">
      <c r="A166" s="11"/>
      <c r="B166" s="10" t="s">
        <v>686</v>
      </c>
      <c r="C166" s="10" t="s">
        <v>3877</v>
      </c>
      <c r="D166" s="10" t="s">
        <v>688</v>
      </c>
      <c r="E166" s="10" t="s">
        <v>688</v>
      </c>
      <c r="F166" s="10" t="s">
        <v>3878</v>
      </c>
      <c r="G166" s="10" t="s">
        <v>3879</v>
      </c>
      <c r="H166" s="10" t="s">
        <v>688</v>
      </c>
      <c r="I166" s="10" t="s">
        <v>688</v>
      </c>
      <c r="J166" s="10" t="s">
        <v>688</v>
      </c>
      <c r="K166" s="10" t="s">
        <v>688</v>
      </c>
      <c r="L166" s="10" t="s">
        <v>3880</v>
      </c>
      <c r="M166" s="10" t="s">
        <v>3881</v>
      </c>
      <c r="N166" s="10">
        <v>6.9</v>
      </c>
      <c r="O166" s="10" t="s">
        <v>3882</v>
      </c>
      <c r="P166" s="10"/>
      <c r="Q166" s="10"/>
      <c r="R166" s="10"/>
      <c r="S166" s="10"/>
      <c r="T166" s="10"/>
      <c r="U166" s="10"/>
      <c r="V166" s="10"/>
      <c r="W166" s="10"/>
      <c r="X166" s="10"/>
      <c r="Y166" s="10"/>
      <c r="Z166" s="10"/>
    </row>
    <row r="167" spans="1:26" ht="15">
      <c r="A167" s="9">
        <v>83</v>
      </c>
      <c r="B167" s="10" t="str">
        <f ca="1">IFERROR(__xludf.DUMMYFUNCTION((TRANSPOSE(ImportHTML("http://spending.data.al/sq/moneypower/view/id/83/year/2013",  "table", 0)))),"*Kategoria*")</f>
        <v>*Kategoria*</v>
      </c>
      <c r="C167" s="10" t="s">
        <v>673</v>
      </c>
      <c r="D167" s="10" t="s">
        <v>674</v>
      </c>
      <c r="E167" s="10" t="s">
        <v>675</v>
      </c>
      <c r="F167" s="10" t="s">
        <v>676</v>
      </c>
      <c r="G167" s="10" t="s">
        <v>677</v>
      </c>
      <c r="H167" s="10" t="s">
        <v>678</v>
      </c>
      <c r="I167" s="10" t="s">
        <v>679</v>
      </c>
      <c r="J167" s="10" t="s">
        <v>680</v>
      </c>
      <c r="K167" s="10" t="s">
        <v>681</v>
      </c>
      <c r="L167" s="10" t="s">
        <v>682</v>
      </c>
      <c r="M167" s="10" t="s">
        <v>683</v>
      </c>
      <c r="N167" s="10" t="s">
        <v>684</v>
      </c>
      <c r="O167" s="10" t="s">
        <v>685</v>
      </c>
      <c r="P167" s="10"/>
      <c r="Q167" s="10"/>
      <c r="R167" s="10"/>
      <c r="S167" s="10"/>
      <c r="T167" s="10"/>
      <c r="U167" s="10"/>
      <c r="V167" s="10"/>
      <c r="W167" s="10"/>
      <c r="X167" s="10"/>
      <c r="Y167" s="10"/>
      <c r="Z167" s="10"/>
    </row>
    <row r="168" spans="1:26" ht="15">
      <c r="A168" s="11"/>
      <c r="B168" s="10" t="s">
        <v>686</v>
      </c>
      <c r="C168" s="10" t="s">
        <v>3872</v>
      </c>
      <c r="D168" s="10" t="s">
        <v>688</v>
      </c>
      <c r="E168" s="10" t="s">
        <v>688</v>
      </c>
      <c r="F168" s="10" t="s">
        <v>688</v>
      </c>
      <c r="G168" s="10" t="s">
        <v>688</v>
      </c>
      <c r="H168" s="10" t="s">
        <v>688</v>
      </c>
      <c r="I168" s="10" t="s">
        <v>688</v>
      </c>
      <c r="J168" s="10" t="s">
        <v>688</v>
      </c>
      <c r="K168" s="10" t="s">
        <v>688</v>
      </c>
      <c r="L168" s="10" t="s">
        <v>3883</v>
      </c>
      <c r="M168" s="10" t="s">
        <v>688</v>
      </c>
      <c r="N168" s="10">
        <v>1</v>
      </c>
      <c r="O168" s="10" t="s">
        <v>3884</v>
      </c>
      <c r="P168" s="10"/>
      <c r="Q168" s="10"/>
      <c r="R168" s="10"/>
      <c r="S168" s="10"/>
      <c r="T168" s="10"/>
      <c r="U168" s="10"/>
      <c r="V168" s="10"/>
      <c r="W168" s="10"/>
      <c r="X168" s="10"/>
      <c r="Y168" s="10"/>
      <c r="Z168" s="10"/>
    </row>
    <row r="169" spans="1:26" ht="15">
      <c r="A169" s="9">
        <v>84</v>
      </c>
      <c r="B169" s="10" t="str">
        <f ca="1">IFERROR(__xludf.DUMMYFUNCTION((TRANSPOSE(ImportHTML("http://spending.data.al/sq/moneypower/view/id/84/year/2013",  "table", 0)))),"*Kategoria*")</f>
        <v>*Kategoria*</v>
      </c>
      <c r="C169" s="10" t="s">
        <v>673</v>
      </c>
      <c r="D169" s="10" t="s">
        <v>674</v>
      </c>
      <c r="E169" s="10" t="s">
        <v>675</v>
      </c>
      <c r="F169" s="10" t="s">
        <v>676</v>
      </c>
      <c r="G169" s="10" t="s">
        <v>677</v>
      </c>
      <c r="H169" s="10" t="s">
        <v>678</v>
      </c>
      <c r="I169" s="10" t="s">
        <v>679</v>
      </c>
      <c r="J169" s="10" t="s">
        <v>680</v>
      </c>
      <c r="K169" s="10" t="s">
        <v>681</v>
      </c>
      <c r="L169" s="10" t="s">
        <v>682</v>
      </c>
      <c r="M169" s="10" t="s">
        <v>683</v>
      </c>
      <c r="N169" s="10" t="s">
        <v>684</v>
      </c>
      <c r="O169" s="10" t="s">
        <v>685</v>
      </c>
      <c r="P169" s="10"/>
      <c r="Q169" s="10"/>
      <c r="R169" s="10"/>
      <c r="S169" s="10"/>
      <c r="T169" s="10"/>
      <c r="U169" s="10"/>
      <c r="V169" s="10"/>
      <c r="W169" s="10"/>
      <c r="X169" s="10"/>
      <c r="Y169" s="10"/>
      <c r="Z169" s="10"/>
    </row>
    <row r="170" spans="1:26" ht="15">
      <c r="A170" s="11"/>
      <c r="B170" s="10" t="s">
        <v>686</v>
      </c>
      <c r="C170" s="10" t="s">
        <v>3862</v>
      </c>
      <c r="D170" s="10" t="s">
        <v>688</v>
      </c>
      <c r="E170" s="10" t="s">
        <v>688</v>
      </c>
      <c r="F170" s="10" t="s">
        <v>3885</v>
      </c>
      <c r="G170" s="10" t="s">
        <v>688</v>
      </c>
      <c r="H170" s="10" t="s">
        <v>688</v>
      </c>
      <c r="I170" s="10" t="s">
        <v>688</v>
      </c>
      <c r="J170" s="10" t="s">
        <v>688</v>
      </c>
      <c r="K170" s="10" t="s">
        <v>688</v>
      </c>
      <c r="L170" s="10" t="s">
        <v>3886</v>
      </c>
      <c r="M170" s="10" t="s">
        <v>688</v>
      </c>
      <c r="N170" s="10">
        <v>1.1599999999999999</v>
      </c>
      <c r="O170" s="10" t="s">
        <v>3887</v>
      </c>
      <c r="P170" s="10"/>
      <c r="Q170" s="10"/>
      <c r="R170" s="10"/>
      <c r="S170" s="10"/>
      <c r="T170" s="10"/>
      <c r="U170" s="10"/>
      <c r="V170" s="10"/>
      <c r="W170" s="10"/>
      <c r="X170" s="10"/>
      <c r="Y170" s="10"/>
      <c r="Z170" s="10"/>
    </row>
    <row r="171" spans="1:26" ht="15">
      <c r="A171" s="9">
        <v>85</v>
      </c>
      <c r="B171" s="10" t="str">
        <f ca="1">IFERROR(__xludf.DUMMYFUNCTION((TRANSPOSE(ImportHTML("http://spending.data.al/sq/moneypower/view/id/85/year/2013",  "table", 0)))),"*Kategoria*")</f>
        <v>*Kategoria*</v>
      </c>
      <c r="C171" s="10" t="s">
        <v>673</v>
      </c>
      <c r="D171" s="10" t="s">
        <v>674</v>
      </c>
      <c r="E171" s="10" t="s">
        <v>675</v>
      </c>
      <c r="F171" s="10" t="s">
        <v>676</v>
      </c>
      <c r="G171" s="10" t="s">
        <v>677</v>
      </c>
      <c r="H171" s="10" t="s">
        <v>678</v>
      </c>
      <c r="I171" s="10" t="s">
        <v>679</v>
      </c>
      <c r="J171" s="10" t="s">
        <v>680</v>
      </c>
      <c r="K171" s="10" t="s">
        <v>681</v>
      </c>
      <c r="L171" s="10" t="s">
        <v>682</v>
      </c>
      <c r="M171" s="10" t="s">
        <v>683</v>
      </c>
      <c r="N171" s="10" t="s">
        <v>684</v>
      </c>
      <c r="O171" s="10" t="s">
        <v>685</v>
      </c>
      <c r="P171" s="10"/>
      <c r="Q171" s="10"/>
      <c r="R171" s="10"/>
      <c r="S171" s="10"/>
      <c r="T171" s="10"/>
      <c r="U171" s="10"/>
      <c r="V171" s="10"/>
      <c r="W171" s="10"/>
      <c r="X171" s="10"/>
      <c r="Y171" s="10"/>
      <c r="Z171" s="10"/>
    </row>
    <row r="172" spans="1:26" ht="15">
      <c r="A172" s="11"/>
      <c r="B172" s="10" t="s">
        <v>686</v>
      </c>
      <c r="C172" s="10" t="s">
        <v>3872</v>
      </c>
      <c r="D172" s="10" t="s">
        <v>688</v>
      </c>
      <c r="E172" s="10" t="s">
        <v>688</v>
      </c>
      <c r="F172" s="10" t="s">
        <v>688</v>
      </c>
      <c r="G172" s="10" t="s">
        <v>688</v>
      </c>
      <c r="H172" s="10" t="s">
        <v>688</v>
      </c>
      <c r="I172" s="10" t="s">
        <v>688</v>
      </c>
      <c r="J172" s="10" t="s">
        <v>688</v>
      </c>
      <c r="K172" s="10" t="s">
        <v>688</v>
      </c>
      <c r="L172" s="10" t="s">
        <v>688</v>
      </c>
      <c r="M172" s="10" t="s">
        <v>688</v>
      </c>
      <c r="N172" s="10">
        <v>1</v>
      </c>
      <c r="O172" s="10" t="s">
        <v>688</v>
      </c>
      <c r="P172" s="10"/>
      <c r="Q172" s="10"/>
      <c r="R172" s="10"/>
      <c r="S172" s="10"/>
      <c r="T172" s="10"/>
      <c r="U172" s="10"/>
      <c r="V172" s="10"/>
      <c r="W172" s="10"/>
      <c r="X172" s="10"/>
      <c r="Y172" s="10"/>
      <c r="Z172" s="10"/>
    </row>
    <row r="173" spans="1:26" ht="15">
      <c r="A173" s="9">
        <v>86</v>
      </c>
      <c r="B173" s="10" t="str">
        <f ca="1">IFERROR(__xludf.DUMMYFUNCTION((TRANSPOSE(ImportHTML("http://spending.data.al/sq/moneypower/view/id/86/year/2013",  "table", 0)))),"*Kategoria*")</f>
        <v>*Kategoria*</v>
      </c>
      <c r="C173" s="10" t="s">
        <v>673</v>
      </c>
      <c r="D173" s="10" t="s">
        <v>674</v>
      </c>
      <c r="E173" s="10" t="s">
        <v>675</v>
      </c>
      <c r="F173" s="10" t="s">
        <v>676</v>
      </c>
      <c r="G173" s="10" t="s">
        <v>677</v>
      </c>
      <c r="H173" s="10" t="s">
        <v>678</v>
      </c>
      <c r="I173" s="10" t="s">
        <v>679</v>
      </c>
      <c r="J173" s="10" t="s">
        <v>680</v>
      </c>
      <c r="K173" s="10" t="s">
        <v>681</v>
      </c>
      <c r="L173" s="10" t="s">
        <v>682</v>
      </c>
      <c r="M173" s="10" t="s">
        <v>683</v>
      </c>
      <c r="N173" s="10" t="s">
        <v>684</v>
      </c>
      <c r="O173" s="10" t="s">
        <v>685</v>
      </c>
      <c r="P173" s="10"/>
      <c r="Q173" s="10"/>
      <c r="R173" s="10"/>
      <c r="S173" s="10"/>
      <c r="T173" s="10"/>
      <c r="U173" s="10"/>
      <c r="V173" s="10"/>
      <c r="W173" s="10"/>
      <c r="X173" s="10"/>
      <c r="Y173" s="10"/>
      <c r="Z173" s="10"/>
    </row>
    <row r="174" spans="1:26" ht="15">
      <c r="A174" s="11"/>
      <c r="B174" s="10" t="s">
        <v>686</v>
      </c>
      <c r="C174" s="10" t="s">
        <v>3179</v>
      </c>
      <c r="D174" s="10" t="s">
        <v>688</v>
      </c>
      <c r="E174" s="10" t="s">
        <v>688</v>
      </c>
      <c r="F174" s="10" t="s">
        <v>3888</v>
      </c>
      <c r="G174" s="10" t="s">
        <v>688</v>
      </c>
      <c r="H174" s="10" t="s">
        <v>688</v>
      </c>
      <c r="I174" s="10" t="s">
        <v>688</v>
      </c>
      <c r="J174" s="10" t="s">
        <v>688</v>
      </c>
      <c r="K174" s="10" t="s">
        <v>688</v>
      </c>
      <c r="L174" s="10" t="s">
        <v>3889</v>
      </c>
      <c r="M174" s="10" t="s">
        <v>688</v>
      </c>
      <c r="N174" s="10">
        <v>1.24</v>
      </c>
      <c r="O174" s="10" t="s">
        <v>3890</v>
      </c>
      <c r="P174" s="10"/>
      <c r="Q174" s="10"/>
      <c r="R174" s="10"/>
      <c r="S174" s="10"/>
      <c r="T174" s="10"/>
      <c r="U174" s="10"/>
      <c r="V174" s="10"/>
      <c r="W174" s="10"/>
      <c r="X174" s="10"/>
      <c r="Y174" s="10"/>
      <c r="Z174" s="10"/>
    </row>
    <row r="175" spans="1:26" ht="15">
      <c r="A175" s="9">
        <v>87</v>
      </c>
      <c r="B175" s="10" t="str">
        <f ca="1">IFERROR(__xludf.DUMMYFUNCTION((TRANSPOSE(ImportHTML("http://spending.data.al/sq/moneypower/view/id/87/year/2013",  "table", 0)))),"*Kategoria*")</f>
        <v>*Kategoria*</v>
      </c>
      <c r="C175" s="10" t="s">
        <v>673</v>
      </c>
      <c r="D175" s="10" t="s">
        <v>674</v>
      </c>
      <c r="E175" s="10" t="s">
        <v>675</v>
      </c>
      <c r="F175" s="10" t="s">
        <v>676</v>
      </c>
      <c r="G175" s="10" t="s">
        <v>677</v>
      </c>
      <c r="H175" s="10" t="s">
        <v>678</v>
      </c>
      <c r="I175" s="10" t="s">
        <v>679</v>
      </c>
      <c r="J175" s="10" t="s">
        <v>680</v>
      </c>
      <c r="K175" s="10" t="s">
        <v>681</v>
      </c>
      <c r="L175" s="10" t="s">
        <v>682</v>
      </c>
      <c r="M175" s="10" t="s">
        <v>683</v>
      </c>
      <c r="N175" s="10" t="s">
        <v>684</v>
      </c>
      <c r="O175" s="10" t="s">
        <v>685</v>
      </c>
      <c r="P175" s="10"/>
      <c r="Q175" s="10"/>
      <c r="R175" s="10"/>
      <c r="S175" s="10"/>
      <c r="T175" s="10"/>
      <c r="U175" s="10"/>
      <c r="V175" s="10"/>
      <c r="W175" s="10"/>
      <c r="X175" s="10"/>
      <c r="Y175" s="10"/>
      <c r="Z175" s="10"/>
    </row>
    <row r="176" spans="1:26" ht="15">
      <c r="A176" s="11"/>
      <c r="B176" s="10" t="s">
        <v>686</v>
      </c>
      <c r="C176" s="10" t="s">
        <v>3891</v>
      </c>
      <c r="D176" s="10" t="s">
        <v>688</v>
      </c>
      <c r="E176" s="10" t="s">
        <v>688</v>
      </c>
      <c r="F176" s="10" t="s">
        <v>688</v>
      </c>
      <c r="G176" s="10" t="s">
        <v>3892</v>
      </c>
      <c r="H176" s="10" t="s">
        <v>688</v>
      </c>
      <c r="I176" s="10" t="s">
        <v>688</v>
      </c>
      <c r="J176" s="10" t="s">
        <v>688</v>
      </c>
      <c r="K176" s="10" t="s">
        <v>688</v>
      </c>
      <c r="L176" s="10" t="s">
        <v>3893</v>
      </c>
      <c r="M176" s="10" t="s">
        <v>3894</v>
      </c>
      <c r="N176" s="10">
        <v>1.62</v>
      </c>
      <c r="O176" s="10" t="s">
        <v>3895</v>
      </c>
      <c r="P176" s="10"/>
      <c r="Q176" s="10"/>
      <c r="R176" s="10"/>
      <c r="S176" s="10"/>
      <c r="T176" s="10"/>
      <c r="U176" s="10"/>
      <c r="V176" s="10"/>
      <c r="W176" s="10"/>
      <c r="X176" s="10"/>
      <c r="Y176" s="10"/>
      <c r="Z176" s="10"/>
    </row>
    <row r="177" spans="1:26" ht="15">
      <c r="A177" s="9">
        <v>88</v>
      </c>
      <c r="B177" s="10" t="str">
        <f ca="1">IFERROR(__xludf.DUMMYFUNCTION((TRANSPOSE(ImportHTML("http://spending.data.al/sq/moneypower/view/id/88/year/2013",  "table", 0)))),"*Kategoria*")</f>
        <v>*Kategoria*</v>
      </c>
      <c r="C177" s="10" t="s">
        <v>673</v>
      </c>
      <c r="D177" s="10" t="s">
        <v>674</v>
      </c>
      <c r="E177" s="10" t="s">
        <v>675</v>
      </c>
      <c r="F177" s="10" t="s">
        <v>676</v>
      </c>
      <c r="G177" s="10" t="s">
        <v>677</v>
      </c>
      <c r="H177" s="10" t="s">
        <v>678</v>
      </c>
      <c r="I177" s="10" t="s">
        <v>679</v>
      </c>
      <c r="J177" s="10" t="s">
        <v>680</v>
      </c>
      <c r="K177" s="10" t="s">
        <v>681</v>
      </c>
      <c r="L177" s="10" t="s">
        <v>682</v>
      </c>
      <c r="M177" s="10" t="s">
        <v>683</v>
      </c>
      <c r="N177" s="10" t="s">
        <v>684</v>
      </c>
      <c r="O177" s="10" t="s">
        <v>685</v>
      </c>
      <c r="P177" s="10"/>
      <c r="Q177" s="10"/>
      <c r="R177" s="10"/>
      <c r="S177" s="10"/>
      <c r="T177" s="10"/>
      <c r="U177" s="10"/>
      <c r="V177" s="10"/>
      <c r="W177" s="10"/>
      <c r="X177" s="10"/>
      <c r="Y177" s="10"/>
      <c r="Z177" s="10"/>
    </row>
    <row r="178" spans="1:26" ht="15">
      <c r="A178" s="11"/>
      <c r="B178" s="10" t="s">
        <v>686</v>
      </c>
      <c r="C178" s="10" t="s">
        <v>3896</v>
      </c>
      <c r="D178" s="10" t="s">
        <v>688</v>
      </c>
      <c r="E178" s="10" t="s">
        <v>688</v>
      </c>
      <c r="F178" s="10" t="s">
        <v>688</v>
      </c>
      <c r="G178" s="10" t="s">
        <v>688</v>
      </c>
      <c r="H178" s="10" t="s">
        <v>688</v>
      </c>
      <c r="I178" s="10" t="s">
        <v>688</v>
      </c>
      <c r="J178" s="10" t="s">
        <v>688</v>
      </c>
      <c r="K178" s="10" t="s">
        <v>688</v>
      </c>
      <c r="L178" s="10" t="s">
        <v>3897</v>
      </c>
      <c r="M178" s="10" t="s">
        <v>688</v>
      </c>
      <c r="N178" s="10">
        <v>1</v>
      </c>
      <c r="O178" s="10" t="s">
        <v>3898</v>
      </c>
      <c r="P178" s="10"/>
      <c r="Q178" s="10"/>
      <c r="R178" s="10"/>
      <c r="S178" s="10"/>
      <c r="T178" s="10"/>
      <c r="U178" s="10"/>
      <c r="V178" s="10"/>
      <c r="W178" s="10"/>
      <c r="X178" s="10"/>
      <c r="Y178" s="10"/>
      <c r="Z178" s="10"/>
    </row>
    <row r="179" spans="1:26" ht="15">
      <c r="A179" s="9">
        <v>89</v>
      </c>
      <c r="B179" s="10" t="str">
        <f ca="1">IFERROR(__xludf.DUMMYFUNCTION((TRANSPOSE(ImportHTML("http://spending.data.al/sq/moneypower/view/id/89/year/2013",  "table", 0)))),"*Kategoria*")</f>
        <v>*Kategoria*</v>
      </c>
      <c r="C179" s="10" t="s">
        <v>673</v>
      </c>
      <c r="D179" s="10" t="s">
        <v>674</v>
      </c>
      <c r="E179" s="10" t="s">
        <v>675</v>
      </c>
      <c r="F179" s="10" t="s">
        <v>676</v>
      </c>
      <c r="G179" s="10" t="s">
        <v>677</v>
      </c>
      <c r="H179" s="10" t="s">
        <v>678</v>
      </c>
      <c r="I179" s="10" t="s">
        <v>679</v>
      </c>
      <c r="J179" s="10" t="s">
        <v>680</v>
      </c>
      <c r="K179" s="10" t="s">
        <v>681</v>
      </c>
      <c r="L179" s="10" t="s">
        <v>682</v>
      </c>
      <c r="M179" s="10" t="s">
        <v>683</v>
      </c>
      <c r="N179" s="10" t="s">
        <v>684</v>
      </c>
      <c r="O179" s="10" t="s">
        <v>685</v>
      </c>
      <c r="P179" s="10"/>
      <c r="Q179" s="10"/>
      <c r="R179" s="10"/>
      <c r="S179" s="10"/>
      <c r="T179" s="10"/>
      <c r="U179" s="10"/>
      <c r="V179" s="10"/>
      <c r="W179" s="10"/>
      <c r="X179" s="10"/>
      <c r="Y179" s="10"/>
      <c r="Z179" s="10"/>
    </row>
    <row r="180" spans="1:26" ht="15">
      <c r="A180" s="11"/>
      <c r="B180" s="10" t="s">
        <v>686</v>
      </c>
      <c r="C180" s="10" t="s">
        <v>3899</v>
      </c>
      <c r="D180" s="10" t="s">
        <v>688</v>
      </c>
      <c r="E180" s="10" t="s">
        <v>3900</v>
      </c>
      <c r="F180" s="10" t="s">
        <v>3901</v>
      </c>
      <c r="G180" s="10" t="s">
        <v>3902</v>
      </c>
      <c r="H180" s="10" t="s">
        <v>688</v>
      </c>
      <c r="I180" s="10" t="s">
        <v>688</v>
      </c>
      <c r="J180" s="10" t="s">
        <v>3903</v>
      </c>
      <c r="K180" s="10" t="s">
        <v>688</v>
      </c>
      <c r="L180" s="10" t="s">
        <v>3904</v>
      </c>
      <c r="M180" s="10" t="s">
        <v>688</v>
      </c>
      <c r="N180" s="10">
        <v>3.78</v>
      </c>
      <c r="O180" s="10" t="s">
        <v>688</v>
      </c>
      <c r="P180" s="10"/>
      <c r="Q180" s="10"/>
      <c r="R180" s="10"/>
      <c r="S180" s="10"/>
      <c r="T180" s="10"/>
      <c r="U180" s="10"/>
      <c r="V180" s="10"/>
      <c r="W180" s="10"/>
      <c r="X180" s="10"/>
      <c r="Y180" s="10"/>
      <c r="Z180" s="10"/>
    </row>
    <row r="181" spans="1:26" ht="15">
      <c r="A181" s="9">
        <v>90</v>
      </c>
      <c r="B181" s="10" t="str">
        <f ca="1">IFERROR(__xludf.DUMMYFUNCTION((TRANSPOSE(ImportHTML("http://spending.data.al/sq/moneypower/view/id/90/year/2013",  "table", 0)))),"*Kategoria*")</f>
        <v>*Kategoria*</v>
      </c>
      <c r="C181" s="10" t="s">
        <v>673</v>
      </c>
      <c r="D181" s="10" t="s">
        <v>674</v>
      </c>
      <c r="E181" s="10" t="s">
        <v>675</v>
      </c>
      <c r="F181" s="10" t="s">
        <v>676</v>
      </c>
      <c r="G181" s="10" t="s">
        <v>677</v>
      </c>
      <c r="H181" s="10" t="s">
        <v>678</v>
      </c>
      <c r="I181" s="10" t="s">
        <v>679</v>
      </c>
      <c r="J181" s="10" t="s">
        <v>680</v>
      </c>
      <c r="K181" s="10" t="s">
        <v>681</v>
      </c>
      <c r="L181" s="10" t="s">
        <v>682</v>
      </c>
      <c r="M181" s="10" t="s">
        <v>683</v>
      </c>
      <c r="N181" s="10" t="s">
        <v>684</v>
      </c>
      <c r="O181" s="10" t="s">
        <v>685</v>
      </c>
      <c r="P181" s="10"/>
      <c r="Q181" s="10"/>
      <c r="R181" s="10"/>
      <c r="S181" s="10"/>
      <c r="T181" s="10"/>
      <c r="U181" s="10"/>
      <c r="V181" s="10"/>
      <c r="W181" s="10"/>
      <c r="X181" s="10"/>
      <c r="Y181" s="10"/>
      <c r="Z181" s="10"/>
    </row>
    <row r="182" spans="1:26" ht="15">
      <c r="A182" s="11"/>
      <c r="B182" s="10" t="s">
        <v>686</v>
      </c>
      <c r="C182" s="10" t="s">
        <v>3905</v>
      </c>
      <c r="D182" s="10" t="s">
        <v>688</v>
      </c>
      <c r="E182" s="10" t="s">
        <v>688</v>
      </c>
      <c r="F182" s="10" t="s">
        <v>688</v>
      </c>
      <c r="G182" s="10" t="s">
        <v>688</v>
      </c>
      <c r="H182" s="10" t="s">
        <v>688</v>
      </c>
      <c r="I182" s="10" t="s">
        <v>688</v>
      </c>
      <c r="J182" s="10" t="s">
        <v>688</v>
      </c>
      <c r="K182" s="10" t="s">
        <v>688</v>
      </c>
      <c r="L182" s="10" t="s">
        <v>3906</v>
      </c>
      <c r="M182" s="10" t="s">
        <v>688</v>
      </c>
      <c r="N182" s="10">
        <v>1</v>
      </c>
      <c r="O182" s="10" t="s">
        <v>707</v>
      </c>
      <c r="P182" s="10"/>
      <c r="Q182" s="10"/>
      <c r="R182" s="10"/>
      <c r="S182" s="10"/>
      <c r="T182" s="10"/>
      <c r="U182" s="10"/>
      <c r="V182" s="10"/>
      <c r="W182" s="10"/>
      <c r="X182" s="10"/>
      <c r="Y182" s="10"/>
      <c r="Z182" s="10"/>
    </row>
    <row r="183" spans="1:26" ht="15">
      <c r="A183" s="9">
        <v>91</v>
      </c>
      <c r="B183" s="10" t="str">
        <f ca="1">IFERROR(__xludf.DUMMYFUNCTION((TRANSPOSE(ImportHTML("http://spending.data.al/sq/moneypower/view/id/91/year/2013",  "table", 0)))),"*Kategoria*")</f>
        <v>*Kategoria*</v>
      </c>
      <c r="C183" s="10" t="s">
        <v>673</v>
      </c>
      <c r="D183" s="10" t="s">
        <v>674</v>
      </c>
      <c r="E183" s="10" t="s">
        <v>675</v>
      </c>
      <c r="F183" s="10" t="s">
        <v>676</v>
      </c>
      <c r="G183" s="10" t="s">
        <v>677</v>
      </c>
      <c r="H183" s="10" t="s">
        <v>678</v>
      </c>
      <c r="I183" s="10" t="s">
        <v>679</v>
      </c>
      <c r="J183" s="10" t="s">
        <v>680</v>
      </c>
      <c r="K183" s="10" t="s">
        <v>681</v>
      </c>
      <c r="L183" s="10" t="s">
        <v>682</v>
      </c>
      <c r="M183" s="10" t="s">
        <v>683</v>
      </c>
      <c r="N183" s="10" t="s">
        <v>684</v>
      </c>
      <c r="O183" s="10" t="s">
        <v>685</v>
      </c>
      <c r="P183" s="10"/>
      <c r="Q183" s="10"/>
      <c r="R183" s="10"/>
      <c r="S183" s="10"/>
      <c r="T183" s="10"/>
      <c r="U183" s="10"/>
      <c r="V183" s="10"/>
      <c r="W183" s="10"/>
      <c r="X183" s="10"/>
      <c r="Y183" s="10"/>
      <c r="Z183" s="10"/>
    </row>
    <row r="184" spans="1:26" ht="15">
      <c r="A184" s="11"/>
      <c r="B184" s="10" t="s">
        <v>686</v>
      </c>
      <c r="C184" s="10" t="s">
        <v>1057</v>
      </c>
      <c r="D184" s="10" t="s">
        <v>688</v>
      </c>
      <c r="E184" s="10" t="s">
        <v>688</v>
      </c>
      <c r="F184" s="10" t="s">
        <v>688</v>
      </c>
      <c r="G184" s="10" t="s">
        <v>688</v>
      </c>
      <c r="H184" s="10" t="s">
        <v>688</v>
      </c>
      <c r="I184" s="10" t="s">
        <v>688</v>
      </c>
      <c r="J184" s="10" t="s">
        <v>688</v>
      </c>
      <c r="K184" s="10" t="s">
        <v>688</v>
      </c>
      <c r="L184" s="10" t="s">
        <v>1058</v>
      </c>
      <c r="M184" s="10" t="s">
        <v>688</v>
      </c>
      <c r="N184" s="10">
        <v>5.44</v>
      </c>
      <c r="O184" s="10" t="s">
        <v>1059</v>
      </c>
      <c r="P184" s="10"/>
      <c r="Q184" s="10"/>
      <c r="R184" s="10"/>
      <c r="S184" s="10"/>
      <c r="T184" s="10"/>
      <c r="U184" s="10"/>
      <c r="V184" s="10"/>
      <c r="W184" s="10"/>
      <c r="X184" s="10"/>
      <c r="Y184" s="10"/>
      <c r="Z184" s="10"/>
    </row>
    <row r="185" spans="1:26" ht="15">
      <c r="A185" s="9">
        <v>92</v>
      </c>
      <c r="B185" s="10" t="str">
        <f ca="1">IFERROR(__xludf.DUMMYFUNCTION((TRANSPOSE(ImportHTML("http://spending.data.al/sq/moneypower/view/id/92/year/2013",  "table", 0)))),"*Kategoria*")</f>
        <v>*Kategoria*</v>
      </c>
      <c r="C185" s="10" t="s">
        <v>673</v>
      </c>
      <c r="D185" s="10" t="s">
        <v>674</v>
      </c>
      <c r="E185" s="10" t="s">
        <v>675</v>
      </c>
      <c r="F185" s="10" t="s">
        <v>676</v>
      </c>
      <c r="G185" s="10" t="s">
        <v>677</v>
      </c>
      <c r="H185" s="10" t="s">
        <v>678</v>
      </c>
      <c r="I185" s="10" t="s">
        <v>679</v>
      </c>
      <c r="J185" s="10" t="s">
        <v>680</v>
      </c>
      <c r="K185" s="10" t="s">
        <v>681</v>
      </c>
      <c r="L185" s="10" t="s">
        <v>682</v>
      </c>
      <c r="M185" s="10" t="s">
        <v>683</v>
      </c>
      <c r="N185" s="10" t="s">
        <v>684</v>
      </c>
      <c r="O185" s="10" t="s">
        <v>685</v>
      </c>
      <c r="P185" s="10"/>
      <c r="Q185" s="10"/>
      <c r="R185" s="10"/>
      <c r="S185" s="10"/>
      <c r="T185" s="10"/>
      <c r="U185" s="10"/>
      <c r="V185" s="10"/>
      <c r="W185" s="10"/>
      <c r="X185" s="10"/>
      <c r="Y185" s="10"/>
      <c r="Z185" s="10"/>
    </row>
    <row r="186" spans="1:26" ht="15">
      <c r="A186" s="11"/>
      <c r="B186" s="10" t="s">
        <v>686</v>
      </c>
      <c r="C186" s="10" t="s">
        <v>1060</v>
      </c>
      <c r="D186" s="10" t="s">
        <v>688</v>
      </c>
      <c r="E186" s="10" t="s">
        <v>688</v>
      </c>
      <c r="F186" s="10" t="s">
        <v>688</v>
      </c>
      <c r="G186" s="10" t="s">
        <v>1061</v>
      </c>
      <c r="H186" s="10" t="s">
        <v>688</v>
      </c>
      <c r="I186" s="10" t="s">
        <v>688</v>
      </c>
      <c r="J186" s="10" t="s">
        <v>688</v>
      </c>
      <c r="K186" s="10" t="s">
        <v>688</v>
      </c>
      <c r="L186" s="10" t="s">
        <v>688</v>
      </c>
      <c r="M186" s="10" t="s">
        <v>688</v>
      </c>
      <c r="N186" s="10" t="s">
        <v>1062</v>
      </c>
      <c r="O186" s="10" t="s">
        <v>707</v>
      </c>
      <c r="P186" s="10"/>
      <c r="Q186" s="10"/>
      <c r="R186" s="10"/>
      <c r="S186" s="10"/>
      <c r="T186" s="10"/>
      <c r="U186" s="10"/>
      <c r="V186" s="10"/>
      <c r="W186" s="10"/>
      <c r="X186" s="10"/>
      <c r="Y186" s="10"/>
      <c r="Z186" s="10"/>
    </row>
    <row r="187" spans="1:26" ht="15">
      <c r="A187" s="9">
        <v>93</v>
      </c>
      <c r="B187" s="10" t="str">
        <f ca="1">IFERROR(__xludf.DUMMYFUNCTION((TRANSPOSE(ImportHTML("http://spending.data.al/sq/moneypower/view/id/93/year/2013",  "table", 0)))),"*Kategoria*")</f>
        <v>*Kategoria*</v>
      </c>
      <c r="C187" s="10" t="s">
        <v>673</v>
      </c>
      <c r="D187" s="10" t="s">
        <v>674</v>
      </c>
      <c r="E187" s="10" t="s">
        <v>675</v>
      </c>
      <c r="F187" s="10" t="s">
        <v>676</v>
      </c>
      <c r="G187" s="10" t="s">
        <v>677</v>
      </c>
      <c r="H187" s="10" t="s">
        <v>678</v>
      </c>
      <c r="I187" s="10" t="s">
        <v>679</v>
      </c>
      <c r="J187" s="10" t="s">
        <v>680</v>
      </c>
      <c r="K187" s="10" t="s">
        <v>681</v>
      </c>
      <c r="L187" s="10" t="s">
        <v>682</v>
      </c>
      <c r="M187" s="10" t="s">
        <v>683</v>
      </c>
      <c r="N187" s="10" t="s">
        <v>684</v>
      </c>
      <c r="O187" s="10" t="s">
        <v>685</v>
      </c>
      <c r="P187" s="10"/>
      <c r="Q187" s="10"/>
      <c r="R187" s="10"/>
      <c r="S187" s="10"/>
      <c r="T187" s="10"/>
      <c r="U187" s="10"/>
      <c r="V187" s="10"/>
      <c r="W187" s="10"/>
      <c r="X187" s="10"/>
      <c r="Y187" s="10"/>
      <c r="Z187" s="10"/>
    </row>
    <row r="188" spans="1:26" ht="15">
      <c r="A188" s="11"/>
      <c r="B188" s="10" t="s">
        <v>686</v>
      </c>
      <c r="C188" s="10" t="s">
        <v>1063</v>
      </c>
      <c r="D188" s="10" t="s">
        <v>688</v>
      </c>
      <c r="E188" s="10" t="s">
        <v>688</v>
      </c>
      <c r="F188" s="10" t="s">
        <v>688</v>
      </c>
      <c r="G188" s="10" t="s">
        <v>688</v>
      </c>
      <c r="H188" s="10" t="s">
        <v>688</v>
      </c>
      <c r="I188" s="10" t="s">
        <v>688</v>
      </c>
      <c r="J188" s="10" t="s">
        <v>688</v>
      </c>
      <c r="K188" s="10" t="s">
        <v>688</v>
      </c>
      <c r="L188" s="10" t="s">
        <v>688</v>
      </c>
      <c r="M188" s="10" t="s">
        <v>688</v>
      </c>
      <c r="N188" s="10">
        <v>1</v>
      </c>
      <c r="O188" s="10" t="s">
        <v>1064</v>
      </c>
      <c r="P188" s="10"/>
      <c r="Q188" s="10"/>
      <c r="R188" s="10"/>
      <c r="S188" s="10"/>
      <c r="T188" s="10"/>
      <c r="U188" s="10"/>
      <c r="V188" s="10"/>
      <c r="W188" s="10"/>
      <c r="X188" s="10"/>
      <c r="Y188" s="10"/>
      <c r="Z188" s="10"/>
    </row>
    <row r="189" spans="1:26" ht="15">
      <c r="A189" s="9">
        <v>94</v>
      </c>
      <c r="B189" s="10" t="str">
        <f ca="1">IFERROR(__xludf.DUMMYFUNCTION((TRANSPOSE(ImportHTML("http://spending.data.al/sq/moneypower/view/id/94/year/2013",  "table", 0)))),"*Kategoria*")</f>
        <v>*Kategoria*</v>
      </c>
      <c r="C189" s="10" t="s">
        <v>673</v>
      </c>
      <c r="D189" s="10" t="s">
        <v>674</v>
      </c>
      <c r="E189" s="10" t="s">
        <v>675</v>
      </c>
      <c r="F189" s="10" t="s">
        <v>676</v>
      </c>
      <c r="G189" s="10" t="s">
        <v>677</v>
      </c>
      <c r="H189" s="10" t="s">
        <v>678</v>
      </c>
      <c r="I189" s="10" t="s">
        <v>679</v>
      </c>
      <c r="J189" s="10" t="s">
        <v>680</v>
      </c>
      <c r="K189" s="10" t="s">
        <v>681</v>
      </c>
      <c r="L189" s="10" t="s">
        <v>682</v>
      </c>
      <c r="M189" s="10" t="s">
        <v>683</v>
      </c>
      <c r="N189" s="10" t="s">
        <v>684</v>
      </c>
      <c r="O189" s="10" t="s">
        <v>685</v>
      </c>
      <c r="P189" s="10"/>
      <c r="Q189" s="10"/>
      <c r="R189" s="10"/>
      <c r="S189" s="10"/>
      <c r="T189" s="10"/>
      <c r="U189" s="10"/>
      <c r="V189" s="10"/>
      <c r="W189" s="10"/>
      <c r="X189" s="10"/>
      <c r="Y189" s="10"/>
      <c r="Z189" s="10"/>
    </row>
    <row r="190" spans="1:26" ht="15">
      <c r="A190" s="11"/>
      <c r="B190" s="10" t="s">
        <v>686</v>
      </c>
      <c r="C190" s="10" t="s">
        <v>1065</v>
      </c>
      <c r="D190" s="10" t="s">
        <v>688</v>
      </c>
      <c r="E190" s="10" t="s">
        <v>688</v>
      </c>
      <c r="F190" s="10" t="s">
        <v>688</v>
      </c>
      <c r="G190" s="10" t="s">
        <v>1066</v>
      </c>
      <c r="H190" s="10" t="s">
        <v>688</v>
      </c>
      <c r="I190" s="10" t="s">
        <v>688</v>
      </c>
      <c r="J190" s="10" t="s">
        <v>688</v>
      </c>
      <c r="K190" s="10" t="s">
        <v>688</v>
      </c>
      <c r="L190" s="10" t="s">
        <v>1067</v>
      </c>
      <c r="M190" s="10" t="s">
        <v>688</v>
      </c>
      <c r="N190" s="10">
        <v>2.02</v>
      </c>
      <c r="O190" s="10" t="s">
        <v>707</v>
      </c>
      <c r="P190" s="10"/>
      <c r="Q190" s="10"/>
      <c r="R190" s="10"/>
      <c r="S190" s="10"/>
      <c r="T190" s="10"/>
      <c r="U190" s="10"/>
      <c r="V190" s="10"/>
      <c r="W190" s="10"/>
      <c r="X190" s="10"/>
      <c r="Y190" s="10"/>
      <c r="Z190" s="10"/>
    </row>
    <row r="191" spans="1:26" ht="15">
      <c r="A191" s="9">
        <v>95</v>
      </c>
      <c r="B191" s="10" t="str">
        <f ca="1">IFERROR(__xludf.DUMMYFUNCTION((TRANSPOSE(ImportHTML("http://spending.data.al/sq/moneypower/view/id/95/year/2013",  "table", 0)))),"*Kategoria*")</f>
        <v>*Kategoria*</v>
      </c>
      <c r="C191" s="10" t="s">
        <v>673</v>
      </c>
      <c r="D191" s="10" t="s">
        <v>674</v>
      </c>
      <c r="E191" s="10" t="s">
        <v>675</v>
      </c>
      <c r="F191" s="10" t="s">
        <v>676</v>
      </c>
      <c r="G191" s="10" t="s">
        <v>677</v>
      </c>
      <c r="H191" s="10" t="s">
        <v>678</v>
      </c>
      <c r="I191" s="10" t="s">
        <v>679</v>
      </c>
      <c r="J191" s="10" t="s">
        <v>680</v>
      </c>
      <c r="K191" s="10" t="s">
        <v>681</v>
      </c>
      <c r="L191" s="10" t="s">
        <v>682</v>
      </c>
      <c r="M191" s="10" t="s">
        <v>683</v>
      </c>
      <c r="N191" s="10" t="s">
        <v>684</v>
      </c>
      <c r="O191" s="10" t="s">
        <v>685</v>
      </c>
      <c r="P191" s="10"/>
      <c r="Q191" s="10"/>
      <c r="R191" s="10"/>
      <c r="S191" s="10"/>
      <c r="T191" s="10"/>
      <c r="U191" s="10"/>
      <c r="V191" s="10"/>
      <c r="W191" s="10"/>
      <c r="X191" s="10"/>
      <c r="Y191" s="10"/>
      <c r="Z191" s="10"/>
    </row>
    <row r="192" spans="1:26" ht="15">
      <c r="A192" s="11"/>
      <c r="B192" s="10" t="s">
        <v>686</v>
      </c>
      <c r="C192" s="10" t="s">
        <v>3907</v>
      </c>
      <c r="D192" s="10" t="s">
        <v>3908</v>
      </c>
      <c r="E192" s="10" t="s">
        <v>3909</v>
      </c>
      <c r="F192" s="10" t="s">
        <v>688</v>
      </c>
      <c r="G192" s="10" t="s">
        <v>3910</v>
      </c>
      <c r="H192" s="10" t="s">
        <v>688</v>
      </c>
      <c r="I192" s="10" t="s">
        <v>688</v>
      </c>
      <c r="J192" s="10" t="s">
        <v>688</v>
      </c>
      <c r="K192" s="10" t="s">
        <v>688</v>
      </c>
      <c r="L192" s="10" t="s">
        <v>3911</v>
      </c>
      <c r="M192" s="10" t="s">
        <v>688</v>
      </c>
      <c r="N192" s="10">
        <v>2.35</v>
      </c>
      <c r="O192" s="10" t="s">
        <v>3912</v>
      </c>
      <c r="P192" s="10"/>
      <c r="Q192" s="10"/>
      <c r="R192" s="10"/>
      <c r="S192" s="10"/>
      <c r="T192" s="10"/>
      <c r="U192" s="10"/>
      <c r="V192" s="10"/>
      <c r="W192" s="10"/>
      <c r="X192" s="10"/>
      <c r="Y192" s="10"/>
      <c r="Z192" s="10"/>
    </row>
    <row r="193" spans="1:26" ht="15">
      <c r="A193" s="9">
        <v>96</v>
      </c>
      <c r="B193" s="10" t="str">
        <f ca="1">IFERROR(__xludf.DUMMYFUNCTION((TRANSPOSE(ImportHTML("http://spending.data.al/sq/moneypower/view/id/96/year/2013",  "table", 0)))),"*Kategoria*")</f>
        <v>*Kategoria*</v>
      </c>
      <c r="C193" s="10" t="s">
        <v>673</v>
      </c>
      <c r="D193" s="10" t="s">
        <v>674</v>
      </c>
      <c r="E193" s="10" t="s">
        <v>675</v>
      </c>
      <c r="F193" s="10" t="s">
        <v>676</v>
      </c>
      <c r="G193" s="10" t="s">
        <v>677</v>
      </c>
      <c r="H193" s="10" t="s">
        <v>678</v>
      </c>
      <c r="I193" s="10" t="s">
        <v>679</v>
      </c>
      <c r="J193" s="10" t="s">
        <v>680</v>
      </c>
      <c r="K193" s="10" t="s">
        <v>681</v>
      </c>
      <c r="L193" s="10" t="s">
        <v>682</v>
      </c>
      <c r="M193" s="10" t="s">
        <v>683</v>
      </c>
      <c r="N193" s="10" t="s">
        <v>684</v>
      </c>
      <c r="O193" s="10" t="s">
        <v>685</v>
      </c>
      <c r="P193" s="10"/>
      <c r="Q193" s="10"/>
      <c r="R193" s="10"/>
      <c r="S193" s="10"/>
      <c r="T193" s="10"/>
      <c r="U193" s="10"/>
      <c r="V193" s="10"/>
      <c r="W193" s="10"/>
      <c r="X193" s="10"/>
      <c r="Y193" s="10"/>
      <c r="Z193" s="10"/>
    </row>
    <row r="194" spans="1:26" ht="15">
      <c r="A194" s="11"/>
      <c r="B194" s="10" t="s">
        <v>686</v>
      </c>
      <c r="C194" s="10" t="s">
        <v>1074</v>
      </c>
      <c r="D194" s="10" t="s">
        <v>688</v>
      </c>
      <c r="E194" s="10" t="s">
        <v>688</v>
      </c>
      <c r="F194" s="10" t="s">
        <v>688</v>
      </c>
      <c r="G194" s="10" t="s">
        <v>688</v>
      </c>
      <c r="H194" s="10" t="s">
        <v>688</v>
      </c>
      <c r="I194" s="10" t="s">
        <v>688</v>
      </c>
      <c r="J194" s="10" t="s">
        <v>688</v>
      </c>
      <c r="K194" s="10" t="s">
        <v>688</v>
      </c>
      <c r="L194" s="10" t="s">
        <v>688</v>
      </c>
      <c r="M194" s="10" t="s">
        <v>688</v>
      </c>
      <c r="N194" s="10">
        <v>1</v>
      </c>
      <c r="O194" s="10" t="s">
        <v>707</v>
      </c>
      <c r="P194" s="10"/>
      <c r="Q194" s="10"/>
      <c r="R194" s="10"/>
      <c r="S194" s="10"/>
      <c r="T194" s="10"/>
      <c r="U194" s="10"/>
      <c r="V194" s="10"/>
      <c r="W194" s="10"/>
      <c r="X194" s="10"/>
      <c r="Y194" s="10"/>
      <c r="Z194" s="10"/>
    </row>
    <row r="195" spans="1:26" ht="15">
      <c r="A195" s="9">
        <v>97</v>
      </c>
      <c r="B195" s="10" t="str">
        <f ca="1">IFERROR(__xludf.DUMMYFUNCTION((TRANSPOSE(ImportHTML("http://spending.data.al/sq/moneypower/view/id/97/year/2013",  "table", 0)))),"*Kategoria*")</f>
        <v>*Kategoria*</v>
      </c>
      <c r="C195" s="10" t="s">
        <v>673</v>
      </c>
      <c r="D195" s="10" t="s">
        <v>674</v>
      </c>
      <c r="E195" s="10" t="s">
        <v>675</v>
      </c>
      <c r="F195" s="10" t="s">
        <v>676</v>
      </c>
      <c r="G195" s="10" t="s">
        <v>677</v>
      </c>
      <c r="H195" s="10" t="s">
        <v>678</v>
      </c>
      <c r="I195" s="10" t="s">
        <v>679</v>
      </c>
      <c r="J195" s="10" t="s">
        <v>680</v>
      </c>
      <c r="K195" s="10" t="s">
        <v>681</v>
      </c>
      <c r="L195" s="10" t="s">
        <v>682</v>
      </c>
      <c r="M195" s="10" t="s">
        <v>683</v>
      </c>
      <c r="N195" s="10" t="s">
        <v>684</v>
      </c>
      <c r="O195" s="10" t="s">
        <v>685</v>
      </c>
      <c r="P195" s="10"/>
      <c r="Q195" s="10"/>
      <c r="R195" s="10"/>
      <c r="S195" s="10"/>
      <c r="T195" s="10"/>
      <c r="U195" s="10"/>
      <c r="V195" s="10"/>
      <c r="W195" s="10"/>
      <c r="X195" s="10"/>
      <c r="Y195" s="10"/>
      <c r="Z195" s="10"/>
    </row>
    <row r="196" spans="1:26" ht="15">
      <c r="A196" s="11"/>
      <c r="B196" s="10" t="s">
        <v>686</v>
      </c>
      <c r="C196" s="10" t="s">
        <v>1075</v>
      </c>
      <c r="D196" s="10" t="s">
        <v>1076</v>
      </c>
      <c r="E196" s="10" t="s">
        <v>688</v>
      </c>
      <c r="F196" s="10" t="s">
        <v>688</v>
      </c>
      <c r="G196" s="10" t="s">
        <v>688</v>
      </c>
      <c r="H196" s="10" t="s">
        <v>688</v>
      </c>
      <c r="I196" s="10" t="s">
        <v>688</v>
      </c>
      <c r="J196" s="10" t="s">
        <v>688</v>
      </c>
      <c r="K196" s="10" t="s">
        <v>688</v>
      </c>
      <c r="L196" s="10" t="s">
        <v>1077</v>
      </c>
      <c r="M196" s="10" t="s">
        <v>1078</v>
      </c>
      <c r="N196" s="10">
        <v>1.5</v>
      </c>
      <c r="O196" s="10" t="s">
        <v>1079</v>
      </c>
      <c r="P196" s="10"/>
      <c r="Q196" s="10"/>
      <c r="R196" s="10"/>
      <c r="S196" s="10"/>
      <c r="T196" s="10"/>
      <c r="U196" s="10"/>
      <c r="V196" s="10"/>
      <c r="W196" s="10"/>
      <c r="X196" s="10"/>
      <c r="Y196" s="10"/>
      <c r="Z196" s="10"/>
    </row>
    <row r="197" spans="1:26" ht="15">
      <c r="A197" s="9">
        <v>98</v>
      </c>
      <c r="B197" s="10" t="str">
        <f ca="1">IFERROR(__xludf.DUMMYFUNCTION((TRANSPOSE(ImportHTML("http://spending.data.al/sq/moneypower/view/id/98/year/2013",  "table", 0)))),"*Kategoria*")</f>
        <v>*Kategoria*</v>
      </c>
      <c r="C197" s="10" t="s">
        <v>673</v>
      </c>
      <c r="D197" s="10" t="s">
        <v>674</v>
      </c>
      <c r="E197" s="10" t="s">
        <v>675</v>
      </c>
      <c r="F197" s="10" t="s">
        <v>676</v>
      </c>
      <c r="G197" s="10" t="s">
        <v>677</v>
      </c>
      <c r="H197" s="10" t="s">
        <v>678</v>
      </c>
      <c r="I197" s="10" t="s">
        <v>679</v>
      </c>
      <c r="J197" s="10" t="s">
        <v>680</v>
      </c>
      <c r="K197" s="10" t="s">
        <v>681</v>
      </c>
      <c r="L197" s="10" t="s">
        <v>682</v>
      </c>
      <c r="M197" s="10" t="s">
        <v>683</v>
      </c>
      <c r="N197" s="10" t="s">
        <v>684</v>
      </c>
      <c r="O197" s="10" t="s">
        <v>685</v>
      </c>
      <c r="P197" s="10"/>
      <c r="Q197" s="10"/>
      <c r="R197" s="10"/>
      <c r="S197" s="10"/>
      <c r="T197" s="10"/>
      <c r="U197" s="10"/>
      <c r="V197" s="10"/>
      <c r="W197" s="10"/>
      <c r="X197" s="10"/>
      <c r="Y197" s="10"/>
      <c r="Z197" s="10"/>
    </row>
    <row r="198" spans="1:26" ht="15">
      <c r="A198" s="11"/>
      <c r="B198" s="10" t="s">
        <v>686</v>
      </c>
      <c r="C198" s="10" t="s">
        <v>3913</v>
      </c>
      <c r="D198" s="10" t="s">
        <v>688</v>
      </c>
      <c r="E198" s="10" t="s">
        <v>3217</v>
      </c>
      <c r="F198" s="10" t="s">
        <v>688</v>
      </c>
      <c r="G198" s="10" t="s">
        <v>688</v>
      </c>
      <c r="H198" s="10" t="s">
        <v>688</v>
      </c>
      <c r="I198" s="10" t="s">
        <v>688</v>
      </c>
      <c r="J198" s="10" t="s">
        <v>688</v>
      </c>
      <c r="K198" s="10" t="s">
        <v>688</v>
      </c>
      <c r="L198" s="10" t="s">
        <v>3914</v>
      </c>
      <c r="M198" s="10" t="s">
        <v>688</v>
      </c>
      <c r="N198" s="10">
        <v>1.26</v>
      </c>
      <c r="O198" s="10" t="s">
        <v>3915</v>
      </c>
      <c r="P198" s="10"/>
      <c r="Q198" s="10"/>
      <c r="R198" s="10"/>
      <c r="S198" s="10"/>
      <c r="T198" s="10"/>
      <c r="U198" s="10"/>
      <c r="V198" s="10"/>
      <c r="W198" s="10"/>
      <c r="X198" s="10"/>
      <c r="Y198" s="10"/>
      <c r="Z198" s="10"/>
    </row>
    <row r="199" spans="1:26" ht="15">
      <c r="A199" s="9">
        <v>99</v>
      </c>
      <c r="B199" s="10" t="str">
        <f ca="1">IFERROR(__xludf.DUMMYFUNCTION((TRANSPOSE(ImportHTML("http://spending.data.al/sq/moneypower/view/id/99/year/2013",  "table", 0)))),"*Kategoria*")</f>
        <v>*Kategoria*</v>
      </c>
      <c r="C199" s="10" t="s">
        <v>673</v>
      </c>
      <c r="D199" s="10" t="s">
        <v>674</v>
      </c>
      <c r="E199" s="10" t="s">
        <v>675</v>
      </c>
      <c r="F199" s="10" t="s">
        <v>676</v>
      </c>
      <c r="G199" s="10" t="s">
        <v>677</v>
      </c>
      <c r="H199" s="10" t="s">
        <v>678</v>
      </c>
      <c r="I199" s="10" t="s">
        <v>679</v>
      </c>
      <c r="J199" s="10" t="s">
        <v>680</v>
      </c>
      <c r="K199" s="10" t="s">
        <v>681</v>
      </c>
      <c r="L199" s="10" t="s">
        <v>682</v>
      </c>
      <c r="M199" s="10" t="s">
        <v>683</v>
      </c>
      <c r="N199" s="10" t="s">
        <v>684</v>
      </c>
      <c r="O199" s="10" t="s">
        <v>685</v>
      </c>
      <c r="P199" s="10"/>
      <c r="Q199" s="10"/>
      <c r="R199" s="10"/>
      <c r="S199" s="10"/>
      <c r="T199" s="10"/>
      <c r="U199" s="10"/>
      <c r="V199" s="10"/>
      <c r="W199" s="10"/>
      <c r="X199" s="10"/>
      <c r="Y199" s="10"/>
      <c r="Z199" s="10"/>
    </row>
    <row r="200" spans="1:26" ht="15">
      <c r="A200" s="11"/>
      <c r="B200" s="10" t="s">
        <v>686</v>
      </c>
      <c r="C200" s="10" t="s">
        <v>3916</v>
      </c>
      <c r="D200" s="10" t="s">
        <v>688</v>
      </c>
      <c r="E200" s="10" t="s">
        <v>3917</v>
      </c>
      <c r="F200" s="10" t="s">
        <v>688</v>
      </c>
      <c r="G200" s="10" t="s">
        <v>688</v>
      </c>
      <c r="H200" s="10" t="s">
        <v>3918</v>
      </c>
      <c r="I200" s="10" t="s">
        <v>688</v>
      </c>
      <c r="J200" s="10" t="s">
        <v>688</v>
      </c>
      <c r="K200" s="10" t="s">
        <v>688</v>
      </c>
      <c r="L200" s="10" t="s">
        <v>3919</v>
      </c>
      <c r="M200" s="10" t="s">
        <v>688</v>
      </c>
      <c r="N200" s="10">
        <v>1.1499999999999999</v>
      </c>
      <c r="O200" s="10"/>
      <c r="P200" s="10"/>
      <c r="Q200" s="10"/>
      <c r="R200" s="10"/>
      <c r="S200" s="10"/>
      <c r="T200" s="10"/>
      <c r="U200" s="10"/>
      <c r="V200" s="10"/>
      <c r="W200" s="10"/>
      <c r="X200" s="10"/>
      <c r="Y200" s="10"/>
      <c r="Z200" s="10"/>
    </row>
    <row r="201" spans="1:26" ht="15">
      <c r="A201" s="9">
        <v>100</v>
      </c>
      <c r="B201" s="10" t="str">
        <f ca="1">IFERROR(__xludf.DUMMYFUNCTION((TRANSPOSE(ImportHTML("http://spending.data.al/sq/moneypower/view/id/100/year/2013",  "table", 0)))),"*Kategoria*")</f>
        <v>*Kategoria*</v>
      </c>
      <c r="C201" s="10" t="s">
        <v>673</v>
      </c>
      <c r="D201" s="10" t="s">
        <v>674</v>
      </c>
      <c r="E201" s="10" t="s">
        <v>675</v>
      </c>
      <c r="F201" s="10" t="s">
        <v>676</v>
      </c>
      <c r="G201" s="10" t="s">
        <v>677</v>
      </c>
      <c r="H201" s="10" t="s">
        <v>678</v>
      </c>
      <c r="I201" s="10" t="s">
        <v>679</v>
      </c>
      <c r="J201" s="10" t="s">
        <v>680</v>
      </c>
      <c r="K201" s="10" t="s">
        <v>681</v>
      </c>
      <c r="L201" s="10" t="s">
        <v>682</v>
      </c>
      <c r="M201" s="10" t="s">
        <v>683</v>
      </c>
      <c r="N201" s="10" t="s">
        <v>684</v>
      </c>
      <c r="O201" s="10" t="s">
        <v>685</v>
      </c>
      <c r="P201" s="10"/>
      <c r="Q201" s="10"/>
      <c r="R201" s="10"/>
      <c r="S201" s="10"/>
      <c r="T201" s="10"/>
      <c r="U201" s="10"/>
      <c r="V201" s="10"/>
      <c r="W201" s="10"/>
      <c r="X201" s="10"/>
      <c r="Y201" s="10"/>
      <c r="Z201" s="10"/>
    </row>
    <row r="202" spans="1:26" ht="15">
      <c r="A202" s="11"/>
      <c r="B202" s="10" t="s">
        <v>686</v>
      </c>
      <c r="C202" s="10" t="s">
        <v>3920</v>
      </c>
      <c r="D202" s="10" t="s">
        <v>688</v>
      </c>
      <c r="E202" s="10" t="s">
        <v>3921</v>
      </c>
      <c r="F202" s="10" t="s">
        <v>688</v>
      </c>
      <c r="G202" s="10" t="s">
        <v>688</v>
      </c>
      <c r="H202" s="10" t="s">
        <v>688</v>
      </c>
      <c r="I202" s="10" t="s">
        <v>688</v>
      </c>
      <c r="J202" s="10" t="s">
        <v>688</v>
      </c>
      <c r="K202" s="10" t="s">
        <v>688</v>
      </c>
      <c r="L202" s="10" t="s">
        <v>3922</v>
      </c>
      <c r="M202" s="10" t="s">
        <v>688</v>
      </c>
      <c r="N202" s="10"/>
      <c r="O202" s="10" t="s">
        <v>3923</v>
      </c>
      <c r="P202" s="10"/>
      <c r="Q202" s="10"/>
      <c r="R202" s="10"/>
      <c r="S202" s="10"/>
      <c r="T202" s="10"/>
      <c r="U202" s="10"/>
      <c r="V202" s="10"/>
      <c r="W202" s="10"/>
      <c r="X202" s="10"/>
      <c r="Y202" s="10"/>
      <c r="Z202" s="10"/>
    </row>
    <row r="203" spans="1:26" ht="15">
      <c r="A203" s="9">
        <v>101</v>
      </c>
      <c r="B203" s="10" t="str">
        <f ca="1">IFERROR(__xludf.DUMMYFUNCTION((TRANSPOSE(ImportHTML("http://spending.data.al/sq/moneypower/view/id/101/year/2013",  "table", 0)))),"*Kategoria*")</f>
        <v>*Kategoria*</v>
      </c>
      <c r="C203" s="10" t="s">
        <v>673</v>
      </c>
      <c r="D203" s="10" t="s">
        <v>674</v>
      </c>
      <c r="E203" s="10" t="s">
        <v>675</v>
      </c>
      <c r="F203" s="10" t="s">
        <v>676</v>
      </c>
      <c r="G203" s="10" t="s">
        <v>677</v>
      </c>
      <c r="H203" s="10" t="s">
        <v>678</v>
      </c>
      <c r="I203" s="10" t="s">
        <v>679</v>
      </c>
      <c r="J203" s="10" t="s">
        <v>680</v>
      </c>
      <c r="K203" s="10" t="s">
        <v>681</v>
      </c>
      <c r="L203" s="10" t="s">
        <v>682</v>
      </c>
      <c r="M203" s="10" t="s">
        <v>683</v>
      </c>
      <c r="N203" s="10" t="s">
        <v>684</v>
      </c>
      <c r="O203" s="10" t="s">
        <v>685</v>
      </c>
      <c r="P203" s="10"/>
      <c r="Q203" s="10"/>
      <c r="R203" s="10"/>
      <c r="S203" s="10"/>
      <c r="T203" s="10"/>
      <c r="U203" s="10"/>
      <c r="V203" s="10"/>
      <c r="W203" s="10"/>
      <c r="X203" s="10"/>
      <c r="Y203" s="10"/>
      <c r="Z203" s="10"/>
    </row>
    <row r="204" spans="1:26" ht="15">
      <c r="A204" s="11"/>
      <c r="B204" s="10" t="s">
        <v>686</v>
      </c>
      <c r="C204" s="10" t="s">
        <v>1094</v>
      </c>
      <c r="D204" s="10" t="s">
        <v>688</v>
      </c>
      <c r="E204" s="10" t="s">
        <v>1095</v>
      </c>
      <c r="F204" s="10" t="s">
        <v>1096</v>
      </c>
      <c r="G204" s="10" t="s">
        <v>688</v>
      </c>
      <c r="H204" s="10" t="s">
        <v>688</v>
      </c>
      <c r="I204" s="10" t="s">
        <v>688</v>
      </c>
      <c r="J204" s="10" t="s">
        <v>688</v>
      </c>
      <c r="K204" s="10" t="s">
        <v>688</v>
      </c>
      <c r="L204" s="10" t="s">
        <v>688</v>
      </c>
      <c r="M204" s="10" t="s">
        <v>688</v>
      </c>
      <c r="N204" s="10">
        <v>1.23</v>
      </c>
      <c r="O204" s="10"/>
      <c r="P204" s="10"/>
      <c r="Q204" s="10"/>
      <c r="R204" s="10"/>
      <c r="S204" s="10"/>
      <c r="T204" s="10"/>
      <c r="U204" s="10"/>
      <c r="V204" s="10"/>
      <c r="W204" s="10"/>
      <c r="X204" s="10"/>
      <c r="Y204" s="10"/>
      <c r="Z204" s="10"/>
    </row>
    <row r="205" spans="1:26" ht="15">
      <c r="A205" s="9">
        <v>102</v>
      </c>
      <c r="B205" s="10" t="str">
        <f ca="1">IFERROR(__xludf.DUMMYFUNCTION((TRANSPOSE(ImportHTML("http://spending.data.al/sq/moneypower/view/id/102/year/2013",  "table", 0)))),"*Kategoria*")</f>
        <v>*Kategoria*</v>
      </c>
      <c r="C205" s="10" t="s">
        <v>673</v>
      </c>
      <c r="D205" s="10" t="s">
        <v>674</v>
      </c>
      <c r="E205" s="10" t="s">
        <v>675</v>
      </c>
      <c r="F205" s="10" t="s">
        <v>676</v>
      </c>
      <c r="G205" s="10" t="s">
        <v>677</v>
      </c>
      <c r="H205" s="10" t="s">
        <v>678</v>
      </c>
      <c r="I205" s="10" t="s">
        <v>679</v>
      </c>
      <c r="J205" s="10" t="s">
        <v>680</v>
      </c>
      <c r="K205" s="10" t="s">
        <v>681</v>
      </c>
      <c r="L205" s="10" t="s">
        <v>682</v>
      </c>
      <c r="M205" s="10" t="s">
        <v>683</v>
      </c>
      <c r="N205" s="10" t="s">
        <v>684</v>
      </c>
      <c r="O205" s="10" t="s">
        <v>685</v>
      </c>
      <c r="P205" s="10"/>
      <c r="Q205" s="10"/>
      <c r="R205" s="10"/>
      <c r="S205" s="10"/>
      <c r="T205" s="10"/>
      <c r="U205" s="10"/>
      <c r="V205" s="10"/>
      <c r="W205" s="10"/>
      <c r="X205" s="10"/>
      <c r="Y205" s="10"/>
      <c r="Z205" s="10"/>
    </row>
    <row r="206" spans="1:26" ht="15">
      <c r="A206" s="11"/>
      <c r="B206" s="10" t="s">
        <v>686</v>
      </c>
      <c r="C206" s="10" t="s">
        <v>3924</v>
      </c>
      <c r="D206" s="10" t="s">
        <v>688</v>
      </c>
      <c r="E206" s="10" t="s">
        <v>3925</v>
      </c>
      <c r="F206" s="10" t="s">
        <v>3926</v>
      </c>
      <c r="G206" s="10" t="s">
        <v>688</v>
      </c>
      <c r="H206" s="10" t="s">
        <v>688</v>
      </c>
      <c r="I206" s="10" t="s">
        <v>688</v>
      </c>
      <c r="J206" s="10" t="s">
        <v>688</v>
      </c>
      <c r="K206" s="10" t="s">
        <v>688</v>
      </c>
      <c r="L206" s="10" t="s">
        <v>3927</v>
      </c>
      <c r="M206" s="10" t="s">
        <v>688</v>
      </c>
      <c r="N206" s="10">
        <v>2.4900000000000002</v>
      </c>
      <c r="O206" s="10"/>
      <c r="P206" s="10"/>
      <c r="Q206" s="10"/>
      <c r="R206" s="10"/>
      <c r="S206" s="10"/>
      <c r="T206" s="10"/>
      <c r="U206" s="10"/>
      <c r="V206" s="10"/>
      <c r="W206" s="10"/>
      <c r="X206" s="10"/>
      <c r="Y206" s="10"/>
      <c r="Z206" s="10"/>
    </row>
    <row r="207" spans="1:26" ht="15">
      <c r="A207" s="9">
        <v>103</v>
      </c>
      <c r="B207" s="10" t="str">
        <f ca="1">IFERROR(__xludf.DUMMYFUNCTION((TRANSPOSE(ImportHTML("http://spending.data.al/sq/moneypower/view/id/103/year/2013",  "table", 0)))),"*Kategoria*")</f>
        <v>*Kategoria*</v>
      </c>
      <c r="C207" s="10" t="s">
        <v>673</v>
      </c>
      <c r="D207" s="10" t="s">
        <v>674</v>
      </c>
      <c r="E207" s="10" t="s">
        <v>675</v>
      </c>
      <c r="F207" s="10" t="s">
        <v>676</v>
      </c>
      <c r="G207" s="10" t="s">
        <v>677</v>
      </c>
      <c r="H207" s="10" t="s">
        <v>678</v>
      </c>
      <c r="I207" s="10" t="s">
        <v>679</v>
      </c>
      <c r="J207" s="10" t="s">
        <v>680</v>
      </c>
      <c r="K207" s="10" t="s">
        <v>681</v>
      </c>
      <c r="L207" s="10" t="s">
        <v>682</v>
      </c>
      <c r="M207" s="10" t="s">
        <v>683</v>
      </c>
      <c r="N207" s="10" t="s">
        <v>684</v>
      </c>
      <c r="O207" s="10" t="s">
        <v>685</v>
      </c>
      <c r="P207" s="10"/>
      <c r="Q207" s="10"/>
      <c r="R207" s="10"/>
      <c r="S207" s="10"/>
      <c r="T207" s="10"/>
      <c r="U207" s="10"/>
      <c r="V207" s="10"/>
      <c r="W207" s="10"/>
      <c r="X207" s="10"/>
      <c r="Y207" s="10"/>
      <c r="Z207" s="10"/>
    </row>
    <row r="208" spans="1:26" ht="15">
      <c r="A208" s="11"/>
      <c r="B208" s="10" t="s">
        <v>686</v>
      </c>
      <c r="C208" s="10" t="s">
        <v>3928</v>
      </c>
      <c r="D208" s="10" t="s">
        <v>688</v>
      </c>
      <c r="E208" s="10" t="s">
        <v>3929</v>
      </c>
      <c r="F208" s="10" t="s">
        <v>688</v>
      </c>
      <c r="G208" s="10" t="s">
        <v>688</v>
      </c>
      <c r="H208" s="10" t="s">
        <v>688</v>
      </c>
      <c r="I208" s="10" t="s">
        <v>688</v>
      </c>
      <c r="J208" s="10" t="s">
        <v>688</v>
      </c>
      <c r="K208" s="10" t="s">
        <v>688</v>
      </c>
      <c r="L208" s="10" t="s">
        <v>3930</v>
      </c>
      <c r="M208" s="10" t="s">
        <v>688</v>
      </c>
      <c r="N208" s="10">
        <v>1</v>
      </c>
      <c r="O208" s="10"/>
      <c r="P208" s="10"/>
      <c r="Q208" s="10"/>
      <c r="R208" s="10"/>
      <c r="S208" s="10"/>
      <c r="T208" s="10"/>
      <c r="U208" s="10"/>
      <c r="V208" s="10"/>
      <c r="W208" s="10"/>
      <c r="X208" s="10"/>
      <c r="Y208" s="10"/>
      <c r="Z208" s="10"/>
    </row>
    <row r="209" spans="1:26" ht="15">
      <c r="A209" s="9">
        <v>104</v>
      </c>
      <c r="B209" s="10" t="str">
        <f ca="1">IFERROR(__xludf.DUMMYFUNCTION((TRANSPOSE(ImportHTML("http://spending.data.al/sq/moneypower/view/id/104/year/2013",  "table", 0)))),"*Kategoria*")</f>
        <v>*Kategoria*</v>
      </c>
      <c r="C209" s="10" t="s">
        <v>673</v>
      </c>
      <c r="D209" s="10" t="s">
        <v>674</v>
      </c>
      <c r="E209" s="10" t="s">
        <v>675</v>
      </c>
      <c r="F209" s="10" t="s">
        <v>676</v>
      </c>
      <c r="G209" s="10" t="s">
        <v>677</v>
      </c>
      <c r="H209" s="10" t="s">
        <v>678</v>
      </c>
      <c r="I209" s="10" t="s">
        <v>679</v>
      </c>
      <c r="J209" s="10" t="s">
        <v>680</v>
      </c>
      <c r="K209" s="10" t="s">
        <v>681</v>
      </c>
      <c r="L209" s="10" t="s">
        <v>682</v>
      </c>
      <c r="M209" s="10" t="s">
        <v>683</v>
      </c>
      <c r="N209" s="10" t="s">
        <v>684</v>
      </c>
      <c r="O209" s="10" t="s">
        <v>685</v>
      </c>
      <c r="P209" s="10"/>
      <c r="Q209" s="10"/>
      <c r="R209" s="10"/>
      <c r="S209" s="10"/>
      <c r="T209" s="10"/>
      <c r="U209" s="10"/>
      <c r="V209" s="10"/>
      <c r="W209" s="10"/>
      <c r="X209" s="10"/>
      <c r="Y209" s="10"/>
      <c r="Z209" s="10"/>
    </row>
    <row r="210" spans="1:26" ht="15">
      <c r="A210" s="11"/>
      <c r="B210" s="10" t="s">
        <v>686</v>
      </c>
      <c r="C210" s="10" t="s">
        <v>3931</v>
      </c>
      <c r="D210" s="10" t="s">
        <v>688</v>
      </c>
      <c r="E210" s="10" t="s">
        <v>688</v>
      </c>
      <c r="F210" s="10" t="s">
        <v>688</v>
      </c>
      <c r="G210" s="10" t="s">
        <v>3235</v>
      </c>
      <c r="H210" s="10" t="s">
        <v>688</v>
      </c>
      <c r="I210" s="10" t="s">
        <v>688</v>
      </c>
      <c r="J210" s="10" t="s">
        <v>688</v>
      </c>
      <c r="K210" s="10" t="s">
        <v>688</v>
      </c>
      <c r="L210" s="10" t="s">
        <v>3932</v>
      </c>
      <c r="M210" s="10" t="s">
        <v>688</v>
      </c>
      <c r="N210" s="10">
        <v>2.4300000000000002</v>
      </c>
      <c r="O210" s="10" t="s">
        <v>3933</v>
      </c>
      <c r="P210" s="10"/>
      <c r="Q210" s="10"/>
      <c r="R210" s="10"/>
      <c r="S210" s="10"/>
      <c r="T210" s="10"/>
      <c r="U210" s="10"/>
      <c r="V210" s="10"/>
      <c r="W210" s="10"/>
      <c r="X210" s="10"/>
      <c r="Y210" s="10"/>
      <c r="Z210" s="10"/>
    </row>
    <row r="211" spans="1:26" ht="15">
      <c r="A211" s="9">
        <v>105</v>
      </c>
      <c r="B211" s="10" t="str">
        <f ca="1">IFERROR(__xludf.DUMMYFUNCTION((TRANSPOSE(ImportHTML("http://spending.data.al/sq/moneypower/view/id/105/year/2013",  "table", 0)))),"*Kategoria*")</f>
        <v>*Kategoria*</v>
      </c>
      <c r="C211" s="10" t="s">
        <v>673</v>
      </c>
      <c r="D211" s="10" t="s">
        <v>674</v>
      </c>
      <c r="E211" s="10" t="s">
        <v>675</v>
      </c>
      <c r="F211" s="10" t="s">
        <v>676</v>
      </c>
      <c r="G211" s="10" t="s">
        <v>677</v>
      </c>
      <c r="H211" s="10" t="s">
        <v>678</v>
      </c>
      <c r="I211" s="10" t="s">
        <v>679</v>
      </c>
      <c r="J211" s="10" t="s">
        <v>680</v>
      </c>
      <c r="K211" s="10" t="s">
        <v>681</v>
      </c>
      <c r="L211" s="10" t="s">
        <v>682</v>
      </c>
      <c r="M211" s="10" t="s">
        <v>683</v>
      </c>
      <c r="N211" s="10" t="s">
        <v>684</v>
      </c>
      <c r="O211" s="10" t="s">
        <v>685</v>
      </c>
      <c r="P211" s="10"/>
      <c r="Q211" s="10"/>
      <c r="R211" s="10"/>
      <c r="S211" s="10"/>
      <c r="T211" s="10"/>
      <c r="U211" s="10"/>
      <c r="V211" s="10"/>
      <c r="W211" s="10"/>
      <c r="X211" s="10"/>
      <c r="Y211" s="10"/>
      <c r="Z211" s="10"/>
    </row>
    <row r="212" spans="1:26" ht="15">
      <c r="A212" s="11"/>
      <c r="B212" s="10" t="s">
        <v>686</v>
      </c>
      <c r="C212" s="10" t="s">
        <v>3934</v>
      </c>
      <c r="D212" s="10" t="s">
        <v>688</v>
      </c>
      <c r="E212" s="10" t="s">
        <v>3935</v>
      </c>
      <c r="F212" s="10" t="s">
        <v>688</v>
      </c>
      <c r="G212" s="10" t="s">
        <v>688</v>
      </c>
      <c r="H212" s="10" t="s">
        <v>688</v>
      </c>
      <c r="I212" s="10" t="s">
        <v>688</v>
      </c>
      <c r="J212" s="10" t="s">
        <v>688</v>
      </c>
      <c r="K212" s="10" t="s">
        <v>688</v>
      </c>
      <c r="L212" s="10" t="s">
        <v>3936</v>
      </c>
      <c r="M212" s="10" t="s">
        <v>688</v>
      </c>
      <c r="N212" s="10">
        <v>1</v>
      </c>
      <c r="O212" s="10" t="s">
        <v>3937</v>
      </c>
      <c r="P212" s="10"/>
      <c r="Q212" s="10"/>
      <c r="R212" s="10"/>
      <c r="S212" s="10"/>
      <c r="T212" s="10"/>
      <c r="U212" s="10"/>
      <c r="V212" s="10"/>
      <c r="W212" s="10"/>
      <c r="X212" s="10"/>
      <c r="Y212" s="10"/>
      <c r="Z212" s="10"/>
    </row>
    <row r="213" spans="1:26" ht="15">
      <c r="A213" s="9">
        <v>106</v>
      </c>
      <c r="B213" s="10" t="str">
        <f ca="1">IFERROR(__xludf.DUMMYFUNCTION((TRANSPOSE(ImportHTML("http://spending.data.al/sq/moneypower/view/id/106/year/2013",  "table", 0)))),"*Kategoria*")</f>
        <v>*Kategoria*</v>
      </c>
      <c r="C213" s="10" t="s">
        <v>673</v>
      </c>
      <c r="D213" s="10" t="s">
        <v>674</v>
      </c>
      <c r="E213" s="10" t="s">
        <v>675</v>
      </c>
      <c r="F213" s="10" t="s">
        <v>676</v>
      </c>
      <c r="G213" s="10" t="s">
        <v>677</v>
      </c>
      <c r="H213" s="10" t="s">
        <v>678</v>
      </c>
      <c r="I213" s="10" t="s">
        <v>679</v>
      </c>
      <c r="J213" s="10" t="s">
        <v>680</v>
      </c>
      <c r="K213" s="10" t="s">
        <v>681</v>
      </c>
      <c r="L213" s="10" t="s">
        <v>682</v>
      </c>
      <c r="M213" s="10" t="s">
        <v>683</v>
      </c>
      <c r="N213" s="10" t="s">
        <v>684</v>
      </c>
      <c r="O213" s="10" t="s">
        <v>685</v>
      </c>
      <c r="P213" s="10"/>
      <c r="Q213" s="10"/>
      <c r="R213" s="10"/>
      <c r="S213" s="10"/>
      <c r="T213" s="10"/>
      <c r="U213" s="10"/>
      <c r="V213" s="10"/>
      <c r="W213" s="10"/>
      <c r="X213" s="10"/>
      <c r="Y213" s="10"/>
      <c r="Z213" s="10"/>
    </row>
    <row r="214" spans="1:26" ht="15">
      <c r="A214" s="11"/>
      <c r="B214" s="10" t="s">
        <v>686</v>
      </c>
      <c r="C214" s="10" t="s">
        <v>688</v>
      </c>
      <c r="D214" s="10" t="s">
        <v>688</v>
      </c>
      <c r="E214" s="10" t="s">
        <v>1112</v>
      </c>
      <c r="F214" s="10" t="s">
        <v>688</v>
      </c>
      <c r="G214" s="10" t="s">
        <v>688</v>
      </c>
      <c r="H214" s="10" t="s">
        <v>688</v>
      </c>
      <c r="I214" s="10" t="s">
        <v>688</v>
      </c>
      <c r="J214" s="10" t="s">
        <v>688</v>
      </c>
      <c r="K214" s="10" t="s">
        <v>688</v>
      </c>
      <c r="L214" s="10" t="s">
        <v>1113</v>
      </c>
      <c r="M214" s="10" t="s">
        <v>688</v>
      </c>
      <c r="N214" s="10">
        <v>1.01</v>
      </c>
      <c r="O214" s="10" t="s">
        <v>1114</v>
      </c>
      <c r="P214" s="10"/>
      <c r="Q214" s="10"/>
      <c r="R214" s="10"/>
      <c r="S214" s="10"/>
      <c r="T214" s="10"/>
      <c r="U214" s="10"/>
      <c r="V214" s="10"/>
      <c r="W214" s="10"/>
      <c r="X214" s="10"/>
      <c r="Y214" s="10"/>
      <c r="Z214" s="10"/>
    </row>
    <row r="215" spans="1:26" ht="15">
      <c r="A215" s="9">
        <v>107</v>
      </c>
      <c r="B215" s="10" t="str">
        <f ca="1">IFERROR(__xludf.DUMMYFUNCTION((TRANSPOSE(ImportHTML("http://spending.data.al/sq/moneypower/view/id/107/year/2013",  "table", 0)))),"*Kategoria*")</f>
        <v>*Kategoria*</v>
      </c>
      <c r="C215" s="10" t="s">
        <v>673</v>
      </c>
      <c r="D215" s="10" t="s">
        <v>674</v>
      </c>
      <c r="E215" s="10" t="s">
        <v>675</v>
      </c>
      <c r="F215" s="10" t="s">
        <v>676</v>
      </c>
      <c r="G215" s="10" t="s">
        <v>677</v>
      </c>
      <c r="H215" s="10" t="s">
        <v>678</v>
      </c>
      <c r="I215" s="10" t="s">
        <v>679</v>
      </c>
      <c r="J215" s="10" t="s">
        <v>680</v>
      </c>
      <c r="K215" s="10" t="s">
        <v>681</v>
      </c>
      <c r="L215" s="10" t="s">
        <v>682</v>
      </c>
      <c r="M215" s="10" t="s">
        <v>683</v>
      </c>
      <c r="N215" s="10" t="s">
        <v>684</v>
      </c>
      <c r="O215" s="10" t="s">
        <v>685</v>
      </c>
      <c r="P215" s="10"/>
      <c r="Q215" s="10"/>
      <c r="R215" s="10"/>
      <c r="S215" s="10"/>
      <c r="T215" s="10"/>
      <c r="U215" s="10"/>
      <c r="V215" s="10"/>
      <c r="W215" s="10"/>
      <c r="X215" s="10"/>
      <c r="Y215" s="10"/>
      <c r="Z215" s="10"/>
    </row>
    <row r="216" spans="1:26" ht="15">
      <c r="A216" s="11"/>
      <c r="B216" s="10" t="s">
        <v>686</v>
      </c>
      <c r="C216" s="10" t="s">
        <v>3938</v>
      </c>
      <c r="D216" s="10" t="s">
        <v>688</v>
      </c>
      <c r="E216" s="10" t="s">
        <v>3939</v>
      </c>
      <c r="F216" s="10" t="s">
        <v>688</v>
      </c>
      <c r="G216" s="10" t="s">
        <v>688</v>
      </c>
      <c r="H216" s="10" t="s">
        <v>688</v>
      </c>
      <c r="I216" s="10" t="s">
        <v>688</v>
      </c>
      <c r="J216" s="10" t="s">
        <v>688</v>
      </c>
      <c r="K216" s="10" t="s">
        <v>688</v>
      </c>
      <c r="L216" s="10" t="s">
        <v>3940</v>
      </c>
      <c r="M216" s="10" t="s">
        <v>688</v>
      </c>
      <c r="N216" s="10">
        <v>1.23</v>
      </c>
      <c r="O216" s="10" t="s">
        <v>3941</v>
      </c>
      <c r="P216" s="10"/>
      <c r="Q216" s="10"/>
      <c r="R216" s="10"/>
      <c r="S216" s="10"/>
      <c r="T216" s="10"/>
      <c r="U216" s="10"/>
      <c r="V216" s="10"/>
      <c r="W216" s="10"/>
      <c r="X216" s="10"/>
      <c r="Y216" s="10"/>
      <c r="Z216" s="10"/>
    </row>
    <row r="217" spans="1:26" ht="15">
      <c r="A217" s="9">
        <v>108</v>
      </c>
      <c r="B217" s="10" t="str">
        <f ca="1">IFERROR(__xludf.DUMMYFUNCTION((TRANSPOSE(ImportHTML("http://spending.data.al/sq/moneypower/view/id/108/year/2013",  "table", 0)))),"*Kategoria*")</f>
        <v>*Kategoria*</v>
      </c>
      <c r="C217" s="10" t="s">
        <v>673</v>
      </c>
      <c r="D217" s="10" t="s">
        <v>674</v>
      </c>
      <c r="E217" s="10" t="s">
        <v>675</v>
      </c>
      <c r="F217" s="10" t="s">
        <v>676</v>
      </c>
      <c r="G217" s="10" t="s">
        <v>677</v>
      </c>
      <c r="H217" s="10" t="s">
        <v>678</v>
      </c>
      <c r="I217" s="10" t="s">
        <v>679</v>
      </c>
      <c r="J217" s="10" t="s">
        <v>680</v>
      </c>
      <c r="K217" s="10" t="s">
        <v>681</v>
      </c>
      <c r="L217" s="10" t="s">
        <v>682</v>
      </c>
      <c r="M217" s="10" t="s">
        <v>683</v>
      </c>
      <c r="N217" s="10" t="s">
        <v>684</v>
      </c>
      <c r="O217" s="10" t="s">
        <v>685</v>
      </c>
      <c r="P217" s="10"/>
      <c r="Q217" s="10"/>
      <c r="R217" s="10"/>
      <c r="S217" s="10"/>
      <c r="T217" s="10"/>
      <c r="U217" s="10"/>
      <c r="V217" s="10"/>
      <c r="W217" s="10"/>
      <c r="X217" s="10"/>
      <c r="Y217" s="10"/>
      <c r="Z217" s="10"/>
    </row>
    <row r="218" spans="1:26" ht="15">
      <c r="A218" s="11"/>
      <c r="B218" s="10" t="s">
        <v>686</v>
      </c>
      <c r="C218" s="10" t="s">
        <v>3942</v>
      </c>
      <c r="D218" s="10" t="s">
        <v>688</v>
      </c>
      <c r="E218" s="10" t="s">
        <v>3943</v>
      </c>
      <c r="F218" s="10" t="s">
        <v>688</v>
      </c>
      <c r="G218" s="10" t="s">
        <v>688</v>
      </c>
      <c r="H218" s="10" t="s">
        <v>688</v>
      </c>
      <c r="I218" s="10" t="s">
        <v>688</v>
      </c>
      <c r="J218" s="10" t="s">
        <v>688</v>
      </c>
      <c r="K218" s="10" t="s">
        <v>688</v>
      </c>
      <c r="L218" s="10" t="s">
        <v>3944</v>
      </c>
      <c r="M218" s="10" t="s">
        <v>688</v>
      </c>
      <c r="N218" s="10">
        <v>1</v>
      </c>
      <c r="O218" s="10"/>
      <c r="P218" s="10"/>
      <c r="Q218" s="10"/>
      <c r="R218" s="10"/>
      <c r="S218" s="10"/>
      <c r="T218" s="10"/>
      <c r="U218" s="10"/>
      <c r="V218" s="10"/>
      <c r="W218" s="10"/>
      <c r="X218" s="10"/>
      <c r="Y218" s="10"/>
      <c r="Z218" s="10"/>
    </row>
    <row r="219" spans="1:26" ht="15">
      <c r="A219" s="9">
        <v>109</v>
      </c>
      <c r="B219" s="10" t="str">
        <f ca="1">IFERROR(__xludf.DUMMYFUNCTION((TRANSPOSE(ImportHTML("http://spending.data.al/sq/moneypower/view/id/109/year/2013",  "table", 0)))),"*Kategoria*")</f>
        <v>*Kategoria*</v>
      </c>
      <c r="C219" s="10" t="s">
        <v>673</v>
      </c>
      <c r="D219" s="10" t="s">
        <v>674</v>
      </c>
      <c r="E219" s="10" t="s">
        <v>675</v>
      </c>
      <c r="F219" s="10" t="s">
        <v>676</v>
      </c>
      <c r="G219" s="10" t="s">
        <v>677</v>
      </c>
      <c r="H219" s="10" t="s">
        <v>678</v>
      </c>
      <c r="I219" s="10" t="s">
        <v>679</v>
      </c>
      <c r="J219" s="10" t="s">
        <v>680</v>
      </c>
      <c r="K219" s="10" t="s">
        <v>681</v>
      </c>
      <c r="L219" s="10" t="s">
        <v>682</v>
      </c>
      <c r="M219" s="10" t="s">
        <v>683</v>
      </c>
      <c r="N219" s="10" t="s">
        <v>684</v>
      </c>
      <c r="O219" s="10" t="s">
        <v>685</v>
      </c>
      <c r="P219" s="10"/>
      <c r="Q219" s="10"/>
      <c r="R219" s="10"/>
      <c r="S219" s="10"/>
      <c r="T219" s="10"/>
      <c r="U219" s="10"/>
      <c r="V219" s="10"/>
      <c r="W219" s="10"/>
      <c r="X219" s="10"/>
      <c r="Y219" s="10"/>
      <c r="Z219" s="10"/>
    </row>
    <row r="220" spans="1:26" ht="15">
      <c r="A220" s="11"/>
      <c r="B220" s="10" t="s">
        <v>686</v>
      </c>
      <c r="C220" s="10" t="s">
        <v>3945</v>
      </c>
      <c r="D220" s="10" t="s">
        <v>688</v>
      </c>
      <c r="E220" s="10" t="s">
        <v>3946</v>
      </c>
      <c r="F220" s="10" t="s">
        <v>688</v>
      </c>
      <c r="G220" s="10" t="s">
        <v>688</v>
      </c>
      <c r="H220" s="10" t="s">
        <v>688</v>
      </c>
      <c r="I220" s="10" t="s">
        <v>688</v>
      </c>
      <c r="J220" s="10" t="s">
        <v>688</v>
      </c>
      <c r="K220" s="10" t="s">
        <v>688</v>
      </c>
      <c r="L220" s="10" t="s">
        <v>3947</v>
      </c>
      <c r="M220" s="10" t="s">
        <v>688</v>
      </c>
      <c r="N220" s="10">
        <v>1</v>
      </c>
      <c r="O220" s="10"/>
      <c r="P220" s="10"/>
      <c r="Q220" s="10"/>
      <c r="R220" s="10"/>
      <c r="S220" s="10"/>
      <c r="T220" s="10"/>
      <c r="U220" s="10"/>
      <c r="V220" s="10"/>
      <c r="W220" s="10"/>
      <c r="X220" s="10"/>
      <c r="Y220" s="10"/>
      <c r="Z220" s="10"/>
    </row>
    <row r="221" spans="1:26" ht="15">
      <c r="A221" s="9">
        <v>110</v>
      </c>
      <c r="B221" s="10" t="str">
        <f ca="1">IFERROR(__xludf.DUMMYFUNCTION((TRANSPOSE(ImportHTML("http://spending.data.al/sq/moneypower/view/id/110/year/2013",  "table", 0)))),"*Kategoria*")</f>
        <v>*Kategoria*</v>
      </c>
      <c r="C221" s="10" t="s">
        <v>673</v>
      </c>
      <c r="D221" s="10" t="s">
        <v>674</v>
      </c>
      <c r="E221" s="10" t="s">
        <v>675</v>
      </c>
      <c r="F221" s="10" t="s">
        <v>676</v>
      </c>
      <c r="G221" s="10" t="s">
        <v>677</v>
      </c>
      <c r="H221" s="10" t="s">
        <v>678</v>
      </c>
      <c r="I221" s="10" t="s">
        <v>679</v>
      </c>
      <c r="J221" s="10" t="s">
        <v>680</v>
      </c>
      <c r="K221" s="10" t="s">
        <v>681</v>
      </c>
      <c r="L221" s="10" t="s">
        <v>682</v>
      </c>
      <c r="M221" s="10" t="s">
        <v>683</v>
      </c>
      <c r="N221" s="10" t="s">
        <v>684</v>
      </c>
      <c r="O221" s="10" t="s">
        <v>685</v>
      </c>
      <c r="P221" s="10"/>
      <c r="Q221" s="10"/>
      <c r="R221" s="10"/>
      <c r="S221" s="10"/>
      <c r="T221" s="10"/>
      <c r="U221" s="10"/>
      <c r="V221" s="10"/>
      <c r="W221" s="10"/>
      <c r="X221" s="10"/>
      <c r="Y221" s="10"/>
      <c r="Z221" s="10"/>
    </row>
    <row r="222" spans="1:26" ht="15">
      <c r="A222" s="11"/>
      <c r="B222" s="10" t="s">
        <v>686</v>
      </c>
      <c r="C222" s="10" t="s">
        <v>3948</v>
      </c>
      <c r="D222" s="10" t="s">
        <v>688</v>
      </c>
      <c r="E222" s="10" t="s">
        <v>688</v>
      </c>
      <c r="F222" s="10" t="s">
        <v>688</v>
      </c>
      <c r="G222" s="10" t="s">
        <v>688</v>
      </c>
      <c r="H222" s="10" t="s">
        <v>688</v>
      </c>
      <c r="I222" s="10" t="s">
        <v>688</v>
      </c>
      <c r="J222" s="10" t="s">
        <v>688</v>
      </c>
      <c r="K222" s="10" t="s">
        <v>688</v>
      </c>
      <c r="L222" s="10" t="s">
        <v>3949</v>
      </c>
      <c r="M222" s="10" t="s">
        <v>688</v>
      </c>
      <c r="N222" s="10"/>
      <c r="O222" s="10" t="s">
        <v>688</v>
      </c>
      <c r="P222" s="10"/>
      <c r="Q222" s="10"/>
      <c r="R222" s="10"/>
      <c r="S222" s="10"/>
      <c r="T222" s="10"/>
      <c r="U222" s="10"/>
      <c r="V222" s="10"/>
      <c r="W222" s="10"/>
      <c r="X222" s="10"/>
      <c r="Y222" s="10"/>
      <c r="Z222" s="10"/>
    </row>
    <row r="223" spans="1:26" ht="15">
      <c r="A223" s="9">
        <v>111</v>
      </c>
      <c r="B223" s="10" t="str">
        <f ca="1">IFERROR(__xludf.DUMMYFUNCTION((TRANSPOSE(ImportHTML("http://spending.data.al/sq/moneypower/view/id/111/year/2013",  "table", 0)))),"*Kategoria*")</f>
        <v>*Kategoria*</v>
      </c>
      <c r="C223" s="10" t="s">
        <v>673</v>
      </c>
      <c r="D223" s="10" t="s">
        <v>674</v>
      </c>
      <c r="E223" s="10" t="s">
        <v>675</v>
      </c>
      <c r="F223" s="10" t="s">
        <v>676</v>
      </c>
      <c r="G223" s="10" t="s">
        <v>677</v>
      </c>
      <c r="H223" s="10" t="s">
        <v>678</v>
      </c>
      <c r="I223" s="10" t="s">
        <v>679</v>
      </c>
      <c r="J223" s="10" t="s">
        <v>680</v>
      </c>
      <c r="K223" s="10" t="s">
        <v>681</v>
      </c>
      <c r="L223" s="10" t="s">
        <v>682</v>
      </c>
      <c r="M223" s="10" t="s">
        <v>683</v>
      </c>
      <c r="N223" s="10" t="s">
        <v>684</v>
      </c>
      <c r="O223" s="10" t="s">
        <v>685</v>
      </c>
      <c r="P223" s="10"/>
      <c r="Q223" s="10"/>
      <c r="R223" s="10"/>
      <c r="S223" s="10"/>
      <c r="T223" s="10"/>
      <c r="U223" s="10"/>
      <c r="V223" s="10"/>
      <c r="W223" s="10"/>
      <c r="X223" s="10"/>
      <c r="Y223" s="10"/>
      <c r="Z223" s="10"/>
    </row>
    <row r="224" spans="1:26" ht="15">
      <c r="A224" s="11"/>
      <c r="B224" s="10" t="s">
        <v>686</v>
      </c>
      <c r="C224" s="10" t="s">
        <v>3950</v>
      </c>
      <c r="D224" s="10" t="s">
        <v>688</v>
      </c>
      <c r="E224" s="10" t="s">
        <v>688</v>
      </c>
      <c r="F224" s="10" t="s">
        <v>688</v>
      </c>
      <c r="G224" s="10" t="s">
        <v>688</v>
      </c>
      <c r="H224" s="10" t="s">
        <v>688</v>
      </c>
      <c r="I224" s="10" t="s">
        <v>688</v>
      </c>
      <c r="J224" s="10" t="s">
        <v>688</v>
      </c>
      <c r="K224" s="10" t="s">
        <v>688</v>
      </c>
      <c r="L224" s="10" t="s">
        <v>3951</v>
      </c>
      <c r="M224" s="10" t="s">
        <v>688</v>
      </c>
      <c r="N224" s="10" t="s">
        <v>707</v>
      </c>
      <c r="O224" s="10" t="s">
        <v>688</v>
      </c>
      <c r="P224" s="10"/>
      <c r="Q224" s="10"/>
      <c r="R224" s="10"/>
      <c r="S224" s="10"/>
      <c r="T224" s="10"/>
      <c r="U224" s="10"/>
      <c r="V224" s="10"/>
      <c r="W224" s="10"/>
      <c r="X224" s="10"/>
      <c r="Y224" s="10"/>
      <c r="Z224" s="10"/>
    </row>
    <row r="225" spans="1:26" ht="15">
      <c r="A225" s="9">
        <v>112</v>
      </c>
      <c r="B225" s="10" t="str">
        <f ca="1">IFERROR(__xludf.DUMMYFUNCTION((TRANSPOSE(ImportHTML("http://spending.data.al/sq/moneypower/view/id/112/year/2013",  "table", 0)))),"*Kategoria*")</f>
        <v>*Kategoria*</v>
      </c>
      <c r="C225" s="10" t="s">
        <v>673</v>
      </c>
      <c r="D225" s="10" t="s">
        <v>674</v>
      </c>
      <c r="E225" s="10" t="s">
        <v>675</v>
      </c>
      <c r="F225" s="10" t="s">
        <v>676</v>
      </c>
      <c r="G225" s="10" t="s">
        <v>677</v>
      </c>
      <c r="H225" s="10" t="s">
        <v>678</v>
      </c>
      <c r="I225" s="10" t="s">
        <v>679</v>
      </c>
      <c r="J225" s="10" t="s">
        <v>680</v>
      </c>
      <c r="K225" s="10" t="s">
        <v>681</v>
      </c>
      <c r="L225" s="10" t="s">
        <v>682</v>
      </c>
      <c r="M225" s="10" t="s">
        <v>683</v>
      </c>
      <c r="N225" s="10" t="s">
        <v>684</v>
      </c>
      <c r="O225" s="10" t="s">
        <v>685</v>
      </c>
      <c r="P225" s="10"/>
      <c r="Q225" s="10"/>
      <c r="R225" s="10"/>
      <c r="S225" s="10"/>
      <c r="T225" s="10"/>
      <c r="U225" s="10"/>
      <c r="V225" s="10"/>
      <c r="W225" s="10"/>
      <c r="X225" s="10"/>
      <c r="Y225" s="10"/>
      <c r="Z225" s="10"/>
    </row>
    <row r="226" spans="1:26" ht="15">
      <c r="A226" s="11"/>
      <c r="B226" s="10" t="s">
        <v>686</v>
      </c>
      <c r="C226" s="10" t="s">
        <v>3952</v>
      </c>
      <c r="D226" s="10" t="s">
        <v>688</v>
      </c>
      <c r="E226" s="10" t="s">
        <v>688</v>
      </c>
      <c r="F226" s="10" t="s">
        <v>688</v>
      </c>
      <c r="G226" s="10" t="s">
        <v>688</v>
      </c>
      <c r="H226" s="10" t="s">
        <v>688</v>
      </c>
      <c r="I226" s="10" t="s">
        <v>3953</v>
      </c>
      <c r="J226" s="10" t="s">
        <v>688</v>
      </c>
      <c r="K226" s="10" t="s">
        <v>688</v>
      </c>
      <c r="L226" s="10" t="s">
        <v>3954</v>
      </c>
      <c r="M226" s="10" t="s">
        <v>688</v>
      </c>
      <c r="N226" s="10" t="s">
        <v>707</v>
      </c>
      <c r="O226" s="10" t="s">
        <v>688</v>
      </c>
      <c r="P226" s="10"/>
      <c r="Q226" s="10"/>
      <c r="R226" s="10"/>
      <c r="S226" s="10"/>
      <c r="T226" s="10"/>
      <c r="U226" s="10"/>
      <c r="V226" s="10"/>
      <c r="W226" s="10"/>
      <c r="X226" s="10"/>
      <c r="Y226" s="10"/>
      <c r="Z226" s="10"/>
    </row>
    <row r="227" spans="1:26" ht="15">
      <c r="A227" s="9">
        <v>113</v>
      </c>
      <c r="B227" s="10" t="str">
        <f ca="1">IFERROR(__xludf.DUMMYFUNCTION((TRANSPOSE(ImportHTML("http://spending.data.al/sq/moneypower/view/id/113/year/2013",  "table", 0)))),"*Kategoria*")</f>
        <v>*Kategoria*</v>
      </c>
      <c r="C227" s="10" t="s">
        <v>673</v>
      </c>
      <c r="D227" s="10" t="s">
        <v>674</v>
      </c>
      <c r="E227" s="10" t="s">
        <v>675</v>
      </c>
      <c r="F227" s="10" t="s">
        <v>676</v>
      </c>
      <c r="G227" s="10" t="s">
        <v>677</v>
      </c>
      <c r="H227" s="10" t="s">
        <v>678</v>
      </c>
      <c r="I227" s="10" t="s">
        <v>679</v>
      </c>
      <c r="J227" s="10" t="s">
        <v>680</v>
      </c>
      <c r="K227" s="10" t="s">
        <v>681</v>
      </c>
      <c r="L227" s="10" t="s">
        <v>682</v>
      </c>
      <c r="M227" s="10" t="s">
        <v>683</v>
      </c>
      <c r="N227" s="10" t="s">
        <v>684</v>
      </c>
      <c r="O227" s="10" t="s">
        <v>685</v>
      </c>
      <c r="P227" s="10"/>
      <c r="Q227" s="10"/>
      <c r="R227" s="10"/>
      <c r="S227" s="10"/>
      <c r="T227" s="10"/>
      <c r="U227" s="10"/>
      <c r="V227" s="10"/>
      <c r="W227" s="10"/>
      <c r="X227" s="10"/>
      <c r="Y227" s="10"/>
      <c r="Z227" s="10"/>
    </row>
    <row r="228" spans="1:26" ht="15">
      <c r="A228" s="11"/>
      <c r="B228" s="10" t="s">
        <v>686</v>
      </c>
      <c r="C228" s="10" t="s">
        <v>3955</v>
      </c>
      <c r="D228" s="10" t="s">
        <v>688</v>
      </c>
      <c r="E228" s="10" t="s">
        <v>688</v>
      </c>
      <c r="F228" s="10" t="s">
        <v>688</v>
      </c>
      <c r="G228" s="10" t="s">
        <v>3956</v>
      </c>
      <c r="H228" s="10" t="s">
        <v>688</v>
      </c>
      <c r="I228" s="10" t="s">
        <v>688</v>
      </c>
      <c r="J228" s="10" t="s">
        <v>688</v>
      </c>
      <c r="K228" s="10" t="s">
        <v>688</v>
      </c>
      <c r="L228" s="10" t="s">
        <v>3957</v>
      </c>
      <c r="M228" s="10" t="s">
        <v>688</v>
      </c>
      <c r="N228" s="10"/>
      <c r="O228" s="10" t="s">
        <v>3958</v>
      </c>
      <c r="P228" s="10"/>
      <c r="Q228" s="10"/>
      <c r="R228" s="10"/>
      <c r="S228" s="10"/>
      <c r="T228" s="10"/>
      <c r="U228" s="10"/>
      <c r="V228" s="10"/>
      <c r="W228" s="10"/>
      <c r="X228" s="10"/>
      <c r="Y228" s="10"/>
      <c r="Z228" s="10"/>
    </row>
    <row r="229" spans="1:26" ht="15">
      <c r="A229" s="9">
        <v>114</v>
      </c>
      <c r="B229" s="10" t="str">
        <f ca="1">IFERROR(__xludf.DUMMYFUNCTION((TRANSPOSE(ImportHTML("http://spending.data.al/sq/moneypower/view/id/114/year/2013",  "table", 0)))),"*Kategoria*")</f>
        <v>*Kategoria*</v>
      </c>
      <c r="C229" s="10" t="s">
        <v>673</v>
      </c>
      <c r="D229" s="10" t="s">
        <v>674</v>
      </c>
      <c r="E229" s="10" t="s">
        <v>675</v>
      </c>
      <c r="F229" s="10" t="s">
        <v>676</v>
      </c>
      <c r="G229" s="10" t="s">
        <v>677</v>
      </c>
      <c r="H229" s="10" t="s">
        <v>678</v>
      </c>
      <c r="I229" s="10" t="s">
        <v>679</v>
      </c>
      <c r="J229" s="10" t="s">
        <v>680</v>
      </c>
      <c r="K229" s="10" t="s">
        <v>681</v>
      </c>
      <c r="L229" s="10" t="s">
        <v>682</v>
      </c>
      <c r="M229" s="10" t="s">
        <v>683</v>
      </c>
      <c r="N229" s="10" t="s">
        <v>684</v>
      </c>
      <c r="O229" s="10" t="s">
        <v>685</v>
      </c>
      <c r="P229" s="10"/>
      <c r="Q229" s="10"/>
      <c r="R229" s="10"/>
      <c r="S229" s="10"/>
      <c r="T229" s="10"/>
      <c r="U229" s="10"/>
      <c r="V229" s="10"/>
      <c r="W229" s="10"/>
      <c r="X229" s="10"/>
      <c r="Y229" s="10"/>
      <c r="Z229" s="10"/>
    </row>
    <row r="230" spans="1:26" ht="15">
      <c r="A230" s="11"/>
      <c r="B230" s="10" t="s">
        <v>686</v>
      </c>
      <c r="C230" s="10" t="s">
        <v>3959</v>
      </c>
      <c r="D230" s="10" t="s">
        <v>688</v>
      </c>
      <c r="E230" s="10" t="s">
        <v>3264</v>
      </c>
      <c r="F230" s="10" t="s">
        <v>688</v>
      </c>
      <c r="G230" s="10" t="s">
        <v>3960</v>
      </c>
      <c r="H230" s="10" t="s">
        <v>688</v>
      </c>
      <c r="I230" s="10" t="s">
        <v>688</v>
      </c>
      <c r="J230" s="10" t="s">
        <v>688</v>
      </c>
      <c r="K230" s="10" t="s">
        <v>688</v>
      </c>
      <c r="L230" s="10" t="s">
        <v>3961</v>
      </c>
      <c r="M230" s="10" t="s">
        <v>688</v>
      </c>
      <c r="N230" s="10" t="s">
        <v>707</v>
      </c>
      <c r="O230" s="10" t="s">
        <v>688</v>
      </c>
      <c r="P230" s="10"/>
      <c r="Q230" s="10"/>
      <c r="R230" s="10"/>
      <c r="S230" s="10"/>
      <c r="T230" s="10"/>
      <c r="U230" s="10"/>
      <c r="V230" s="10"/>
      <c r="W230" s="10"/>
      <c r="X230" s="10"/>
      <c r="Y230" s="10"/>
      <c r="Z230" s="10"/>
    </row>
    <row r="231" spans="1:26" ht="15">
      <c r="A231" s="9">
        <v>115</v>
      </c>
      <c r="B231" s="10" t="str">
        <f ca="1">IFERROR(__xludf.DUMMYFUNCTION((TRANSPOSE(ImportHTML("http://spending.data.al/sq/moneypower/view/id/115/year/2013",  "table", 0)))),"*Kategoria*")</f>
        <v>*Kategoria*</v>
      </c>
      <c r="C231" s="10" t="s">
        <v>673</v>
      </c>
      <c r="D231" s="10" t="s">
        <v>674</v>
      </c>
      <c r="E231" s="10" t="s">
        <v>675</v>
      </c>
      <c r="F231" s="10" t="s">
        <v>676</v>
      </c>
      <c r="G231" s="10" t="s">
        <v>677</v>
      </c>
      <c r="H231" s="10" t="s">
        <v>678</v>
      </c>
      <c r="I231" s="10" t="s">
        <v>679</v>
      </c>
      <c r="J231" s="10" t="s">
        <v>680</v>
      </c>
      <c r="K231" s="10" t="s">
        <v>681</v>
      </c>
      <c r="L231" s="10" t="s">
        <v>682</v>
      </c>
      <c r="M231" s="10" t="s">
        <v>683</v>
      </c>
      <c r="N231" s="10" t="s">
        <v>684</v>
      </c>
      <c r="O231" s="10" t="s">
        <v>685</v>
      </c>
      <c r="P231" s="10"/>
      <c r="Q231" s="10"/>
      <c r="R231" s="10"/>
      <c r="S231" s="10"/>
      <c r="T231" s="10"/>
      <c r="U231" s="10"/>
      <c r="V231" s="10"/>
      <c r="W231" s="10"/>
      <c r="X231" s="10"/>
      <c r="Y231" s="10"/>
      <c r="Z231" s="10"/>
    </row>
    <row r="232" spans="1:26" ht="15">
      <c r="A232" s="11"/>
      <c r="B232" s="10" t="s">
        <v>686</v>
      </c>
      <c r="C232" s="10" t="s">
        <v>3962</v>
      </c>
      <c r="D232" s="10" t="s">
        <v>688</v>
      </c>
      <c r="E232" s="10" t="s">
        <v>688</v>
      </c>
      <c r="F232" s="10" t="s">
        <v>688</v>
      </c>
      <c r="G232" s="10" t="s">
        <v>688</v>
      </c>
      <c r="H232" s="10" t="s">
        <v>688</v>
      </c>
      <c r="I232" s="10" t="s">
        <v>688</v>
      </c>
      <c r="J232" s="10" t="s">
        <v>688</v>
      </c>
      <c r="K232" s="10" t="s">
        <v>688</v>
      </c>
      <c r="L232" s="10" t="s">
        <v>3963</v>
      </c>
      <c r="M232" s="10" t="s">
        <v>3964</v>
      </c>
      <c r="N232" s="10" t="s">
        <v>707</v>
      </c>
      <c r="O232" s="10" t="s">
        <v>688</v>
      </c>
      <c r="P232" s="10"/>
      <c r="Q232" s="10"/>
      <c r="R232" s="10"/>
      <c r="S232" s="10"/>
      <c r="T232" s="10"/>
      <c r="U232" s="10"/>
      <c r="V232" s="10"/>
      <c r="W232" s="10"/>
      <c r="X232" s="10"/>
      <c r="Y232" s="10"/>
      <c r="Z232" s="10"/>
    </row>
    <row r="233" spans="1:26" ht="15">
      <c r="A233" s="9">
        <v>116</v>
      </c>
      <c r="B233" s="10" t="str">
        <f ca="1">IFERROR(__xludf.DUMMYFUNCTION((TRANSPOSE(ImportHTML("http://spending.data.al/sq/moneypower/view/id/116/year/2013",  "table", 0)))),"*Kategoria*")</f>
        <v>*Kategoria*</v>
      </c>
      <c r="C233" s="10" t="s">
        <v>673</v>
      </c>
      <c r="D233" s="10" t="s">
        <v>674</v>
      </c>
      <c r="E233" s="10" t="s">
        <v>675</v>
      </c>
      <c r="F233" s="10" t="s">
        <v>676</v>
      </c>
      <c r="G233" s="10" t="s">
        <v>677</v>
      </c>
      <c r="H233" s="10" t="s">
        <v>678</v>
      </c>
      <c r="I233" s="10" t="s">
        <v>679</v>
      </c>
      <c r="J233" s="10" t="s">
        <v>680</v>
      </c>
      <c r="K233" s="10" t="s">
        <v>681</v>
      </c>
      <c r="L233" s="10" t="s">
        <v>682</v>
      </c>
      <c r="M233" s="10" t="s">
        <v>683</v>
      </c>
      <c r="N233" s="10" t="s">
        <v>684</v>
      </c>
      <c r="O233" s="10" t="s">
        <v>685</v>
      </c>
      <c r="P233" s="10"/>
      <c r="Q233" s="10"/>
      <c r="R233" s="10"/>
      <c r="S233" s="10"/>
      <c r="T233" s="10"/>
      <c r="U233" s="10"/>
      <c r="V233" s="10"/>
      <c r="W233" s="10"/>
      <c r="X233" s="10"/>
      <c r="Y233" s="10"/>
      <c r="Z233" s="10"/>
    </row>
    <row r="234" spans="1:26" ht="15">
      <c r="A234" s="11"/>
      <c r="B234" s="10" t="s">
        <v>686</v>
      </c>
      <c r="C234" s="10" t="s">
        <v>3965</v>
      </c>
      <c r="D234" s="10" t="s">
        <v>688</v>
      </c>
      <c r="E234" s="10" t="s">
        <v>688</v>
      </c>
      <c r="F234" s="10" t="s">
        <v>688</v>
      </c>
      <c r="G234" s="10" t="s">
        <v>688</v>
      </c>
      <c r="H234" s="10" t="s">
        <v>688</v>
      </c>
      <c r="I234" s="10" t="s">
        <v>688</v>
      </c>
      <c r="J234" s="10" t="s">
        <v>688</v>
      </c>
      <c r="K234" s="10" t="s">
        <v>688</v>
      </c>
      <c r="L234" s="10" t="s">
        <v>3966</v>
      </c>
      <c r="M234" s="10" t="s">
        <v>688</v>
      </c>
      <c r="N234" s="10" t="s">
        <v>707</v>
      </c>
      <c r="O234" s="10" t="s">
        <v>3967</v>
      </c>
      <c r="P234" s="10"/>
      <c r="Q234" s="10"/>
      <c r="R234" s="10"/>
      <c r="S234" s="10"/>
      <c r="T234" s="10"/>
      <c r="U234" s="10"/>
      <c r="V234" s="10"/>
      <c r="W234" s="10"/>
      <c r="X234" s="10"/>
      <c r="Y234" s="10"/>
      <c r="Z234" s="10"/>
    </row>
    <row r="235" spans="1:26" ht="15">
      <c r="A235" s="9">
        <v>117</v>
      </c>
      <c r="B235" s="10" t="str">
        <f ca="1">IFERROR(__xludf.DUMMYFUNCTION((TRANSPOSE(ImportHTML("http://spending.data.al/sq/moneypower/view/id/117/year/2013",  "table", 0)))),"*Kategoria*")</f>
        <v>*Kategoria*</v>
      </c>
      <c r="C235" s="10" t="s">
        <v>673</v>
      </c>
      <c r="D235" s="10" t="s">
        <v>674</v>
      </c>
      <c r="E235" s="10" t="s">
        <v>675</v>
      </c>
      <c r="F235" s="10" t="s">
        <v>676</v>
      </c>
      <c r="G235" s="10" t="s">
        <v>677</v>
      </c>
      <c r="H235" s="10" t="s">
        <v>678</v>
      </c>
      <c r="I235" s="10" t="s">
        <v>679</v>
      </c>
      <c r="J235" s="10" t="s">
        <v>680</v>
      </c>
      <c r="K235" s="10" t="s">
        <v>681</v>
      </c>
      <c r="L235" s="10" t="s">
        <v>682</v>
      </c>
      <c r="M235" s="10" t="s">
        <v>683</v>
      </c>
      <c r="N235" s="10" t="s">
        <v>684</v>
      </c>
      <c r="O235" s="10" t="s">
        <v>685</v>
      </c>
      <c r="P235" s="10"/>
      <c r="Q235" s="10"/>
      <c r="R235" s="10"/>
      <c r="S235" s="10"/>
      <c r="T235" s="10"/>
      <c r="U235" s="10"/>
      <c r="V235" s="10"/>
      <c r="W235" s="10"/>
      <c r="X235" s="10"/>
      <c r="Y235" s="10"/>
      <c r="Z235" s="10"/>
    </row>
    <row r="236" spans="1:26" ht="15">
      <c r="A236" s="11"/>
      <c r="B236" s="10" t="s">
        <v>686</v>
      </c>
      <c r="C236" s="10" t="s">
        <v>3968</v>
      </c>
      <c r="D236" s="10" t="s">
        <v>688</v>
      </c>
      <c r="E236" s="10" t="s">
        <v>3969</v>
      </c>
      <c r="F236" s="10" t="s">
        <v>3970</v>
      </c>
      <c r="G236" s="10" t="s">
        <v>3971</v>
      </c>
      <c r="H236" s="10" t="s">
        <v>688</v>
      </c>
      <c r="I236" s="10" t="s">
        <v>688</v>
      </c>
      <c r="J236" s="10" t="s">
        <v>688</v>
      </c>
      <c r="K236" s="10" t="s">
        <v>688</v>
      </c>
      <c r="L236" s="10" t="s">
        <v>3972</v>
      </c>
      <c r="M236" s="10" t="s">
        <v>3973</v>
      </c>
      <c r="N236" s="10"/>
      <c r="O236" s="10" t="s">
        <v>3974</v>
      </c>
      <c r="P236" s="10"/>
      <c r="Q236" s="10"/>
      <c r="R236" s="10"/>
      <c r="S236" s="10"/>
      <c r="T236" s="10"/>
      <c r="U236" s="10"/>
      <c r="V236" s="10"/>
      <c r="W236" s="10"/>
      <c r="X236" s="10"/>
      <c r="Y236" s="10"/>
      <c r="Z236" s="10"/>
    </row>
    <row r="237" spans="1:26" ht="15">
      <c r="A237" s="9">
        <v>118</v>
      </c>
      <c r="B237" s="10" t="str">
        <f ca="1">IFERROR(__xludf.DUMMYFUNCTION((TRANSPOSE(ImportHTML("http://spending.data.al/sq/moneypower/view/id/118/year/2013",  "table", 0)))),"*Kategoria*")</f>
        <v>*Kategoria*</v>
      </c>
      <c r="C237" s="10" t="s">
        <v>673</v>
      </c>
      <c r="D237" s="10" t="s">
        <v>674</v>
      </c>
      <c r="E237" s="10" t="s">
        <v>675</v>
      </c>
      <c r="F237" s="10" t="s">
        <v>676</v>
      </c>
      <c r="G237" s="10" t="s">
        <v>677</v>
      </c>
      <c r="H237" s="10" t="s">
        <v>678</v>
      </c>
      <c r="I237" s="10" t="s">
        <v>679</v>
      </c>
      <c r="J237" s="10" t="s">
        <v>680</v>
      </c>
      <c r="K237" s="10" t="s">
        <v>681</v>
      </c>
      <c r="L237" s="10" t="s">
        <v>682</v>
      </c>
      <c r="M237" s="10" t="s">
        <v>683</v>
      </c>
      <c r="N237" s="10" t="s">
        <v>684</v>
      </c>
      <c r="O237" s="10" t="s">
        <v>685</v>
      </c>
      <c r="P237" s="10"/>
      <c r="Q237" s="10"/>
      <c r="R237" s="10"/>
      <c r="S237" s="10"/>
      <c r="T237" s="10"/>
      <c r="U237" s="10"/>
      <c r="V237" s="10"/>
      <c r="W237" s="10"/>
      <c r="X237" s="10"/>
      <c r="Y237" s="10"/>
      <c r="Z237" s="10"/>
    </row>
    <row r="238" spans="1:26" ht="15">
      <c r="A238" s="11"/>
      <c r="B238" s="10" t="s">
        <v>686</v>
      </c>
      <c r="C238" s="10" t="s">
        <v>3975</v>
      </c>
      <c r="D238" s="10" t="s">
        <v>688</v>
      </c>
      <c r="E238" s="10" t="s">
        <v>688</v>
      </c>
      <c r="F238" s="10" t="s">
        <v>688</v>
      </c>
      <c r="G238" s="10" t="s">
        <v>688</v>
      </c>
      <c r="H238" s="10" t="s">
        <v>688</v>
      </c>
      <c r="I238" s="10" t="s">
        <v>688</v>
      </c>
      <c r="J238" s="10" t="s">
        <v>688</v>
      </c>
      <c r="K238" s="10" t="s">
        <v>688</v>
      </c>
      <c r="L238" s="10" t="s">
        <v>688</v>
      </c>
      <c r="M238" s="10" t="s">
        <v>688</v>
      </c>
      <c r="N238" s="10"/>
      <c r="O238" s="10" t="s">
        <v>688</v>
      </c>
      <c r="P238" s="10"/>
      <c r="Q238" s="10"/>
      <c r="R238" s="10"/>
      <c r="S238" s="10"/>
      <c r="T238" s="10"/>
      <c r="U238" s="10"/>
      <c r="V238" s="10"/>
      <c r="W238" s="10"/>
      <c r="X238" s="10"/>
      <c r="Y238" s="10"/>
      <c r="Z238" s="10"/>
    </row>
    <row r="239" spans="1:26" ht="15">
      <c r="A239" s="9">
        <v>119</v>
      </c>
      <c r="B239" s="10" t="str">
        <f ca="1">IFERROR(__xludf.DUMMYFUNCTION((TRANSPOSE(ImportHTML("http://spending.data.al/sq/moneypower/view/id/119/year/2013",  "table", 0)))),"*Kategoria*")</f>
        <v>*Kategoria*</v>
      </c>
      <c r="C239" s="10" t="s">
        <v>673</v>
      </c>
      <c r="D239" s="10" t="s">
        <v>674</v>
      </c>
      <c r="E239" s="10" t="s">
        <v>675</v>
      </c>
      <c r="F239" s="10" t="s">
        <v>676</v>
      </c>
      <c r="G239" s="10" t="s">
        <v>677</v>
      </c>
      <c r="H239" s="10" t="s">
        <v>678</v>
      </c>
      <c r="I239" s="10" t="s">
        <v>679</v>
      </c>
      <c r="J239" s="10" t="s">
        <v>680</v>
      </c>
      <c r="K239" s="10" t="s">
        <v>681</v>
      </c>
      <c r="L239" s="10" t="s">
        <v>682</v>
      </c>
      <c r="M239" s="10" t="s">
        <v>683</v>
      </c>
      <c r="N239" s="10" t="s">
        <v>684</v>
      </c>
      <c r="O239" s="10" t="s">
        <v>685</v>
      </c>
      <c r="P239" s="10"/>
      <c r="Q239" s="10"/>
      <c r="R239" s="10"/>
      <c r="S239" s="10"/>
      <c r="T239" s="10"/>
      <c r="U239" s="10"/>
      <c r="V239" s="10"/>
      <c r="W239" s="10"/>
      <c r="X239" s="10"/>
      <c r="Y239" s="10"/>
      <c r="Z239" s="10"/>
    </row>
    <row r="240" spans="1:26" ht="15">
      <c r="A240" s="11"/>
      <c r="B240" s="10" t="s">
        <v>686</v>
      </c>
      <c r="C240" s="10" t="s">
        <v>3976</v>
      </c>
      <c r="D240" s="10" t="s">
        <v>688</v>
      </c>
      <c r="E240" s="10" t="s">
        <v>688</v>
      </c>
      <c r="F240" s="10" t="s">
        <v>3977</v>
      </c>
      <c r="G240" s="10" t="s">
        <v>3978</v>
      </c>
      <c r="H240" s="10" t="s">
        <v>688</v>
      </c>
      <c r="I240" s="10" t="s">
        <v>688</v>
      </c>
      <c r="J240" s="10" t="s">
        <v>688</v>
      </c>
      <c r="K240" s="10" t="s">
        <v>688</v>
      </c>
      <c r="L240" s="10" t="s">
        <v>3979</v>
      </c>
      <c r="M240" s="10" t="s">
        <v>688</v>
      </c>
      <c r="N240" s="10"/>
      <c r="O240" s="10" t="s">
        <v>3980</v>
      </c>
      <c r="P240" s="10"/>
      <c r="Q240" s="10"/>
      <c r="R240" s="10"/>
      <c r="S240" s="10"/>
      <c r="T240" s="10"/>
      <c r="U240" s="10"/>
      <c r="V240" s="10"/>
      <c r="W240" s="10"/>
      <c r="X240" s="10"/>
      <c r="Y240" s="10"/>
      <c r="Z240" s="10"/>
    </row>
    <row r="241" spans="1:26" ht="15">
      <c r="A241" s="9">
        <v>120</v>
      </c>
      <c r="B241" s="10" t="str">
        <f ca="1">IFERROR(__xludf.DUMMYFUNCTION((TRANSPOSE(ImportHTML("http://spending.data.al/sq/moneypower/view/id/120/year/2013",  "table", 0)))),"*Kategoria*")</f>
        <v>*Kategoria*</v>
      </c>
      <c r="C241" s="10" t="s">
        <v>673</v>
      </c>
      <c r="D241" s="10" t="s">
        <v>674</v>
      </c>
      <c r="E241" s="10" t="s">
        <v>675</v>
      </c>
      <c r="F241" s="10" t="s">
        <v>676</v>
      </c>
      <c r="G241" s="10" t="s">
        <v>677</v>
      </c>
      <c r="H241" s="10" t="s">
        <v>678</v>
      </c>
      <c r="I241" s="10" t="s">
        <v>679</v>
      </c>
      <c r="J241" s="10" t="s">
        <v>680</v>
      </c>
      <c r="K241" s="10" t="s">
        <v>681</v>
      </c>
      <c r="L241" s="10" t="s">
        <v>682</v>
      </c>
      <c r="M241" s="10" t="s">
        <v>683</v>
      </c>
      <c r="N241" s="10" t="s">
        <v>684</v>
      </c>
      <c r="O241" s="10" t="s">
        <v>685</v>
      </c>
      <c r="P241" s="10"/>
      <c r="Q241" s="10"/>
      <c r="R241" s="10"/>
      <c r="S241" s="10"/>
      <c r="T241" s="10"/>
      <c r="U241" s="10"/>
      <c r="V241" s="10"/>
      <c r="W241" s="10"/>
      <c r="X241" s="10"/>
      <c r="Y241" s="10"/>
      <c r="Z241" s="10"/>
    </row>
    <row r="242" spans="1:26" ht="15">
      <c r="A242" s="11"/>
      <c r="B242" s="10" t="s">
        <v>686</v>
      </c>
      <c r="C242" s="10" t="s">
        <v>3981</v>
      </c>
      <c r="D242" s="10" t="s">
        <v>688</v>
      </c>
      <c r="E242" s="10" t="s">
        <v>688</v>
      </c>
      <c r="F242" s="10" t="s">
        <v>3982</v>
      </c>
      <c r="G242" s="10" t="s">
        <v>3983</v>
      </c>
      <c r="H242" s="10" t="s">
        <v>688</v>
      </c>
      <c r="I242" s="10" t="s">
        <v>688</v>
      </c>
      <c r="J242" s="10" t="s">
        <v>688</v>
      </c>
      <c r="K242" s="10" t="s">
        <v>688</v>
      </c>
      <c r="L242" s="10" t="s">
        <v>3984</v>
      </c>
      <c r="M242" s="10" t="s">
        <v>688</v>
      </c>
      <c r="N242" s="10"/>
      <c r="O242" s="10" t="s">
        <v>3985</v>
      </c>
      <c r="P242" s="10"/>
      <c r="Q242" s="10"/>
      <c r="R242" s="10"/>
      <c r="S242" s="10"/>
      <c r="T242" s="10"/>
      <c r="U242" s="10"/>
      <c r="V242" s="10"/>
      <c r="W242" s="10"/>
      <c r="X242" s="10"/>
      <c r="Y242" s="10"/>
      <c r="Z242" s="10"/>
    </row>
    <row r="243" spans="1:26" ht="15">
      <c r="A243" s="9">
        <v>121</v>
      </c>
      <c r="B243" s="10" t="str">
        <f ca="1">IFERROR(__xludf.DUMMYFUNCTION((TRANSPOSE(ImportHTML("http://spending.data.al/sq/moneypower/view/id/121/year/2013",  "table", 0)))),"*Kategoria*")</f>
        <v>*Kategoria*</v>
      </c>
      <c r="C243" s="10" t="s">
        <v>673</v>
      </c>
      <c r="D243" s="10" t="s">
        <v>674</v>
      </c>
      <c r="E243" s="10" t="s">
        <v>675</v>
      </c>
      <c r="F243" s="10" t="s">
        <v>676</v>
      </c>
      <c r="G243" s="10" t="s">
        <v>677</v>
      </c>
      <c r="H243" s="10" t="s">
        <v>678</v>
      </c>
      <c r="I243" s="10" t="s">
        <v>679</v>
      </c>
      <c r="J243" s="10" t="s">
        <v>680</v>
      </c>
      <c r="K243" s="10" t="s">
        <v>681</v>
      </c>
      <c r="L243" s="10" t="s">
        <v>682</v>
      </c>
      <c r="M243" s="10" t="s">
        <v>683</v>
      </c>
      <c r="N243" s="10" t="s">
        <v>684</v>
      </c>
      <c r="O243" s="10" t="s">
        <v>685</v>
      </c>
      <c r="P243" s="10"/>
      <c r="Q243" s="10"/>
      <c r="R243" s="10"/>
      <c r="S243" s="10"/>
      <c r="T243" s="10"/>
      <c r="U243" s="10"/>
      <c r="V243" s="10"/>
      <c r="W243" s="10"/>
      <c r="X243" s="10"/>
      <c r="Y243" s="10"/>
      <c r="Z243" s="10"/>
    </row>
    <row r="244" spans="1:26" ht="15">
      <c r="A244" s="11"/>
      <c r="B244" s="10" t="s">
        <v>686</v>
      </c>
      <c r="C244" s="10" t="s">
        <v>3986</v>
      </c>
      <c r="D244" s="10" t="s">
        <v>688</v>
      </c>
      <c r="E244" s="10" t="s">
        <v>688</v>
      </c>
      <c r="F244" s="10" t="s">
        <v>688</v>
      </c>
      <c r="G244" s="10" t="s">
        <v>688</v>
      </c>
      <c r="H244" s="10" t="s">
        <v>688</v>
      </c>
      <c r="I244" s="10" t="s">
        <v>688</v>
      </c>
      <c r="J244" s="10" t="s">
        <v>688</v>
      </c>
      <c r="K244" s="10" t="s">
        <v>688</v>
      </c>
      <c r="L244" s="10" t="s">
        <v>3987</v>
      </c>
      <c r="M244" s="10" t="s">
        <v>688</v>
      </c>
      <c r="N244" s="10" t="s">
        <v>707</v>
      </c>
      <c r="O244" s="10" t="s">
        <v>3988</v>
      </c>
      <c r="P244" s="10"/>
      <c r="Q244" s="10"/>
      <c r="R244" s="10"/>
      <c r="S244" s="10"/>
      <c r="T244" s="10"/>
      <c r="U244" s="10"/>
      <c r="V244" s="10"/>
      <c r="W244" s="10"/>
      <c r="X244" s="10"/>
      <c r="Y244" s="10"/>
      <c r="Z244" s="10"/>
    </row>
    <row r="245" spans="1:26" ht="15">
      <c r="A245" s="9">
        <v>122</v>
      </c>
      <c r="B245" s="10" t="str">
        <f ca="1">IFERROR(__xludf.DUMMYFUNCTION((TRANSPOSE(ImportHTML("http://spending.data.al/sq/moneypower/view/id/122/year/2013",  "table", 0)))),"*Kategoria*")</f>
        <v>*Kategoria*</v>
      </c>
      <c r="C245" s="10" t="s">
        <v>673</v>
      </c>
      <c r="D245" s="10" t="s">
        <v>674</v>
      </c>
      <c r="E245" s="10" t="s">
        <v>675</v>
      </c>
      <c r="F245" s="10" t="s">
        <v>676</v>
      </c>
      <c r="G245" s="10" t="s">
        <v>677</v>
      </c>
      <c r="H245" s="10" t="s">
        <v>678</v>
      </c>
      <c r="I245" s="10" t="s">
        <v>679</v>
      </c>
      <c r="J245" s="10" t="s">
        <v>680</v>
      </c>
      <c r="K245" s="10" t="s">
        <v>681</v>
      </c>
      <c r="L245" s="10" t="s">
        <v>682</v>
      </c>
      <c r="M245" s="10" t="s">
        <v>683</v>
      </c>
      <c r="N245" s="10" t="s">
        <v>684</v>
      </c>
      <c r="O245" s="10" t="s">
        <v>685</v>
      </c>
      <c r="P245" s="10"/>
      <c r="Q245" s="10"/>
      <c r="R245" s="10"/>
      <c r="S245" s="10"/>
      <c r="T245" s="10"/>
      <c r="U245" s="10"/>
      <c r="V245" s="10"/>
      <c r="W245" s="10"/>
      <c r="X245" s="10"/>
      <c r="Y245" s="10"/>
      <c r="Z245" s="10"/>
    </row>
    <row r="246" spans="1:26" ht="15">
      <c r="A246" s="11"/>
      <c r="B246" s="10" t="s">
        <v>686</v>
      </c>
      <c r="C246" s="10" t="s">
        <v>3989</v>
      </c>
      <c r="D246" s="10" t="s">
        <v>688</v>
      </c>
      <c r="E246" s="10" t="s">
        <v>688</v>
      </c>
      <c r="F246" s="10" t="s">
        <v>3990</v>
      </c>
      <c r="G246" s="10" t="s">
        <v>688</v>
      </c>
      <c r="H246" s="10" t="s">
        <v>688</v>
      </c>
      <c r="I246" s="10" t="s">
        <v>688</v>
      </c>
      <c r="J246" s="10" t="s">
        <v>688</v>
      </c>
      <c r="K246" s="10" t="s">
        <v>688</v>
      </c>
      <c r="L246" s="10" t="s">
        <v>3991</v>
      </c>
      <c r="M246" s="10" t="s">
        <v>688</v>
      </c>
      <c r="N246" s="10" t="s">
        <v>707</v>
      </c>
      <c r="O246" s="10" t="s">
        <v>3992</v>
      </c>
      <c r="P246" s="10"/>
      <c r="Q246" s="10"/>
      <c r="R246" s="10"/>
      <c r="S246" s="10"/>
      <c r="T246" s="10"/>
      <c r="U246" s="10"/>
      <c r="V246" s="10"/>
      <c r="W246" s="10"/>
      <c r="X246" s="10"/>
      <c r="Y246" s="10"/>
      <c r="Z246" s="10"/>
    </row>
    <row r="247" spans="1:26" ht="15">
      <c r="A247" s="9">
        <v>123</v>
      </c>
      <c r="B247" s="10" t="str">
        <f ca="1">IFERROR(__xludf.DUMMYFUNCTION((TRANSPOSE(ImportHTML("http://spending.data.al/sq/moneypower/view/id/123/year/2013",  "table", 0)))),"*Kategoria*")</f>
        <v>*Kategoria*</v>
      </c>
      <c r="C247" s="10" t="s">
        <v>673</v>
      </c>
      <c r="D247" s="10" t="s">
        <v>674</v>
      </c>
      <c r="E247" s="10" t="s">
        <v>675</v>
      </c>
      <c r="F247" s="10" t="s">
        <v>676</v>
      </c>
      <c r="G247" s="10" t="s">
        <v>677</v>
      </c>
      <c r="H247" s="10" t="s">
        <v>678</v>
      </c>
      <c r="I247" s="10" t="s">
        <v>679</v>
      </c>
      <c r="J247" s="10" t="s">
        <v>680</v>
      </c>
      <c r="K247" s="10" t="s">
        <v>681</v>
      </c>
      <c r="L247" s="10" t="s">
        <v>682</v>
      </c>
      <c r="M247" s="10" t="s">
        <v>683</v>
      </c>
      <c r="N247" s="10" t="s">
        <v>684</v>
      </c>
      <c r="O247" s="10" t="s">
        <v>685</v>
      </c>
      <c r="P247" s="10"/>
      <c r="Q247" s="10"/>
      <c r="R247" s="10"/>
      <c r="S247" s="10"/>
      <c r="T247" s="10"/>
      <c r="U247" s="10"/>
      <c r="V247" s="10"/>
      <c r="W247" s="10"/>
      <c r="X247" s="10"/>
      <c r="Y247" s="10"/>
      <c r="Z247" s="10"/>
    </row>
    <row r="248" spans="1:26" ht="15">
      <c r="A248" s="11"/>
      <c r="B248" s="10" t="s">
        <v>686</v>
      </c>
      <c r="C248" s="10" t="s">
        <v>3993</v>
      </c>
      <c r="D248" s="10" t="s">
        <v>688</v>
      </c>
      <c r="E248" s="10" t="s">
        <v>3994</v>
      </c>
      <c r="F248" s="10" t="s">
        <v>3995</v>
      </c>
      <c r="G248" s="10" t="s">
        <v>688</v>
      </c>
      <c r="H248" s="10" t="s">
        <v>688</v>
      </c>
      <c r="I248" s="10" t="s">
        <v>688</v>
      </c>
      <c r="J248" s="10" t="s">
        <v>688</v>
      </c>
      <c r="K248" s="10" t="s">
        <v>688</v>
      </c>
      <c r="L248" s="10" t="s">
        <v>3996</v>
      </c>
      <c r="M248" s="10" t="s">
        <v>3997</v>
      </c>
      <c r="N248" s="10"/>
      <c r="O248" s="10" t="s">
        <v>3998</v>
      </c>
      <c r="P248" s="10"/>
      <c r="Q248" s="10"/>
      <c r="R248" s="10"/>
      <c r="S248" s="10"/>
      <c r="T248" s="10"/>
      <c r="U248" s="10"/>
      <c r="V248" s="10"/>
      <c r="W248" s="10"/>
      <c r="X248" s="10"/>
      <c r="Y248" s="10"/>
      <c r="Z248" s="10"/>
    </row>
    <row r="249" spans="1:26" ht="15">
      <c r="A249" s="9">
        <v>124</v>
      </c>
      <c r="B249" s="10" t="str">
        <f ca="1">IFERROR(__xludf.DUMMYFUNCTION((TRANSPOSE(ImportHTML("http://spending.data.al/sq/moneypower/view/id/124/year/2013",  "table", 0)))),"*Kategoria*")</f>
        <v>*Kategoria*</v>
      </c>
      <c r="C249" s="10" t="s">
        <v>673</v>
      </c>
      <c r="D249" s="10" t="s">
        <v>674</v>
      </c>
      <c r="E249" s="10" t="s">
        <v>675</v>
      </c>
      <c r="F249" s="10" t="s">
        <v>676</v>
      </c>
      <c r="G249" s="10" t="s">
        <v>677</v>
      </c>
      <c r="H249" s="10" t="s">
        <v>678</v>
      </c>
      <c r="I249" s="10" t="s">
        <v>679</v>
      </c>
      <c r="J249" s="10" t="s">
        <v>680</v>
      </c>
      <c r="K249" s="10" t="s">
        <v>681</v>
      </c>
      <c r="L249" s="10" t="s">
        <v>682</v>
      </c>
      <c r="M249" s="10" t="s">
        <v>683</v>
      </c>
      <c r="N249" s="10" t="s">
        <v>684</v>
      </c>
      <c r="O249" s="10" t="s">
        <v>685</v>
      </c>
      <c r="P249" s="10"/>
      <c r="Q249" s="10"/>
      <c r="R249" s="10"/>
      <c r="S249" s="10"/>
      <c r="T249" s="10"/>
      <c r="U249" s="10"/>
      <c r="V249" s="10"/>
      <c r="W249" s="10"/>
      <c r="X249" s="10"/>
      <c r="Y249" s="10"/>
      <c r="Z249" s="10"/>
    </row>
    <row r="250" spans="1:26" ht="15">
      <c r="A250" s="11"/>
      <c r="B250" s="10" t="s">
        <v>686</v>
      </c>
      <c r="C250" s="10" t="s">
        <v>3999</v>
      </c>
      <c r="D250" s="10" t="s">
        <v>688</v>
      </c>
      <c r="E250" s="10" t="s">
        <v>688</v>
      </c>
      <c r="F250" s="10" t="s">
        <v>688</v>
      </c>
      <c r="G250" s="10" t="s">
        <v>688</v>
      </c>
      <c r="H250" s="10" t="s">
        <v>688</v>
      </c>
      <c r="I250" s="10" t="s">
        <v>688</v>
      </c>
      <c r="J250" s="10" t="s">
        <v>688</v>
      </c>
      <c r="K250" s="10" t="s">
        <v>688</v>
      </c>
      <c r="L250" s="10" t="s">
        <v>688</v>
      </c>
      <c r="M250" s="10" t="s">
        <v>688</v>
      </c>
      <c r="N250" s="10"/>
      <c r="O250" s="10" t="s">
        <v>4000</v>
      </c>
      <c r="P250" s="10"/>
      <c r="Q250" s="10"/>
      <c r="R250" s="10"/>
      <c r="S250" s="10"/>
      <c r="T250" s="10"/>
      <c r="U250" s="10"/>
      <c r="V250" s="10"/>
      <c r="W250" s="10"/>
      <c r="X250" s="10"/>
      <c r="Y250" s="10"/>
      <c r="Z250" s="10"/>
    </row>
    <row r="251" spans="1:26" ht="15">
      <c r="A251" s="9">
        <v>125</v>
      </c>
      <c r="B251" s="10" t="str">
        <f ca="1">IFERROR(__xludf.DUMMYFUNCTION((TRANSPOSE(ImportHTML("http://spending.data.al/sq/moneypower/view/id/125/year/2013",  "table", 0)))),"*Kategoria*")</f>
        <v>*Kategoria*</v>
      </c>
      <c r="C251" s="10" t="s">
        <v>673</v>
      </c>
      <c r="D251" s="10" t="s">
        <v>674</v>
      </c>
      <c r="E251" s="10" t="s">
        <v>675</v>
      </c>
      <c r="F251" s="10" t="s">
        <v>676</v>
      </c>
      <c r="G251" s="10" t="s">
        <v>677</v>
      </c>
      <c r="H251" s="10" t="s">
        <v>678</v>
      </c>
      <c r="I251" s="10" t="s">
        <v>679</v>
      </c>
      <c r="J251" s="10" t="s">
        <v>680</v>
      </c>
      <c r="K251" s="10" t="s">
        <v>681</v>
      </c>
      <c r="L251" s="10" t="s">
        <v>682</v>
      </c>
      <c r="M251" s="10" t="s">
        <v>683</v>
      </c>
      <c r="N251" s="10" t="s">
        <v>684</v>
      </c>
      <c r="O251" s="10" t="s">
        <v>685</v>
      </c>
      <c r="P251" s="10"/>
      <c r="Q251" s="10"/>
      <c r="R251" s="10"/>
      <c r="S251" s="10"/>
      <c r="T251" s="10"/>
      <c r="U251" s="10"/>
      <c r="V251" s="10"/>
      <c r="W251" s="10"/>
      <c r="X251" s="10"/>
      <c r="Y251" s="10"/>
      <c r="Z251" s="10"/>
    </row>
    <row r="252" spans="1:26" ht="15">
      <c r="A252" s="11"/>
      <c r="B252" s="10" t="s">
        <v>686</v>
      </c>
      <c r="C252" s="10" t="s">
        <v>4001</v>
      </c>
      <c r="D252" s="10" t="s">
        <v>688</v>
      </c>
      <c r="E252" s="10" t="s">
        <v>688</v>
      </c>
      <c r="F252" s="10" t="s">
        <v>688</v>
      </c>
      <c r="G252" s="10" t="s">
        <v>688</v>
      </c>
      <c r="H252" s="10" t="s">
        <v>688</v>
      </c>
      <c r="I252" s="10" t="s">
        <v>688</v>
      </c>
      <c r="J252" s="10" t="s">
        <v>688</v>
      </c>
      <c r="K252" s="10" t="s">
        <v>688</v>
      </c>
      <c r="L252" s="10" t="s">
        <v>688</v>
      </c>
      <c r="M252" s="10" t="s">
        <v>688</v>
      </c>
      <c r="N252" s="10"/>
      <c r="O252" s="10" t="s">
        <v>688</v>
      </c>
      <c r="P252" s="10"/>
      <c r="Q252" s="10"/>
      <c r="R252" s="10"/>
      <c r="S252" s="10"/>
      <c r="T252" s="10"/>
      <c r="U252" s="10"/>
      <c r="V252" s="10"/>
      <c r="W252" s="10"/>
      <c r="X252" s="10"/>
      <c r="Y252" s="10"/>
      <c r="Z252" s="10"/>
    </row>
    <row r="253" spans="1:26" ht="15">
      <c r="A253" s="9">
        <v>126</v>
      </c>
      <c r="B253" s="10" t="str">
        <f ca="1">IFERROR(__xludf.DUMMYFUNCTION((TRANSPOSE(ImportHTML("http://spending.data.al/sq/moneypower/view/id/126/year/2013",  "table", 0)))),"*Kategoria*")</f>
        <v>*Kategoria*</v>
      </c>
      <c r="C253" s="10" t="s">
        <v>673</v>
      </c>
      <c r="D253" s="10" t="s">
        <v>674</v>
      </c>
      <c r="E253" s="10" t="s">
        <v>675</v>
      </c>
      <c r="F253" s="10" t="s">
        <v>676</v>
      </c>
      <c r="G253" s="10" t="s">
        <v>677</v>
      </c>
      <c r="H253" s="10" t="s">
        <v>678</v>
      </c>
      <c r="I253" s="10" t="s">
        <v>679</v>
      </c>
      <c r="J253" s="10" t="s">
        <v>680</v>
      </c>
      <c r="K253" s="10" t="s">
        <v>681</v>
      </c>
      <c r="L253" s="10" t="s">
        <v>682</v>
      </c>
      <c r="M253" s="10" t="s">
        <v>683</v>
      </c>
      <c r="N253" s="10" t="s">
        <v>684</v>
      </c>
      <c r="O253" s="10" t="s">
        <v>685</v>
      </c>
      <c r="P253" s="10"/>
      <c r="Q253" s="10"/>
      <c r="R253" s="10"/>
      <c r="S253" s="10"/>
      <c r="T253" s="10"/>
      <c r="U253" s="10"/>
      <c r="V253" s="10"/>
      <c r="W253" s="10"/>
      <c r="X253" s="10"/>
      <c r="Y253" s="10"/>
      <c r="Z253" s="10"/>
    </row>
    <row r="254" spans="1:26" ht="15">
      <c r="A254" s="11"/>
      <c r="B254" s="10" t="s">
        <v>686</v>
      </c>
      <c r="C254" s="10" t="s">
        <v>4002</v>
      </c>
      <c r="D254" s="10" t="s">
        <v>688</v>
      </c>
      <c r="E254" s="10" t="s">
        <v>688</v>
      </c>
      <c r="F254" s="10" t="s">
        <v>688</v>
      </c>
      <c r="G254" s="10" t="s">
        <v>688</v>
      </c>
      <c r="H254" s="10" t="s">
        <v>688</v>
      </c>
      <c r="I254" s="10" t="s">
        <v>688</v>
      </c>
      <c r="J254" s="10" t="s">
        <v>688</v>
      </c>
      <c r="K254" s="10" t="s">
        <v>688</v>
      </c>
      <c r="L254" s="10" t="s">
        <v>4003</v>
      </c>
      <c r="M254" s="10" t="s">
        <v>688</v>
      </c>
      <c r="N254" s="10"/>
      <c r="O254" s="10" t="s">
        <v>688</v>
      </c>
      <c r="P254" s="10"/>
      <c r="Q254" s="10"/>
      <c r="R254" s="10"/>
      <c r="S254" s="10"/>
      <c r="T254" s="10"/>
      <c r="U254" s="10"/>
      <c r="V254" s="10"/>
      <c r="W254" s="10"/>
      <c r="X254" s="10"/>
      <c r="Y254" s="10"/>
      <c r="Z254" s="10"/>
    </row>
    <row r="255" spans="1:26" ht="15">
      <c r="A255" s="9">
        <v>127</v>
      </c>
      <c r="B255" s="10" t="str">
        <f ca="1">IFERROR(__xludf.DUMMYFUNCTION((TRANSPOSE(ImportHTML("http://spending.data.al/sq/moneypower/view/id/127/year/2013",  "table", 0)))),"*Kategoria*")</f>
        <v>*Kategoria*</v>
      </c>
      <c r="C255" s="10" t="s">
        <v>673</v>
      </c>
      <c r="D255" s="10" t="s">
        <v>674</v>
      </c>
      <c r="E255" s="10" t="s">
        <v>675</v>
      </c>
      <c r="F255" s="10" t="s">
        <v>676</v>
      </c>
      <c r="G255" s="10" t="s">
        <v>677</v>
      </c>
      <c r="H255" s="10" t="s">
        <v>678</v>
      </c>
      <c r="I255" s="10" t="s">
        <v>679</v>
      </c>
      <c r="J255" s="10" t="s">
        <v>680</v>
      </c>
      <c r="K255" s="10" t="s">
        <v>681</v>
      </c>
      <c r="L255" s="10" t="s">
        <v>682</v>
      </c>
      <c r="M255" s="10" t="s">
        <v>683</v>
      </c>
      <c r="N255" s="10" t="s">
        <v>684</v>
      </c>
      <c r="O255" s="10" t="s">
        <v>685</v>
      </c>
      <c r="P255" s="10"/>
      <c r="Q255" s="10"/>
      <c r="R255" s="10"/>
      <c r="S255" s="10"/>
      <c r="T255" s="10"/>
      <c r="U255" s="10"/>
      <c r="V255" s="10"/>
      <c r="W255" s="10"/>
      <c r="X255" s="10"/>
      <c r="Y255" s="10"/>
      <c r="Z255" s="10"/>
    </row>
    <row r="256" spans="1:26" ht="15">
      <c r="A256" s="11"/>
      <c r="B256" s="10" t="s">
        <v>686</v>
      </c>
      <c r="C256" s="10" t="s">
        <v>4004</v>
      </c>
      <c r="D256" s="10" t="s">
        <v>688</v>
      </c>
      <c r="E256" s="10" t="s">
        <v>688</v>
      </c>
      <c r="F256" s="10" t="s">
        <v>688</v>
      </c>
      <c r="G256" s="10" t="s">
        <v>688</v>
      </c>
      <c r="H256" s="10" t="s">
        <v>688</v>
      </c>
      <c r="I256" s="10" t="s">
        <v>688</v>
      </c>
      <c r="J256" s="10" t="s">
        <v>688</v>
      </c>
      <c r="K256" s="10" t="s">
        <v>688</v>
      </c>
      <c r="L256" s="10" t="s">
        <v>4005</v>
      </c>
      <c r="M256" s="10" t="s">
        <v>688</v>
      </c>
      <c r="N256" s="10"/>
      <c r="O256" s="10" t="s">
        <v>688</v>
      </c>
      <c r="P256" s="10"/>
      <c r="Q256" s="10"/>
      <c r="R256" s="10"/>
      <c r="S256" s="10"/>
      <c r="T256" s="10"/>
      <c r="U256" s="10"/>
      <c r="V256" s="10"/>
      <c r="W256" s="10"/>
      <c r="X256" s="10"/>
      <c r="Y256" s="10"/>
      <c r="Z256" s="10"/>
    </row>
    <row r="257" spans="1:26" ht="15">
      <c r="A257" s="9">
        <v>128</v>
      </c>
      <c r="B257" s="10" t="str">
        <f ca="1">IFERROR(__xludf.DUMMYFUNCTION((TRANSPOSE(ImportHTML("http://spending.data.al/sq/moneypower/view/id/128/year/2013",  "table", 0)))),"*Kategoria*")</f>
        <v>*Kategoria*</v>
      </c>
      <c r="C257" s="10" t="s">
        <v>673</v>
      </c>
      <c r="D257" s="10" t="s">
        <v>674</v>
      </c>
      <c r="E257" s="10" t="s">
        <v>675</v>
      </c>
      <c r="F257" s="10" t="s">
        <v>676</v>
      </c>
      <c r="G257" s="10" t="s">
        <v>677</v>
      </c>
      <c r="H257" s="10" t="s">
        <v>678</v>
      </c>
      <c r="I257" s="10" t="s">
        <v>679</v>
      </c>
      <c r="J257" s="10" t="s">
        <v>680</v>
      </c>
      <c r="K257" s="10" t="s">
        <v>681</v>
      </c>
      <c r="L257" s="10" t="s">
        <v>682</v>
      </c>
      <c r="M257" s="10" t="s">
        <v>683</v>
      </c>
      <c r="N257" s="10" t="s">
        <v>684</v>
      </c>
      <c r="O257" s="10" t="s">
        <v>685</v>
      </c>
      <c r="P257" s="10"/>
      <c r="Q257" s="10"/>
      <c r="R257" s="10"/>
      <c r="S257" s="10"/>
      <c r="T257" s="10"/>
      <c r="U257" s="10"/>
      <c r="V257" s="10"/>
      <c r="W257" s="10"/>
      <c r="X257" s="10"/>
      <c r="Y257" s="10"/>
      <c r="Z257" s="10"/>
    </row>
    <row r="258" spans="1:26" ht="15">
      <c r="A258" s="11"/>
      <c r="B258" s="10" t="s">
        <v>686</v>
      </c>
      <c r="C258" s="10" t="s">
        <v>4006</v>
      </c>
      <c r="D258" s="10" t="s">
        <v>688</v>
      </c>
      <c r="E258" s="10" t="s">
        <v>4007</v>
      </c>
      <c r="F258" s="10" t="s">
        <v>688</v>
      </c>
      <c r="G258" s="10" t="s">
        <v>4008</v>
      </c>
      <c r="H258" s="10" t="s">
        <v>688</v>
      </c>
      <c r="I258" s="10" t="s">
        <v>688</v>
      </c>
      <c r="J258" s="10" t="s">
        <v>688</v>
      </c>
      <c r="K258" s="10" t="s">
        <v>688</v>
      </c>
      <c r="L258" s="10" t="s">
        <v>4009</v>
      </c>
      <c r="M258" s="10" t="s">
        <v>688</v>
      </c>
      <c r="N258" s="10"/>
      <c r="O258" s="10" t="s">
        <v>4010</v>
      </c>
      <c r="P258" s="10"/>
      <c r="Q258" s="10"/>
      <c r="R258" s="10"/>
      <c r="S258" s="10"/>
      <c r="T258" s="10"/>
      <c r="U258" s="10"/>
      <c r="V258" s="10"/>
      <c r="W258" s="10"/>
      <c r="X258" s="10"/>
      <c r="Y258" s="10"/>
      <c r="Z258" s="10"/>
    </row>
    <row r="259" spans="1:26" ht="15">
      <c r="A259" s="9">
        <v>129</v>
      </c>
      <c r="B259" s="10" t="str">
        <f ca="1">IFERROR(__xludf.DUMMYFUNCTION((TRANSPOSE(ImportHTML("http://spending.data.al/sq/moneypower/view/id/129/year/2013",  "table", 0)))),"*Kategoria*")</f>
        <v>*Kategoria*</v>
      </c>
      <c r="C259" s="10" t="s">
        <v>673</v>
      </c>
      <c r="D259" s="10" t="s">
        <v>674</v>
      </c>
      <c r="E259" s="10" t="s">
        <v>675</v>
      </c>
      <c r="F259" s="10" t="s">
        <v>676</v>
      </c>
      <c r="G259" s="10" t="s">
        <v>677</v>
      </c>
      <c r="H259" s="10" t="s">
        <v>678</v>
      </c>
      <c r="I259" s="10" t="s">
        <v>679</v>
      </c>
      <c r="J259" s="10" t="s">
        <v>680</v>
      </c>
      <c r="K259" s="10" t="s">
        <v>681</v>
      </c>
      <c r="L259" s="10" t="s">
        <v>682</v>
      </c>
      <c r="M259" s="10" t="s">
        <v>683</v>
      </c>
      <c r="N259" s="10" t="s">
        <v>684</v>
      </c>
      <c r="O259" s="10" t="s">
        <v>685</v>
      </c>
      <c r="P259" s="10"/>
      <c r="Q259" s="10"/>
      <c r="R259" s="10"/>
      <c r="S259" s="10"/>
      <c r="T259" s="10"/>
      <c r="U259" s="10"/>
      <c r="V259" s="10"/>
      <c r="W259" s="10"/>
      <c r="X259" s="10"/>
      <c r="Y259" s="10"/>
      <c r="Z259" s="10"/>
    </row>
    <row r="260" spans="1:26" ht="15">
      <c r="A260" s="11"/>
      <c r="B260" s="10" t="s">
        <v>686</v>
      </c>
      <c r="C260" s="10" t="s">
        <v>4011</v>
      </c>
      <c r="D260" s="10" t="s">
        <v>688</v>
      </c>
      <c r="E260" s="10" t="s">
        <v>4012</v>
      </c>
      <c r="F260" s="10" t="s">
        <v>688</v>
      </c>
      <c r="G260" s="10" t="s">
        <v>688</v>
      </c>
      <c r="H260" s="10" t="s">
        <v>688</v>
      </c>
      <c r="I260" s="10" t="s">
        <v>688</v>
      </c>
      <c r="J260" s="10" t="s">
        <v>688</v>
      </c>
      <c r="K260" s="10" t="s">
        <v>688</v>
      </c>
      <c r="L260" s="10" t="s">
        <v>4013</v>
      </c>
      <c r="M260" s="10" t="s">
        <v>688</v>
      </c>
      <c r="N260" s="10" t="s">
        <v>707</v>
      </c>
      <c r="O260" s="10" t="s">
        <v>688</v>
      </c>
      <c r="P260" s="10"/>
      <c r="Q260" s="10"/>
      <c r="R260" s="10"/>
      <c r="S260" s="10"/>
      <c r="T260" s="10"/>
      <c r="U260" s="10"/>
      <c r="V260" s="10"/>
      <c r="W260" s="10"/>
      <c r="X260" s="10"/>
      <c r="Y260" s="10"/>
      <c r="Z260" s="10"/>
    </row>
    <row r="261" spans="1:26" ht="15">
      <c r="A261" s="9">
        <v>130</v>
      </c>
      <c r="B261" s="10" t="str">
        <f ca="1">IFERROR(__xludf.DUMMYFUNCTION((TRANSPOSE(ImportHTML("http://spending.data.al/sq/moneypower/view/id/130/year/2013",  "table", 0)))),"*Kategoria*")</f>
        <v>*Kategoria*</v>
      </c>
      <c r="C261" s="10" t="s">
        <v>673</v>
      </c>
      <c r="D261" s="10" t="s">
        <v>674</v>
      </c>
      <c r="E261" s="10" t="s">
        <v>675</v>
      </c>
      <c r="F261" s="10" t="s">
        <v>676</v>
      </c>
      <c r="G261" s="10" t="s">
        <v>677</v>
      </c>
      <c r="H261" s="10" t="s">
        <v>678</v>
      </c>
      <c r="I261" s="10" t="s">
        <v>679</v>
      </c>
      <c r="J261" s="10" t="s">
        <v>680</v>
      </c>
      <c r="K261" s="10" t="s">
        <v>681</v>
      </c>
      <c r="L261" s="10" t="s">
        <v>682</v>
      </c>
      <c r="M261" s="10" t="s">
        <v>683</v>
      </c>
      <c r="N261" s="10" t="s">
        <v>684</v>
      </c>
      <c r="O261" s="10" t="s">
        <v>685</v>
      </c>
      <c r="P261" s="10"/>
      <c r="Q261" s="10"/>
      <c r="R261" s="10"/>
      <c r="S261" s="10"/>
      <c r="T261" s="10"/>
      <c r="U261" s="10"/>
      <c r="V261" s="10"/>
      <c r="W261" s="10"/>
      <c r="X261" s="10"/>
      <c r="Y261" s="10"/>
      <c r="Z261" s="10"/>
    </row>
    <row r="262" spans="1:26" ht="15">
      <c r="A262" s="11"/>
      <c r="B262" s="10" t="s">
        <v>686</v>
      </c>
      <c r="C262" s="10" t="s">
        <v>4014</v>
      </c>
      <c r="D262" s="10" t="s">
        <v>688</v>
      </c>
      <c r="E262" s="10" t="s">
        <v>688</v>
      </c>
      <c r="F262" s="10" t="s">
        <v>688</v>
      </c>
      <c r="G262" s="10" t="s">
        <v>688</v>
      </c>
      <c r="H262" s="10" t="s">
        <v>688</v>
      </c>
      <c r="I262" s="10" t="s">
        <v>688</v>
      </c>
      <c r="J262" s="10" t="s">
        <v>688</v>
      </c>
      <c r="K262" s="10" t="s">
        <v>688</v>
      </c>
      <c r="L262" s="10" t="s">
        <v>688</v>
      </c>
      <c r="M262" s="10" t="s">
        <v>688</v>
      </c>
      <c r="N262" s="10" t="s">
        <v>707</v>
      </c>
      <c r="O262" s="10" t="s">
        <v>688</v>
      </c>
      <c r="P262" s="10"/>
      <c r="Q262" s="10"/>
      <c r="R262" s="10"/>
      <c r="S262" s="10"/>
      <c r="T262" s="10"/>
      <c r="U262" s="10"/>
      <c r="V262" s="10"/>
      <c r="W262" s="10"/>
      <c r="X262" s="10"/>
      <c r="Y262" s="10"/>
      <c r="Z262" s="10"/>
    </row>
    <row r="263" spans="1:26" ht="15">
      <c r="A263" s="9">
        <v>131</v>
      </c>
      <c r="B263" s="10" t="str">
        <f ca="1">IFERROR(__xludf.DUMMYFUNCTION((TRANSPOSE(ImportHTML("http://spending.data.al/sq/moneypower/view/id/131/year/2013",  "table", 0)))),"*Kategoria*")</f>
        <v>*Kategoria*</v>
      </c>
      <c r="C263" s="10" t="s">
        <v>673</v>
      </c>
      <c r="D263" s="10" t="s">
        <v>674</v>
      </c>
      <c r="E263" s="10" t="s">
        <v>675</v>
      </c>
      <c r="F263" s="10" t="s">
        <v>676</v>
      </c>
      <c r="G263" s="10" t="s">
        <v>677</v>
      </c>
      <c r="H263" s="10" t="s">
        <v>678</v>
      </c>
      <c r="I263" s="10" t="s">
        <v>679</v>
      </c>
      <c r="J263" s="10" t="s">
        <v>680</v>
      </c>
      <c r="K263" s="10" t="s">
        <v>681</v>
      </c>
      <c r="L263" s="10" t="s">
        <v>682</v>
      </c>
      <c r="M263" s="10" t="s">
        <v>683</v>
      </c>
      <c r="N263" s="10" t="s">
        <v>684</v>
      </c>
      <c r="O263" s="10" t="s">
        <v>685</v>
      </c>
      <c r="P263" s="10"/>
      <c r="Q263" s="10"/>
      <c r="R263" s="10"/>
      <c r="S263" s="10"/>
      <c r="T263" s="10"/>
      <c r="U263" s="10"/>
      <c r="V263" s="10"/>
      <c r="W263" s="10"/>
      <c r="X263" s="10"/>
      <c r="Y263" s="10"/>
      <c r="Z263" s="10"/>
    </row>
    <row r="264" spans="1:26" ht="15">
      <c r="A264" s="11"/>
      <c r="B264" s="10" t="s">
        <v>686</v>
      </c>
      <c r="C264" s="10" t="s">
        <v>4015</v>
      </c>
      <c r="D264" s="10" t="s">
        <v>688</v>
      </c>
      <c r="E264" s="10" t="s">
        <v>688</v>
      </c>
      <c r="F264" s="10" t="s">
        <v>688</v>
      </c>
      <c r="G264" s="10" t="s">
        <v>688</v>
      </c>
      <c r="H264" s="10" t="s">
        <v>688</v>
      </c>
      <c r="I264" s="10" t="s">
        <v>688</v>
      </c>
      <c r="J264" s="10" t="s">
        <v>688</v>
      </c>
      <c r="K264" s="10" t="s">
        <v>688</v>
      </c>
      <c r="L264" s="10" t="s">
        <v>4016</v>
      </c>
      <c r="M264" s="10" t="s">
        <v>688</v>
      </c>
      <c r="N264" s="10" t="s">
        <v>707</v>
      </c>
      <c r="O264" s="10" t="s">
        <v>688</v>
      </c>
      <c r="P264" s="10"/>
      <c r="Q264" s="10"/>
      <c r="R264" s="10"/>
      <c r="S264" s="10"/>
      <c r="T264" s="10"/>
      <c r="U264" s="10"/>
      <c r="V264" s="10"/>
      <c r="W264" s="10"/>
      <c r="X264" s="10"/>
      <c r="Y264" s="10"/>
      <c r="Z264" s="10"/>
    </row>
    <row r="265" spans="1:26" ht="15">
      <c r="A265" s="9">
        <v>132</v>
      </c>
      <c r="B265" s="10" t="str">
        <f ca="1">IFERROR(__xludf.DUMMYFUNCTION((TRANSPOSE(ImportHTML("http://spending.data.al/sq/moneypower/view/id/132/year/2013",  "table", 0)))),"*Kategoria*")</f>
        <v>*Kategoria*</v>
      </c>
      <c r="C265" s="10" t="s">
        <v>673</v>
      </c>
      <c r="D265" s="10" t="s">
        <v>674</v>
      </c>
      <c r="E265" s="10" t="s">
        <v>675</v>
      </c>
      <c r="F265" s="10" t="s">
        <v>676</v>
      </c>
      <c r="G265" s="10" t="s">
        <v>677</v>
      </c>
      <c r="H265" s="10" t="s">
        <v>678</v>
      </c>
      <c r="I265" s="10" t="s">
        <v>679</v>
      </c>
      <c r="J265" s="10" t="s">
        <v>680</v>
      </c>
      <c r="K265" s="10" t="s">
        <v>681</v>
      </c>
      <c r="L265" s="10" t="s">
        <v>682</v>
      </c>
      <c r="M265" s="10" t="s">
        <v>683</v>
      </c>
      <c r="N265" s="10" t="s">
        <v>684</v>
      </c>
      <c r="O265" s="10" t="s">
        <v>685</v>
      </c>
      <c r="P265" s="10"/>
      <c r="Q265" s="10"/>
      <c r="R265" s="10"/>
      <c r="S265" s="10"/>
      <c r="T265" s="10"/>
      <c r="U265" s="10"/>
      <c r="V265" s="10"/>
      <c r="W265" s="10"/>
      <c r="X265" s="10"/>
      <c r="Y265" s="10"/>
      <c r="Z265" s="10"/>
    </row>
    <row r="266" spans="1:26" ht="15">
      <c r="A266" s="11"/>
      <c r="B266" s="10" t="s">
        <v>686</v>
      </c>
      <c r="C266" s="10" t="s">
        <v>4017</v>
      </c>
      <c r="D266" s="10" t="s">
        <v>688</v>
      </c>
      <c r="E266" s="10" t="s">
        <v>688</v>
      </c>
      <c r="F266" s="10" t="s">
        <v>688</v>
      </c>
      <c r="G266" s="10" t="s">
        <v>688</v>
      </c>
      <c r="H266" s="10" t="s">
        <v>688</v>
      </c>
      <c r="I266" s="10" t="s">
        <v>688</v>
      </c>
      <c r="J266" s="10" t="s">
        <v>688</v>
      </c>
      <c r="K266" s="10" t="s">
        <v>688</v>
      </c>
      <c r="L266" s="10" t="s">
        <v>4018</v>
      </c>
      <c r="M266" s="10" t="s">
        <v>688</v>
      </c>
      <c r="N266" s="10" t="s">
        <v>707</v>
      </c>
      <c r="O266" s="10" t="s">
        <v>688</v>
      </c>
      <c r="P266" s="10"/>
      <c r="Q266" s="10"/>
      <c r="R266" s="10"/>
      <c r="S266" s="10"/>
      <c r="T266" s="10"/>
      <c r="U266" s="10"/>
      <c r="V266" s="10"/>
      <c r="W266" s="10"/>
      <c r="X266" s="10"/>
      <c r="Y266" s="10"/>
      <c r="Z266" s="10"/>
    </row>
    <row r="267" spans="1:26" ht="15">
      <c r="A267" s="9">
        <v>133</v>
      </c>
      <c r="B267" s="10" t="str">
        <f ca="1">IFERROR(__xludf.DUMMYFUNCTION((TRANSPOSE(ImportHTML("http://spending.data.al/sq/moneypower/view/id/133/year/2013",  "table", 0)))),"*Kategoria*")</f>
        <v>*Kategoria*</v>
      </c>
      <c r="C267" s="10" t="s">
        <v>673</v>
      </c>
      <c r="D267" s="10" t="s">
        <v>674</v>
      </c>
      <c r="E267" s="10" t="s">
        <v>675</v>
      </c>
      <c r="F267" s="10" t="s">
        <v>676</v>
      </c>
      <c r="G267" s="10" t="s">
        <v>677</v>
      </c>
      <c r="H267" s="10" t="s">
        <v>678</v>
      </c>
      <c r="I267" s="10" t="s">
        <v>679</v>
      </c>
      <c r="J267" s="10" t="s">
        <v>680</v>
      </c>
      <c r="K267" s="10" t="s">
        <v>681</v>
      </c>
      <c r="L267" s="10" t="s">
        <v>682</v>
      </c>
      <c r="M267" s="10" t="s">
        <v>683</v>
      </c>
      <c r="N267" s="10" t="s">
        <v>684</v>
      </c>
      <c r="O267" s="10" t="s">
        <v>685</v>
      </c>
      <c r="P267" s="10"/>
      <c r="Q267" s="10"/>
      <c r="R267" s="10"/>
      <c r="S267" s="10"/>
      <c r="T267" s="10"/>
      <c r="U267" s="10"/>
      <c r="V267" s="10"/>
      <c r="W267" s="10"/>
      <c r="X267" s="10"/>
      <c r="Y267" s="10"/>
      <c r="Z267" s="10"/>
    </row>
    <row r="268" spans="1:26" ht="15">
      <c r="A268" s="11"/>
      <c r="B268" s="10" t="s">
        <v>686</v>
      </c>
      <c r="C268" s="10" t="s">
        <v>4019</v>
      </c>
      <c r="D268" s="10" t="s">
        <v>688</v>
      </c>
      <c r="E268" s="10" t="s">
        <v>688</v>
      </c>
      <c r="F268" s="10" t="s">
        <v>688</v>
      </c>
      <c r="G268" s="10" t="s">
        <v>688</v>
      </c>
      <c r="H268" s="10" t="s">
        <v>688</v>
      </c>
      <c r="I268" s="10" t="s">
        <v>688</v>
      </c>
      <c r="J268" s="10" t="s">
        <v>688</v>
      </c>
      <c r="K268" s="10" t="s">
        <v>688</v>
      </c>
      <c r="L268" s="10" t="s">
        <v>4020</v>
      </c>
      <c r="M268" s="10" t="s">
        <v>4021</v>
      </c>
      <c r="N268" s="10" t="s">
        <v>707</v>
      </c>
      <c r="O268" s="10" t="s">
        <v>688</v>
      </c>
      <c r="P268" s="10"/>
      <c r="Q268" s="10"/>
      <c r="R268" s="10"/>
      <c r="S268" s="10"/>
      <c r="T268" s="10"/>
      <c r="U268" s="10"/>
      <c r="V268" s="10"/>
      <c r="W268" s="10"/>
      <c r="X268" s="10"/>
      <c r="Y268" s="10"/>
      <c r="Z268" s="10"/>
    </row>
    <row r="269" spans="1:26" ht="15">
      <c r="A269" s="9">
        <v>134</v>
      </c>
      <c r="B269" s="10" t="str">
        <f ca="1">IFERROR(__xludf.DUMMYFUNCTION((TRANSPOSE(ImportHTML("http://spending.data.al/sq/moneypower/view/id/134/year/2013",  "table", 0)))),"Loading...")</f>
        <v>Loading...</v>
      </c>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c r="A270" s="11"/>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c r="A271" s="11"/>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c r="A272" s="9">
        <v>135</v>
      </c>
      <c r="B272" s="10" t="str">
        <f ca="1">IFERROR(__xludf.DUMMYFUNCTION((TRANSPOSE(ImportHTML("http://spending.data.al/sq/moneypower/view/id/135/year/2013",  "table", 0)))),"Loading...")</f>
        <v>Loading...</v>
      </c>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c r="A273" s="11"/>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c r="A274" s="9">
        <v>136</v>
      </c>
      <c r="B274" s="10" t="str">
        <f ca="1">IFERROR(__xludf.DUMMYFUNCTION((TRANSPOSE(ImportHTML("http://spending.data.al/sq/moneypower/view/id/136/year/2013",  "table", 0)))),"*Kategoria*")</f>
        <v>*Kategoria*</v>
      </c>
      <c r="C274" s="10" t="s">
        <v>673</v>
      </c>
      <c r="D274" s="10" t="s">
        <v>674</v>
      </c>
      <c r="E274" s="10" t="s">
        <v>675</v>
      </c>
      <c r="F274" s="10" t="s">
        <v>676</v>
      </c>
      <c r="G274" s="10" t="s">
        <v>677</v>
      </c>
      <c r="H274" s="10" t="s">
        <v>678</v>
      </c>
      <c r="I274" s="10" t="s">
        <v>679</v>
      </c>
      <c r="J274" s="10" t="s">
        <v>680</v>
      </c>
      <c r="K274" s="10" t="s">
        <v>681</v>
      </c>
      <c r="L274" s="10" t="s">
        <v>682</v>
      </c>
      <c r="M274" s="10" t="s">
        <v>683</v>
      </c>
      <c r="N274" s="10" t="s">
        <v>684</v>
      </c>
      <c r="O274" s="10" t="s">
        <v>685</v>
      </c>
      <c r="P274" s="10"/>
      <c r="Q274" s="10"/>
      <c r="R274" s="10"/>
      <c r="S274" s="10"/>
      <c r="T274" s="10"/>
      <c r="U274" s="10"/>
      <c r="V274" s="10"/>
      <c r="W274" s="10"/>
      <c r="X274" s="10"/>
      <c r="Y274" s="10"/>
      <c r="Z274" s="10"/>
    </row>
    <row r="275" spans="1:26" ht="15">
      <c r="A275" s="11"/>
      <c r="B275" s="10" t="s">
        <v>686</v>
      </c>
      <c r="C275" s="10" t="s">
        <v>4022</v>
      </c>
      <c r="D275" s="10" t="s">
        <v>688</v>
      </c>
      <c r="E275" s="10" t="s">
        <v>688</v>
      </c>
      <c r="F275" s="10" t="s">
        <v>688</v>
      </c>
      <c r="G275" s="10" t="s">
        <v>4023</v>
      </c>
      <c r="H275" s="10" t="s">
        <v>688</v>
      </c>
      <c r="I275" s="10" t="s">
        <v>688</v>
      </c>
      <c r="J275" s="10" t="s">
        <v>688</v>
      </c>
      <c r="K275" s="10" t="s">
        <v>688</v>
      </c>
      <c r="L275" s="10" t="s">
        <v>4024</v>
      </c>
      <c r="M275" s="10" t="s">
        <v>688</v>
      </c>
      <c r="N275" s="10" t="s">
        <v>707</v>
      </c>
      <c r="O275" s="10" t="s">
        <v>688</v>
      </c>
      <c r="P275" s="10"/>
      <c r="Q275" s="10"/>
      <c r="R275" s="10"/>
      <c r="S275" s="10"/>
      <c r="T275" s="10"/>
      <c r="U275" s="10"/>
      <c r="V275" s="10"/>
      <c r="W275" s="10"/>
      <c r="X275" s="10"/>
      <c r="Y275" s="10"/>
      <c r="Z275" s="10"/>
    </row>
    <row r="276" spans="1:26" ht="15">
      <c r="A276" s="9">
        <v>137</v>
      </c>
      <c r="B276" s="10" t="str">
        <f ca="1">IFERROR(__xludf.DUMMYFUNCTION((TRANSPOSE(ImportHTML("http://spending.data.al/sq/moneypower/view/id/137/year/2013",  "table", 0)))),"*Kategoria*")</f>
        <v>*Kategoria*</v>
      </c>
      <c r="C276" s="10" t="s">
        <v>673</v>
      </c>
      <c r="D276" s="10" t="s">
        <v>674</v>
      </c>
      <c r="E276" s="10" t="s">
        <v>675</v>
      </c>
      <c r="F276" s="10" t="s">
        <v>676</v>
      </c>
      <c r="G276" s="10" t="s">
        <v>677</v>
      </c>
      <c r="H276" s="10" t="s">
        <v>678</v>
      </c>
      <c r="I276" s="10" t="s">
        <v>679</v>
      </c>
      <c r="J276" s="10" t="s">
        <v>680</v>
      </c>
      <c r="K276" s="10" t="s">
        <v>681</v>
      </c>
      <c r="L276" s="10" t="s">
        <v>682</v>
      </c>
      <c r="M276" s="10" t="s">
        <v>683</v>
      </c>
      <c r="N276" s="10" t="s">
        <v>684</v>
      </c>
      <c r="O276" s="10" t="s">
        <v>685</v>
      </c>
      <c r="P276" s="10"/>
      <c r="Q276" s="10"/>
      <c r="R276" s="10"/>
      <c r="S276" s="10"/>
      <c r="T276" s="10"/>
      <c r="U276" s="10"/>
      <c r="V276" s="10"/>
      <c r="W276" s="10"/>
      <c r="X276" s="10"/>
      <c r="Y276" s="10"/>
      <c r="Z276" s="10"/>
    </row>
    <row r="277" spans="1:26" ht="15">
      <c r="A277" s="11"/>
      <c r="B277" s="10" t="s">
        <v>686</v>
      </c>
      <c r="C277" s="10" t="s">
        <v>4025</v>
      </c>
      <c r="D277" s="10" t="s">
        <v>688</v>
      </c>
      <c r="E277" s="10" t="s">
        <v>688</v>
      </c>
      <c r="F277" s="10" t="s">
        <v>688</v>
      </c>
      <c r="G277" s="10" t="s">
        <v>688</v>
      </c>
      <c r="H277" s="10" t="s">
        <v>688</v>
      </c>
      <c r="I277" s="10" t="s">
        <v>688</v>
      </c>
      <c r="J277" s="10" t="s">
        <v>688</v>
      </c>
      <c r="K277" s="10" t="s">
        <v>688</v>
      </c>
      <c r="L277" s="10" t="s">
        <v>688</v>
      </c>
      <c r="M277" s="10" t="s">
        <v>688</v>
      </c>
      <c r="N277" s="10" t="s">
        <v>707</v>
      </c>
      <c r="O277" s="10" t="s">
        <v>688</v>
      </c>
      <c r="P277" s="10"/>
      <c r="Q277" s="10"/>
      <c r="R277" s="10"/>
      <c r="S277" s="10"/>
      <c r="T277" s="10"/>
      <c r="U277" s="10"/>
      <c r="V277" s="10"/>
      <c r="W277" s="10"/>
      <c r="X277" s="10"/>
      <c r="Y277" s="10"/>
      <c r="Z277" s="10"/>
    </row>
    <row r="278" spans="1:26" ht="15">
      <c r="A278" s="9">
        <v>138</v>
      </c>
      <c r="B278" s="10" t="str">
        <f ca="1">IFERROR(__xludf.DUMMYFUNCTION((TRANSPOSE(ImportHTML("http://spending.data.al/sq/moneypower/view/id/138/year/2013",  "table", 0)))),"*Kategoria*")</f>
        <v>*Kategoria*</v>
      </c>
      <c r="C278" s="10" t="s">
        <v>673</v>
      </c>
      <c r="D278" s="10" t="s">
        <v>674</v>
      </c>
      <c r="E278" s="10" t="s">
        <v>675</v>
      </c>
      <c r="F278" s="10" t="s">
        <v>676</v>
      </c>
      <c r="G278" s="10" t="s">
        <v>677</v>
      </c>
      <c r="H278" s="10" t="s">
        <v>678</v>
      </c>
      <c r="I278" s="10" t="s">
        <v>679</v>
      </c>
      <c r="J278" s="10" t="s">
        <v>680</v>
      </c>
      <c r="K278" s="10" t="s">
        <v>681</v>
      </c>
      <c r="L278" s="10" t="s">
        <v>682</v>
      </c>
      <c r="M278" s="10" t="s">
        <v>683</v>
      </c>
      <c r="N278" s="10" t="s">
        <v>684</v>
      </c>
      <c r="O278" s="10" t="s">
        <v>685</v>
      </c>
      <c r="P278" s="10"/>
      <c r="Q278" s="10"/>
      <c r="R278" s="10"/>
      <c r="S278" s="10"/>
      <c r="T278" s="10"/>
      <c r="U278" s="10"/>
      <c r="V278" s="10"/>
      <c r="W278" s="10"/>
      <c r="X278" s="10"/>
      <c r="Y278" s="10"/>
      <c r="Z278" s="10"/>
    </row>
    <row r="279" spans="1:26" ht="15">
      <c r="A279" s="11"/>
      <c r="B279" s="10" t="s">
        <v>686</v>
      </c>
      <c r="C279" s="10" t="s">
        <v>4026</v>
      </c>
      <c r="D279" s="10" t="s">
        <v>688</v>
      </c>
      <c r="E279" s="10" t="s">
        <v>688</v>
      </c>
      <c r="F279" s="10" t="s">
        <v>688</v>
      </c>
      <c r="G279" s="10" t="s">
        <v>688</v>
      </c>
      <c r="H279" s="10" t="s">
        <v>688</v>
      </c>
      <c r="I279" s="10" t="s">
        <v>688</v>
      </c>
      <c r="J279" s="10" t="s">
        <v>688</v>
      </c>
      <c r="K279" s="10" t="s">
        <v>688</v>
      </c>
      <c r="L279" s="10" t="s">
        <v>4027</v>
      </c>
      <c r="M279" s="10" t="s">
        <v>688</v>
      </c>
      <c r="N279" s="10" t="s">
        <v>707</v>
      </c>
      <c r="O279" s="10" t="s">
        <v>688</v>
      </c>
      <c r="P279" s="10"/>
      <c r="Q279" s="10"/>
      <c r="R279" s="10"/>
      <c r="S279" s="10"/>
      <c r="T279" s="10"/>
      <c r="U279" s="10"/>
      <c r="V279" s="10"/>
      <c r="W279" s="10"/>
      <c r="X279" s="10"/>
      <c r="Y279" s="10"/>
      <c r="Z279" s="10"/>
    </row>
    <row r="280" spans="1:26" ht="15">
      <c r="A280" s="9">
        <v>139</v>
      </c>
      <c r="B280" s="10" t="str">
        <f ca="1">IFERROR(__xludf.DUMMYFUNCTION((TRANSPOSE(ImportHTML("http://spending.data.al/sq/moneypower/view/id/139/year/2013",  "table", 0)))),"*Kategoria*")</f>
        <v>*Kategoria*</v>
      </c>
      <c r="C280" s="10" t="s">
        <v>673</v>
      </c>
      <c r="D280" s="10" t="s">
        <v>674</v>
      </c>
      <c r="E280" s="10" t="s">
        <v>675</v>
      </c>
      <c r="F280" s="10" t="s">
        <v>676</v>
      </c>
      <c r="G280" s="10" t="s">
        <v>677</v>
      </c>
      <c r="H280" s="10" t="s">
        <v>678</v>
      </c>
      <c r="I280" s="10" t="s">
        <v>679</v>
      </c>
      <c r="J280" s="10" t="s">
        <v>680</v>
      </c>
      <c r="K280" s="10" t="s">
        <v>681</v>
      </c>
      <c r="L280" s="10" t="s">
        <v>682</v>
      </c>
      <c r="M280" s="10" t="s">
        <v>683</v>
      </c>
      <c r="N280" s="10" t="s">
        <v>684</v>
      </c>
      <c r="O280" s="10" t="s">
        <v>685</v>
      </c>
      <c r="P280" s="10"/>
      <c r="Q280" s="10"/>
      <c r="R280" s="10"/>
      <c r="S280" s="10"/>
      <c r="T280" s="10"/>
      <c r="U280" s="10"/>
      <c r="V280" s="10"/>
      <c r="W280" s="10"/>
      <c r="X280" s="10"/>
      <c r="Y280" s="10"/>
      <c r="Z280" s="10"/>
    </row>
    <row r="281" spans="1:26" ht="15">
      <c r="A281" s="11"/>
      <c r="B281" s="10" t="s">
        <v>686</v>
      </c>
      <c r="C281" s="10" t="s">
        <v>4028</v>
      </c>
      <c r="D281" s="10" t="s">
        <v>688</v>
      </c>
      <c r="E281" s="10" t="s">
        <v>688</v>
      </c>
      <c r="F281" s="10" t="s">
        <v>688</v>
      </c>
      <c r="G281" s="10" t="s">
        <v>688</v>
      </c>
      <c r="H281" s="10" t="s">
        <v>688</v>
      </c>
      <c r="I281" s="10" t="s">
        <v>688</v>
      </c>
      <c r="J281" s="10" t="s">
        <v>688</v>
      </c>
      <c r="K281" s="10" t="s">
        <v>688</v>
      </c>
      <c r="L281" s="10" t="s">
        <v>688</v>
      </c>
      <c r="M281" s="10" t="s">
        <v>688</v>
      </c>
      <c r="N281" s="10" t="s">
        <v>707</v>
      </c>
      <c r="O281" s="10" t="s">
        <v>688</v>
      </c>
      <c r="P281" s="10"/>
      <c r="Q281" s="10"/>
      <c r="R281" s="10"/>
      <c r="S281" s="10"/>
      <c r="T281" s="10"/>
      <c r="U281" s="10"/>
      <c r="V281" s="10"/>
      <c r="W281" s="10"/>
      <c r="X281" s="10"/>
      <c r="Y281" s="10"/>
      <c r="Z281" s="10"/>
    </row>
    <row r="282" spans="1:26" ht="15">
      <c r="A282" s="9">
        <v>140</v>
      </c>
      <c r="B282" s="10" t="str">
        <f ca="1">IFERROR(__xludf.DUMMYFUNCTION((TRANSPOSE(ImportHTML("http://spending.data.al/sq/moneypower/view/id/140/year/2013",  "table", 0)))),"*Kategoria*")</f>
        <v>*Kategoria*</v>
      </c>
      <c r="C282" s="10" t="s">
        <v>673</v>
      </c>
      <c r="D282" s="10" t="s">
        <v>674</v>
      </c>
      <c r="E282" s="10" t="s">
        <v>675</v>
      </c>
      <c r="F282" s="10" t="s">
        <v>676</v>
      </c>
      <c r="G282" s="10" t="s">
        <v>677</v>
      </c>
      <c r="H282" s="10" t="s">
        <v>678</v>
      </c>
      <c r="I282" s="10" t="s">
        <v>679</v>
      </c>
      <c r="J282" s="10" t="s">
        <v>680</v>
      </c>
      <c r="K282" s="10" t="s">
        <v>681</v>
      </c>
      <c r="L282" s="10" t="s">
        <v>682</v>
      </c>
      <c r="M282" s="10" t="s">
        <v>683</v>
      </c>
      <c r="N282" s="10" t="s">
        <v>684</v>
      </c>
      <c r="O282" s="10" t="s">
        <v>685</v>
      </c>
      <c r="P282" s="10"/>
      <c r="Q282" s="10"/>
      <c r="R282" s="10"/>
      <c r="S282" s="10"/>
      <c r="T282" s="10"/>
      <c r="U282" s="10"/>
      <c r="V282" s="10"/>
      <c r="W282" s="10"/>
      <c r="X282" s="10"/>
      <c r="Y282" s="10"/>
      <c r="Z282" s="10"/>
    </row>
    <row r="283" spans="1:26" ht="15">
      <c r="A283" s="11"/>
      <c r="B283" s="10" t="s">
        <v>686</v>
      </c>
      <c r="C283" s="10" t="s">
        <v>4029</v>
      </c>
      <c r="D283" s="10" t="s">
        <v>688</v>
      </c>
      <c r="E283" s="10" t="s">
        <v>688</v>
      </c>
      <c r="F283" s="10" t="s">
        <v>688</v>
      </c>
      <c r="G283" s="10" t="s">
        <v>4030</v>
      </c>
      <c r="H283" s="10" t="s">
        <v>688</v>
      </c>
      <c r="I283" s="10" t="s">
        <v>688</v>
      </c>
      <c r="J283" s="10" t="s">
        <v>688</v>
      </c>
      <c r="K283" s="10" t="s">
        <v>688</v>
      </c>
      <c r="L283" s="10" t="s">
        <v>688</v>
      </c>
      <c r="M283" s="10" t="s">
        <v>688</v>
      </c>
      <c r="N283" s="10" t="s">
        <v>707</v>
      </c>
      <c r="O283" s="10" t="s">
        <v>4031</v>
      </c>
      <c r="P283" s="10"/>
      <c r="Q283" s="10"/>
      <c r="R283" s="10"/>
      <c r="S283" s="10"/>
      <c r="T283" s="10"/>
      <c r="U283" s="10"/>
      <c r="V283" s="10"/>
      <c r="W283" s="10"/>
      <c r="X283" s="10"/>
      <c r="Y283" s="10"/>
      <c r="Z283" s="10"/>
    </row>
    <row r="284" spans="1:26" ht="15">
      <c r="A284" s="9">
        <v>141</v>
      </c>
      <c r="B284" s="10" t="str">
        <f ca="1">IFERROR(__xludf.DUMMYFUNCTION((TRANSPOSE(ImportHTML("http://spending.data.al/sq/moneypower/view/id/141/year/2013",  "table", 0)))),"*Kategoria*")</f>
        <v>*Kategoria*</v>
      </c>
      <c r="C284" s="10" t="s">
        <v>673</v>
      </c>
      <c r="D284" s="10" t="s">
        <v>674</v>
      </c>
      <c r="E284" s="10" t="s">
        <v>675</v>
      </c>
      <c r="F284" s="10" t="s">
        <v>676</v>
      </c>
      <c r="G284" s="10" t="s">
        <v>677</v>
      </c>
      <c r="H284" s="10" t="s">
        <v>678</v>
      </c>
      <c r="I284" s="10" t="s">
        <v>679</v>
      </c>
      <c r="J284" s="10" t="s">
        <v>680</v>
      </c>
      <c r="K284" s="10" t="s">
        <v>681</v>
      </c>
      <c r="L284" s="10" t="s">
        <v>682</v>
      </c>
      <c r="M284" s="10" t="s">
        <v>683</v>
      </c>
      <c r="N284" s="10" t="s">
        <v>684</v>
      </c>
      <c r="O284" s="10" t="s">
        <v>685</v>
      </c>
      <c r="P284" s="10"/>
      <c r="Q284" s="10"/>
      <c r="R284" s="10"/>
      <c r="S284" s="10"/>
      <c r="T284" s="10"/>
      <c r="U284" s="10"/>
      <c r="V284" s="10"/>
      <c r="W284" s="10"/>
      <c r="X284" s="10"/>
      <c r="Y284" s="10"/>
      <c r="Z284" s="10"/>
    </row>
    <row r="285" spans="1:26" ht="15">
      <c r="A285" s="11"/>
      <c r="B285" s="10" t="s">
        <v>686</v>
      </c>
      <c r="C285" s="10" t="s">
        <v>1232</v>
      </c>
      <c r="D285" s="10" t="s">
        <v>688</v>
      </c>
      <c r="E285" s="10" t="s">
        <v>688</v>
      </c>
      <c r="F285" s="10" t="s">
        <v>688</v>
      </c>
      <c r="G285" s="10" t="s">
        <v>688</v>
      </c>
      <c r="H285" s="10" t="s">
        <v>688</v>
      </c>
      <c r="I285" s="10" t="s">
        <v>688</v>
      </c>
      <c r="J285" s="10" t="s">
        <v>688</v>
      </c>
      <c r="K285" s="10" t="s">
        <v>688</v>
      </c>
      <c r="L285" s="10" t="s">
        <v>688</v>
      </c>
      <c r="M285" s="10" t="s">
        <v>688</v>
      </c>
      <c r="N285" s="10"/>
      <c r="O285" s="10" t="s">
        <v>1233</v>
      </c>
      <c r="P285" s="10"/>
      <c r="Q285" s="10"/>
      <c r="R285" s="10"/>
      <c r="S285" s="10"/>
      <c r="T285" s="10"/>
      <c r="U285" s="10"/>
      <c r="V285" s="10"/>
      <c r="W285" s="10"/>
      <c r="X285" s="10"/>
      <c r="Y285" s="10"/>
      <c r="Z285" s="10"/>
    </row>
    <row r="286" spans="1:26" ht="15">
      <c r="A286" s="9">
        <v>142</v>
      </c>
      <c r="B286" s="10" t="str">
        <f ca="1">IFERROR(__xludf.DUMMYFUNCTION((TRANSPOSE(ImportHTML("http://spending.data.al/sq/moneypower/view/id/142/year/2013",  "table", 0)))),"*Kategoria*")</f>
        <v>*Kategoria*</v>
      </c>
      <c r="C286" s="10" t="s">
        <v>673</v>
      </c>
      <c r="D286" s="10" t="s">
        <v>674</v>
      </c>
      <c r="E286" s="10" t="s">
        <v>675</v>
      </c>
      <c r="F286" s="10" t="s">
        <v>676</v>
      </c>
      <c r="G286" s="10" t="s">
        <v>677</v>
      </c>
      <c r="H286" s="10" t="s">
        <v>678</v>
      </c>
      <c r="I286" s="10" t="s">
        <v>679</v>
      </c>
      <c r="J286" s="10" t="s">
        <v>680</v>
      </c>
      <c r="K286" s="10" t="s">
        <v>681</v>
      </c>
      <c r="L286" s="10" t="s">
        <v>682</v>
      </c>
      <c r="M286" s="10" t="s">
        <v>683</v>
      </c>
      <c r="N286" s="10" t="s">
        <v>684</v>
      </c>
      <c r="O286" s="10" t="s">
        <v>685</v>
      </c>
      <c r="P286" s="10"/>
      <c r="Q286" s="10"/>
      <c r="R286" s="10"/>
      <c r="S286" s="10"/>
      <c r="T286" s="10"/>
      <c r="U286" s="10"/>
      <c r="V286" s="10"/>
      <c r="W286" s="10"/>
      <c r="X286" s="10"/>
      <c r="Y286" s="10"/>
      <c r="Z286" s="10"/>
    </row>
    <row r="287" spans="1:26" ht="15">
      <c r="A287" s="11"/>
      <c r="B287" s="10" t="s">
        <v>686</v>
      </c>
      <c r="C287" s="10" t="s">
        <v>4032</v>
      </c>
      <c r="D287" s="10" t="s">
        <v>688</v>
      </c>
      <c r="E287" s="10" t="s">
        <v>688</v>
      </c>
      <c r="F287" s="10" t="s">
        <v>688</v>
      </c>
      <c r="G287" s="10" t="s">
        <v>688</v>
      </c>
      <c r="H287" s="10" t="s">
        <v>688</v>
      </c>
      <c r="I287" s="10" t="s">
        <v>688</v>
      </c>
      <c r="J287" s="10" t="s">
        <v>688</v>
      </c>
      <c r="K287" s="10" t="s">
        <v>688</v>
      </c>
      <c r="L287" s="10" t="s">
        <v>4033</v>
      </c>
      <c r="M287" s="10" t="s">
        <v>688</v>
      </c>
      <c r="N287" s="10" t="s">
        <v>707</v>
      </c>
      <c r="O287" s="10" t="s">
        <v>4034</v>
      </c>
      <c r="P287" s="10"/>
      <c r="Q287" s="10"/>
      <c r="R287" s="10"/>
      <c r="S287" s="10"/>
      <c r="T287" s="10"/>
      <c r="U287" s="10"/>
      <c r="V287" s="10"/>
      <c r="W287" s="10"/>
      <c r="X287" s="10"/>
      <c r="Y287" s="10"/>
      <c r="Z287" s="10"/>
    </row>
    <row r="288" spans="1:26" ht="15">
      <c r="A288" s="9">
        <v>143</v>
      </c>
      <c r="B288" s="10" t="str">
        <f ca="1">IFERROR(__xludf.DUMMYFUNCTION((TRANSPOSE(ImportHTML("http://spending.data.al/sq/moneypower/view/id/143/year/2013",  "table", 0)))),"*Kategoria*")</f>
        <v>*Kategoria*</v>
      </c>
      <c r="C288" s="10" t="s">
        <v>673</v>
      </c>
      <c r="D288" s="10" t="s">
        <v>674</v>
      </c>
      <c r="E288" s="10" t="s">
        <v>675</v>
      </c>
      <c r="F288" s="10" t="s">
        <v>676</v>
      </c>
      <c r="G288" s="10" t="s">
        <v>677</v>
      </c>
      <c r="H288" s="10" t="s">
        <v>678</v>
      </c>
      <c r="I288" s="10" t="s">
        <v>679</v>
      </c>
      <c r="J288" s="10" t="s">
        <v>680</v>
      </c>
      <c r="K288" s="10" t="s">
        <v>681</v>
      </c>
      <c r="L288" s="10" t="s">
        <v>682</v>
      </c>
      <c r="M288" s="10" t="s">
        <v>683</v>
      </c>
      <c r="N288" s="10" t="s">
        <v>684</v>
      </c>
      <c r="O288" s="10" t="s">
        <v>685</v>
      </c>
      <c r="P288" s="10"/>
      <c r="Q288" s="10"/>
      <c r="R288" s="10"/>
      <c r="S288" s="10"/>
      <c r="T288" s="10"/>
      <c r="U288" s="10"/>
      <c r="V288" s="10"/>
      <c r="W288" s="10"/>
      <c r="X288" s="10"/>
      <c r="Y288" s="10"/>
      <c r="Z288" s="10"/>
    </row>
    <row r="289" spans="1:26" ht="15">
      <c r="A289" s="11"/>
      <c r="B289" s="10" t="s">
        <v>686</v>
      </c>
      <c r="C289" s="10" t="s">
        <v>4035</v>
      </c>
      <c r="D289" s="10" t="s">
        <v>688</v>
      </c>
      <c r="E289" s="10" t="s">
        <v>688</v>
      </c>
      <c r="F289" s="10" t="s">
        <v>4036</v>
      </c>
      <c r="G289" s="10" t="s">
        <v>4037</v>
      </c>
      <c r="H289" s="10" t="s">
        <v>688</v>
      </c>
      <c r="I289" s="10" t="s">
        <v>688</v>
      </c>
      <c r="J289" s="10" t="s">
        <v>688</v>
      </c>
      <c r="K289" s="10" t="s">
        <v>688</v>
      </c>
      <c r="L289" s="10" t="s">
        <v>4038</v>
      </c>
      <c r="M289" s="10" t="s">
        <v>688</v>
      </c>
      <c r="N289" s="10" t="s">
        <v>707</v>
      </c>
      <c r="O289" s="10" t="s">
        <v>4039</v>
      </c>
      <c r="P289" s="10"/>
      <c r="Q289" s="10"/>
      <c r="R289" s="10"/>
      <c r="S289" s="10"/>
      <c r="T289" s="10"/>
      <c r="U289" s="10"/>
      <c r="V289" s="10"/>
      <c r="W289" s="10"/>
      <c r="X289" s="10"/>
      <c r="Y289" s="10"/>
      <c r="Z289" s="10"/>
    </row>
    <row r="290" spans="1:26" ht="15">
      <c r="A290" s="9">
        <v>144</v>
      </c>
      <c r="B290" s="10" t="str">
        <f ca="1">IFERROR(__xludf.DUMMYFUNCTION((TRANSPOSE(ImportHTML("http://spending.data.al/sq/moneypower/view/id/144/year/2013",  "table", 0)))),"*Kategoria*")</f>
        <v>*Kategoria*</v>
      </c>
      <c r="C290" s="10" t="s">
        <v>673</v>
      </c>
      <c r="D290" s="10" t="s">
        <v>674</v>
      </c>
      <c r="E290" s="10" t="s">
        <v>675</v>
      </c>
      <c r="F290" s="10" t="s">
        <v>676</v>
      </c>
      <c r="G290" s="10" t="s">
        <v>677</v>
      </c>
      <c r="H290" s="10" t="s">
        <v>678</v>
      </c>
      <c r="I290" s="10" t="s">
        <v>679</v>
      </c>
      <c r="J290" s="10" t="s">
        <v>680</v>
      </c>
      <c r="K290" s="10" t="s">
        <v>681</v>
      </c>
      <c r="L290" s="10" t="s">
        <v>682</v>
      </c>
      <c r="M290" s="10" t="s">
        <v>683</v>
      </c>
      <c r="N290" s="10" t="s">
        <v>684</v>
      </c>
      <c r="O290" s="10" t="s">
        <v>685</v>
      </c>
      <c r="P290" s="10"/>
      <c r="Q290" s="10"/>
      <c r="R290" s="10"/>
      <c r="S290" s="10"/>
      <c r="T290" s="10"/>
      <c r="U290" s="10"/>
      <c r="V290" s="10"/>
      <c r="W290" s="10"/>
      <c r="X290" s="10"/>
      <c r="Y290" s="10"/>
      <c r="Z290" s="10"/>
    </row>
    <row r="291" spans="1:26" ht="15">
      <c r="A291" s="11"/>
      <c r="B291" s="10" t="s">
        <v>686</v>
      </c>
      <c r="C291" s="10" t="s">
        <v>4040</v>
      </c>
      <c r="D291" s="10" t="s">
        <v>688</v>
      </c>
      <c r="E291" s="10" t="s">
        <v>688</v>
      </c>
      <c r="F291" s="10" t="s">
        <v>4041</v>
      </c>
      <c r="G291" s="10" t="s">
        <v>3333</v>
      </c>
      <c r="H291" s="10" t="s">
        <v>688</v>
      </c>
      <c r="I291" s="10" t="s">
        <v>688</v>
      </c>
      <c r="J291" s="10" t="s">
        <v>688</v>
      </c>
      <c r="K291" s="10" t="s">
        <v>688</v>
      </c>
      <c r="L291" s="10" t="s">
        <v>4042</v>
      </c>
      <c r="M291" s="10" t="s">
        <v>688</v>
      </c>
      <c r="N291" s="10" t="s">
        <v>707</v>
      </c>
      <c r="O291" s="10" t="s">
        <v>4043</v>
      </c>
      <c r="P291" s="10"/>
      <c r="Q291" s="10"/>
      <c r="R291" s="10"/>
      <c r="S291" s="10"/>
      <c r="T291" s="10"/>
      <c r="U291" s="10"/>
      <c r="V291" s="10"/>
      <c r="W291" s="10"/>
      <c r="X291" s="10"/>
      <c r="Y291" s="10"/>
      <c r="Z291" s="10"/>
    </row>
    <row r="292" spans="1:26" ht="15">
      <c r="A292" s="9">
        <v>145</v>
      </c>
      <c r="B292" s="10" t="str">
        <f ca="1">IFERROR(__xludf.DUMMYFUNCTION((TRANSPOSE(ImportHTML("http://spending.data.al/sq/moneypower/view/id/145/year/2013",  "table", 0)))),"*Kategoria*")</f>
        <v>*Kategoria*</v>
      </c>
      <c r="C292" s="10" t="s">
        <v>673</v>
      </c>
      <c r="D292" s="10" t="s">
        <v>674</v>
      </c>
      <c r="E292" s="10" t="s">
        <v>675</v>
      </c>
      <c r="F292" s="10" t="s">
        <v>676</v>
      </c>
      <c r="G292" s="10" t="s">
        <v>677</v>
      </c>
      <c r="H292" s="10" t="s">
        <v>678</v>
      </c>
      <c r="I292" s="10" t="s">
        <v>679</v>
      </c>
      <c r="J292" s="10" t="s">
        <v>680</v>
      </c>
      <c r="K292" s="10" t="s">
        <v>681</v>
      </c>
      <c r="L292" s="10" t="s">
        <v>682</v>
      </c>
      <c r="M292" s="10" t="s">
        <v>683</v>
      </c>
      <c r="N292" s="10" t="s">
        <v>684</v>
      </c>
      <c r="O292" s="10" t="s">
        <v>685</v>
      </c>
      <c r="P292" s="10"/>
      <c r="Q292" s="10"/>
      <c r="R292" s="10"/>
      <c r="S292" s="10"/>
      <c r="T292" s="10"/>
      <c r="U292" s="10"/>
      <c r="V292" s="10"/>
      <c r="W292" s="10"/>
      <c r="X292" s="10"/>
      <c r="Y292" s="10"/>
      <c r="Z292" s="10"/>
    </row>
    <row r="293" spans="1:26" ht="15">
      <c r="A293" s="11"/>
      <c r="B293" s="10" t="s">
        <v>686</v>
      </c>
      <c r="C293" s="10" t="s">
        <v>4044</v>
      </c>
      <c r="D293" s="10" t="s">
        <v>688</v>
      </c>
      <c r="E293" s="10" t="s">
        <v>688</v>
      </c>
      <c r="F293" s="10" t="s">
        <v>4045</v>
      </c>
      <c r="G293" s="10" t="s">
        <v>3337</v>
      </c>
      <c r="H293" s="10" t="s">
        <v>688</v>
      </c>
      <c r="I293" s="10" t="s">
        <v>688</v>
      </c>
      <c r="J293" s="10" t="s">
        <v>688</v>
      </c>
      <c r="K293" s="10" t="s">
        <v>688</v>
      </c>
      <c r="L293" s="10" t="s">
        <v>4046</v>
      </c>
      <c r="M293" s="10" t="s">
        <v>688</v>
      </c>
      <c r="N293" s="10" t="s">
        <v>707</v>
      </c>
      <c r="O293" s="10" t="s">
        <v>688</v>
      </c>
      <c r="P293" s="10"/>
      <c r="Q293" s="10"/>
      <c r="R293" s="10"/>
      <c r="S293" s="10"/>
      <c r="T293" s="10"/>
      <c r="U293" s="10"/>
      <c r="V293" s="10"/>
      <c r="W293" s="10"/>
      <c r="X293" s="10"/>
      <c r="Y293" s="10"/>
      <c r="Z293" s="10"/>
    </row>
    <row r="294" spans="1:26" ht="15">
      <c r="A294" s="9">
        <v>146</v>
      </c>
      <c r="B294" s="10" t="str">
        <f ca="1">IFERROR(__xludf.DUMMYFUNCTION((TRANSPOSE(ImportHTML("http://spending.data.al/sq/moneypower/view/id/146/year/2013",  "table", 0)))),"*Kategoria*")</f>
        <v>*Kategoria*</v>
      </c>
      <c r="C294" s="10" t="s">
        <v>673</v>
      </c>
      <c r="D294" s="10" t="s">
        <v>674</v>
      </c>
      <c r="E294" s="10" t="s">
        <v>675</v>
      </c>
      <c r="F294" s="10" t="s">
        <v>676</v>
      </c>
      <c r="G294" s="10" t="s">
        <v>677</v>
      </c>
      <c r="H294" s="10" t="s">
        <v>678</v>
      </c>
      <c r="I294" s="10" t="s">
        <v>679</v>
      </c>
      <c r="J294" s="10" t="s">
        <v>680</v>
      </c>
      <c r="K294" s="10" t="s">
        <v>681</v>
      </c>
      <c r="L294" s="10" t="s">
        <v>682</v>
      </c>
      <c r="M294" s="10" t="s">
        <v>683</v>
      </c>
      <c r="N294" s="10" t="s">
        <v>684</v>
      </c>
      <c r="O294" s="10" t="s">
        <v>685</v>
      </c>
      <c r="P294" s="10"/>
      <c r="Q294" s="10"/>
      <c r="R294" s="10"/>
      <c r="S294" s="10"/>
      <c r="T294" s="10"/>
      <c r="U294" s="10"/>
      <c r="V294" s="10"/>
      <c r="W294" s="10"/>
      <c r="X294" s="10"/>
      <c r="Y294" s="10"/>
      <c r="Z294" s="10"/>
    </row>
    <row r="295" spans="1:26" ht="15">
      <c r="A295" s="11"/>
      <c r="B295" s="10" t="s">
        <v>686</v>
      </c>
      <c r="C295" s="10" t="s">
        <v>4047</v>
      </c>
      <c r="D295" s="10" t="s">
        <v>688</v>
      </c>
      <c r="E295" s="10" t="s">
        <v>688</v>
      </c>
      <c r="F295" s="10" t="s">
        <v>688</v>
      </c>
      <c r="G295" s="10" t="s">
        <v>688</v>
      </c>
      <c r="H295" s="10" t="s">
        <v>688</v>
      </c>
      <c r="I295" s="10" t="s">
        <v>688</v>
      </c>
      <c r="J295" s="10" t="s">
        <v>688</v>
      </c>
      <c r="K295" s="10" t="s">
        <v>688</v>
      </c>
      <c r="L295" s="10" t="s">
        <v>4048</v>
      </c>
      <c r="M295" s="10" t="s">
        <v>688</v>
      </c>
      <c r="N295" s="10" t="s">
        <v>707</v>
      </c>
      <c r="O295" s="10" t="s">
        <v>4049</v>
      </c>
      <c r="P295" s="10"/>
      <c r="Q295" s="10"/>
      <c r="R295" s="10"/>
      <c r="S295" s="10"/>
      <c r="T295" s="10"/>
      <c r="U295" s="10"/>
      <c r="V295" s="10"/>
      <c r="W295" s="10"/>
      <c r="X295" s="10"/>
      <c r="Y295" s="10"/>
      <c r="Z295" s="10"/>
    </row>
    <row r="296" spans="1:26" ht="15">
      <c r="A296" s="9">
        <v>147</v>
      </c>
      <c r="B296" s="10" t="str">
        <f ca="1">IFERROR(__xludf.DUMMYFUNCTION((TRANSPOSE(ImportHTML("http://spending.data.al/sq/moneypower/view/id/147/year/2013",  "table", 0)))),"*Kategoria*")</f>
        <v>*Kategoria*</v>
      </c>
      <c r="C296" s="10" t="s">
        <v>673</v>
      </c>
      <c r="D296" s="10" t="s">
        <v>674</v>
      </c>
      <c r="E296" s="10" t="s">
        <v>675</v>
      </c>
      <c r="F296" s="10" t="s">
        <v>676</v>
      </c>
      <c r="G296" s="10" t="s">
        <v>677</v>
      </c>
      <c r="H296" s="10" t="s">
        <v>678</v>
      </c>
      <c r="I296" s="10" t="s">
        <v>679</v>
      </c>
      <c r="J296" s="10" t="s">
        <v>680</v>
      </c>
      <c r="K296" s="10" t="s">
        <v>681</v>
      </c>
      <c r="L296" s="10" t="s">
        <v>682</v>
      </c>
      <c r="M296" s="10" t="s">
        <v>683</v>
      </c>
      <c r="N296" s="10" t="s">
        <v>684</v>
      </c>
      <c r="O296" s="10" t="s">
        <v>685</v>
      </c>
      <c r="P296" s="10"/>
      <c r="Q296" s="10"/>
      <c r="R296" s="10"/>
      <c r="S296" s="10"/>
      <c r="T296" s="10"/>
      <c r="U296" s="10"/>
      <c r="V296" s="10"/>
      <c r="W296" s="10"/>
      <c r="X296" s="10"/>
      <c r="Y296" s="10"/>
      <c r="Z296" s="10"/>
    </row>
    <row r="297" spans="1:26" ht="15">
      <c r="A297" s="11"/>
      <c r="B297" s="10" t="s">
        <v>686</v>
      </c>
      <c r="C297" s="10" t="s">
        <v>4050</v>
      </c>
      <c r="D297" s="10" t="s">
        <v>688</v>
      </c>
      <c r="E297" s="10" t="s">
        <v>688</v>
      </c>
      <c r="F297" s="10" t="s">
        <v>4051</v>
      </c>
      <c r="G297" s="10" t="s">
        <v>688</v>
      </c>
      <c r="H297" s="10" t="s">
        <v>688</v>
      </c>
      <c r="I297" s="10" t="s">
        <v>688</v>
      </c>
      <c r="J297" s="10" t="s">
        <v>688</v>
      </c>
      <c r="K297" s="10" t="s">
        <v>688</v>
      </c>
      <c r="L297" s="10" t="s">
        <v>4052</v>
      </c>
      <c r="M297" s="10" t="s">
        <v>688</v>
      </c>
      <c r="N297" s="10" t="s">
        <v>707</v>
      </c>
      <c r="O297" s="10" t="s">
        <v>688</v>
      </c>
      <c r="P297" s="10"/>
      <c r="Q297" s="10"/>
      <c r="R297" s="10"/>
      <c r="S297" s="10"/>
      <c r="T297" s="10"/>
      <c r="U297" s="10"/>
      <c r="V297" s="10"/>
      <c r="W297" s="10"/>
      <c r="X297" s="10"/>
      <c r="Y297" s="10"/>
      <c r="Z297" s="10"/>
    </row>
    <row r="298" spans="1:26" ht="15">
      <c r="A298" s="9">
        <v>148</v>
      </c>
      <c r="B298" s="10" t="str">
        <f ca="1">IFERROR(__xludf.DUMMYFUNCTION((TRANSPOSE(ImportHTML("http://spending.data.al/sq/moneypower/view/id/148/year/2013",  "table", 0)))),"*Kategoria*")</f>
        <v>*Kategoria*</v>
      </c>
      <c r="C298" s="10" t="s">
        <v>673</v>
      </c>
      <c r="D298" s="10" t="s">
        <v>674</v>
      </c>
      <c r="E298" s="10" t="s">
        <v>675</v>
      </c>
      <c r="F298" s="10" t="s">
        <v>676</v>
      </c>
      <c r="G298" s="10" t="s">
        <v>677</v>
      </c>
      <c r="H298" s="10" t="s">
        <v>678</v>
      </c>
      <c r="I298" s="10" t="s">
        <v>679</v>
      </c>
      <c r="J298" s="10" t="s">
        <v>680</v>
      </c>
      <c r="K298" s="10" t="s">
        <v>681</v>
      </c>
      <c r="L298" s="10" t="s">
        <v>682</v>
      </c>
      <c r="M298" s="10" t="s">
        <v>683</v>
      </c>
      <c r="N298" s="10" t="s">
        <v>684</v>
      </c>
      <c r="O298" s="10" t="s">
        <v>685</v>
      </c>
      <c r="P298" s="10"/>
      <c r="Q298" s="10"/>
      <c r="R298" s="10"/>
      <c r="S298" s="10"/>
      <c r="T298" s="10"/>
      <c r="U298" s="10"/>
      <c r="V298" s="10"/>
      <c r="W298" s="10"/>
      <c r="X298" s="10"/>
      <c r="Y298" s="10"/>
      <c r="Z298" s="10"/>
    </row>
    <row r="299" spans="1:26" ht="15">
      <c r="A299" s="11"/>
      <c r="B299" s="10" t="s">
        <v>686</v>
      </c>
      <c r="C299" s="10" t="s">
        <v>4053</v>
      </c>
      <c r="D299" s="10" t="s">
        <v>688</v>
      </c>
      <c r="E299" s="10" t="s">
        <v>688</v>
      </c>
      <c r="F299" s="10" t="s">
        <v>688</v>
      </c>
      <c r="G299" s="10" t="s">
        <v>688</v>
      </c>
      <c r="H299" s="10" t="s">
        <v>688</v>
      </c>
      <c r="I299" s="10" t="s">
        <v>688</v>
      </c>
      <c r="J299" s="10" t="s">
        <v>688</v>
      </c>
      <c r="K299" s="10" t="s">
        <v>688</v>
      </c>
      <c r="L299" s="10" t="s">
        <v>4054</v>
      </c>
      <c r="M299" s="10" t="s">
        <v>4055</v>
      </c>
      <c r="N299" s="10" t="s">
        <v>707</v>
      </c>
      <c r="O299" s="10" t="s">
        <v>688</v>
      </c>
      <c r="P299" s="10"/>
      <c r="Q299" s="10"/>
      <c r="R299" s="10"/>
      <c r="S299" s="10"/>
      <c r="T299" s="10"/>
      <c r="U299" s="10"/>
      <c r="V299" s="10"/>
      <c r="W299" s="10"/>
      <c r="X299" s="10"/>
      <c r="Y299" s="10"/>
      <c r="Z299" s="10"/>
    </row>
    <row r="300" spans="1:26" ht="15">
      <c r="A300" s="9">
        <v>149</v>
      </c>
      <c r="B300" s="10" t="str">
        <f ca="1">IFERROR(__xludf.DUMMYFUNCTION((TRANSPOSE(ImportHTML("http://spending.data.al/sq/moneypower/view/id/149/year/2013",  "table", 0)))),"*Kategoria*")</f>
        <v>*Kategoria*</v>
      </c>
      <c r="C300" s="10" t="s">
        <v>673</v>
      </c>
      <c r="D300" s="10" t="s">
        <v>674</v>
      </c>
      <c r="E300" s="10" t="s">
        <v>675</v>
      </c>
      <c r="F300" s="10" t="s">
        <v>676</v>
      </c>
      <c r="G300" s="10" t="s">
        <v>677</v>
      </c>
      <c r="H300" s="10" t="s">
        <v>678</v>
      </c>
      <c r="I300" s="10" t="s">
        <v>679</v>
      </c>
      <c r="J300" s="10" t="s">
        <v>680</v>
      </c>
      <c r="K300" s="10" t="s">
        <v>681</v>
      </c>
      <c r="L300" s="10" t="s">
        <v>682</v>
      </c>
      <c r="M300" s="10" t="s">
        <v>683</v>
      </c>
      <c r="N300" s="10" t="s">
        <v>684</v>
      </c>
      <c r="O300" s="10" t="s">
        <v>685</v>
      </c>
      <c r="P300" s="10"/>
      <c r="Q300" s="10"/>
      <c r="R300" s="10"/>
      <c r="S300" s="10"/>
      <c r="T300" s="10"/>
      <c r="U300" s="10"/>
      <c r="V300" s="10"/>
      <c r="W300" s="10"/>
      <c r="X300" s="10"/>
      <c r="Y300" s="10"/>
      <c r="Z300" s="10"/>
    </row>
    <row r="301" spans="1:26" ht="15">
      <c r="A301" s="11"/>
      <c r="B301" s="10" t="s">
        <v>686</v>
      </c>
      <c r="C301" s="10" t="s">
        <v>1263</v>
      </c>
      <c r="D301" s="10" t="s">
        <v>688</v>
      </c>
      <c r="E301" s="10" t="s">
        <v>688</v>
      </c>
      <c r="F301" s="10" t="s">
        <v>1264</v>
      </c>
      <c r="G301" s="10" t="s">
        <v>688</v>
      </c>
      <c r="H301" s="10" t="s">
        <v>688</v>
      </c>
      <c r="I301" s="10" t="s">
        <v>688</v>
      </c>
      <c r="J301" s="10" t="s">
        <v>688</v>
      </c>
      <c r="K301" s="10" t="s">
        <v>688</v>
      </c>
      <c r="L301" s="10" t="s">
        <v>688</v>
      </c>
      <c r="M301" s="10" t="s">
        <v>688</v>
      </c>
      <c r="N301" s="10">
        <v>1</v>
      </c>
      <c r="O301" s="10" t="s">
        <v>1265</v>
      </c>
      <c r="P301" s="10"/>
      <c r="Q301" s="10"/>
      <c r="R301" s="10"/>
      <c r="S301" s="10"/>
      <c r="T301" s="10"/>
      <c r="U301" s="10"/>
      <c r="V301" s="10"/>
      <c r="W301" s="10"/>
      <c r="X301" s="10"/>
      <c r="Y301" s="10"/>
      <c r="Z301" s="10"/>
    </row>
    <row r="302" spans="1:26" ht="15">
      <c r="A302" s="9">
        <v>150</v>
      </c>
      <c r="B302" s="10" t="str">
        <f ca="1">IFERROR(__xludf.DUMMYFUNCTION((TRANSPOSE(ImportHTML("http://spending.data.al/sq/moneypower/view/id/150/year/2013",  "table", 0)))),"*Kategoria*")</f>
        <v>*Kategoria*</v>
      </c>
      <c r="C302" s="10" t="s">
        <v>673</v>
      </c>
      <c r="D302" s="10" t="s">
        <v>674</v>
      </c>
      <c r="E302" s="10" t="s">
        <v>675</v>
      </c>
      <c r="F302" s="10" t="s">
        <v>676</v>
      </c>
      <c r="G302" s="10" t="s">
        <v>677</v>
      </c>
      <c r="H302" s="10" t="s">
        <v>678</v>
      </c>
      <c r="I302" s="10" t="s">
        <v>679</v>
      </c>
      <c r="J302" s="10" t="s">
        <v>680</v>
      </c>
      <c r="K302" s="10" t="s">
        <v>681</v>
      </c>
      <c r="L302" s="10" t="s">
        <v>682</v>
      </c>
      <c r="M302" s="10" t="s">
        <v>683</v>
      </c>
      <c r="N302" s="10" t="s">
        <v>684</v>
      </c>
      <c r="O302" s="10" t="s">
        <v>685</v>
      </c>
      <c r="P302" s="10"/>
      <c r="Q302" s="10"/>
      <c r="R302" s="10"/>
      <c r="S302" s="10"/>
      <c r="T302" s="10"/>
      <c r="U302" s="10"/>
      <c r="V302" s="10"/>
      <c r="W302" s="10"/>
      <c r="X302" s="10"/>
      <c r="Y302" s="10"/>
      <c r="Z302" s="10"/>
    </row>
    <row r="303" spans="1:26" ht="15">
      <c r="A303" s="11"/>
      <c r="B303" s="10" t="s">
        <v>686</v>
      </c>
      <c r="C303" s="10" t="s">
        <v>1266</v>
      </c>
      <c r="D303" s="10" t="s">
        <v>688</v>
      </c>
      <c r="E303" s="10" t="s">
        <v>688</v>
      </c>
      <c r="F303" s="10" t="s">
        <v>688</v>
      </c>
      <c r="G303" s="10" t="s">
        <v>688</v>
      </c>
      <c r="H303" s="10" t="s">
        <v>688</v>
      </c>
      <c r="I303" s="10" t="s">
        <v>688</v>
      </c>
      <c r="J303" s="10" t="s">
        <v>688</v>
      </c>
      <c r="K303" s="10" t="s">
        <v>688</v>
      </c>
      <c r="L303" s="10" t="s">
        <v>688</v>
      </c>
      <c r="M303" s="10" t="s">
        <v>688</v>
      </c>
      <c r="N303" s="10">
        <v>1</v>
      </c>
      <c r="O303" s="10" t="s">
        <v>1267</v>
      </c>
      <c r="P303" s="10"/>
      <c r="Q303" s="10"/>
      <c r="R303" s="10"/>
      <c r="S303" s="10"/>
      <c r="T303" s="10"/>
      <c r="U303" s="10"/>
      <c r="V303" s="10"/>
      <c r="W303" s="10"/>
      <c r="X303" s="10"/>
      <c r="Y303" s="10"/>
      <c r="Z303" s="10"/>
    </row>
    <row r="304" spans="1:26" ht="15">
      <c r="A304" s="9">
        <v>151</v>
      </c>
      <c r="B304" s="10" t="str">
        <f ca="1">IFERROR(__xludf.DUMMYFUNCTION((TRANSPOSE(ImportHTML("http://spending.data.al/sq/moneypower/view/id/151/year/2013",  "table", 0)))),"Loading...")</f>
        <v>Loading...</v>
      </c>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c r="A305" s="11"/>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c r="A306" s="11"/>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c r="A307" s="9">
        <v>152</v>
      </c>
      <c r="B307" s="10" t="str">
        <f ca="1">IFERROR(__xludf.DUMMYFUNCTION((TRANSPOSE(ImportHTML("http://spending.data.al/sq/moneypower/view/id/152/year/2013",  "table", 0)))),"Loading...")</f>
        <v>Loading...</v>
      </c>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c r="A308" s="11"/>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c r="A309" s="9">
        <v>153</v>
      </c>
      <c r="B309" s="10" t="str">
        <f ca="1">IFERROR(__xludf.DUMMYFUNCTION((TRANSPOSE(ImportHTML("http://spending.data.al/sq/moneypower/view/id/153/year/2013",  "table", 0)))),"*Kategoria*")</f>
        <v>*Kategoria*</v>
      </c>
      <c r="C309" s="10" t="s">
        <v>673</v>
      </c>
      <c r="D309" s="10" t="s">
        <v>674</v>
      </c>
      <c r="E309" s="10" t="s">
        <v>675</v>
      </c>
      <c r="F309" s="10" t="s">
        <v>676</v>
      </c>
      <c r="G309" s="10" t="s">
        <v>677</v>
      </c>
      <c r="H309" s="10" t="s">
        <v>678</v>
      </c>
      <c r="I309" s="10" t="s">
        <v>679</v>
      </c>
      <c r="J309" s="10" t="s">
        <v>680</v>
      </c>
      <c r="K309" s="10" t="s">
        <v>681</v>
      </c>
      <c r="L309" s="10" t="s">
        <v>682</v>
      </c>
      <c r="M309" s="10" t="s">
        <v>683</v>
      </c>
      <c r="N309" s="10" t="s">
        <v>684</v>
      </c>
      <c r="O309" s="10" t="s">
        <v>685</v>
      </c>
      <c r="P309" s="10"/>
      <c r="Q309" s="10"/>
      <c r="R309" s="10"/>
      <c r="S309" s="10"/>
      <c r="T309" s="10"/>
      <c r="U309" s="10"/>
      <c r="V309" s="10"/>
      <c r="W309" s="10"/>
      <c r="X309" s="10"/>
      <c r="Y309" s="10"/>
      <c r="Z309" s="10"/>
    </row>
    <row r="310" spans="1:26" ht="15">
      <c r="A310" s="11"/>
      <c r="B310" s="10" t="s">
        <v>686</v>
      </c>
      <c r="C310" s="10" t="s">
        <v>1272</v>
      </c>
      <c r="D310" s="10" t="s">
        <v>1273</v>
      </c>
      <c r="E310" s="10" t="s">
        <v>688</v>
      </c>
      <c r="F310" s="10" t="s">
        <v>688</v>
      </c>
      <c r="G310" s="10" t="s">
        <v>1274</v>
      </c>
      <c r="H310" s="10" t="s">
        <v>688</v>
      </c>
      <c r="I310" s="10" t="s">
        <v>688</v>
      </c>
      <c r="J310" s="10" t="s">
        <v>688</v>
      </c>
      <c r="K310" s="10" t="s">
        <v>688</v>
      </c>
      <c r="L310" s="10" t="s">
        <v>1275</v>
      </c>
      <c r="M310" s="10" t="s">
        <v>688</v>
      </c>
      <c r="N310" s="10">
        <v>1.1100000000000001</v>
      </c>
      <c r="O310" s="10" t="s">
        <v>1276</v>
      </c>
      <c r="P310" s="10"/>
      <c r="Q310" s="10"/>
      <c r="R310" s="10"/>
      <c r="S310" s="10"/>
      <c r="T310" s="10"/>
      <c r="U310" s="10"/>
      <c r="V310" s="10"/>
      <c r="W310" s="10"/>
      <c r="X310" s="10"/>
      <c r="Y310" s="10"/>
      <c r="Z310" s="10"/>
    </row>
    <row r="311" spans="1:26" ht="15">
      <c r="A311" s="9">
        <v>154</v>
      </c>
      <c r="B311" s="10" t="str">
        <f ca="1">IFERROR(__xludf.DUMMYFUNCTION((TRANSPOSE(ImportHTML("http://spending.data.al/sq/moneypower/view/id/154/year/2013",  "table", 0)))),"*Kategoria*")</f>
        <v>*Kategoria*</v>
      </c>
      <c r="C311" s="10" t="s">
        <v>673</v>
      </c>
      <c r="D311" s="10" t="s">
        <v>674</v>
      </c>
      <c r="E311" s="10" t="s">
        <v>675</v>
      </c>
      <c r="F311" s="10" t="s">
        <v>676</v>
      </c>
      <c r="G311" s="10" t="s">
        <v>677</v>
      </c>
      <c r="H311" s="10" t="s">
        <v>678</v>
      </c>
      <c r="I311" s="10" t="s">
        <v>679</v>
      </c>
      <c r="J311" s="10" t="s">
        <v>680</v>
      </c>
      <c r="K311" s="10" t="s">
        <v>681</v>
      </c>
      <c r="L311" s="10" t="s">
        <v>682</v>
      </c>
      <c r="M311" s="10" t="s">
        <v>683</v>
      </c>
      <c r="N311" s="10" t="s">
        <v>684</v>
      </c>
      <c r="O311" s="10" t="s">
        <v>685</v>
      </c>
      <c r="P311" s="10"/>
      <c r="Q311" s="10"/>
      <c r="R311" s="10"/>
      <c r="S311" s="10"/>
      <c r="T311" s="10"/>
      <c r="U311" s="10"/>
      <c r="V311" s="10"/>
      <c r="W311" s="10"/>
      <c r="X311" s="10"/>
      <c r="Y311" s="10"/>
      <c r="Z311" s="10"/>
    </row>
    <row r="312" spans="1:26" ht="15">
      <c r="A312" s="11"/>
      <c r="B312" s="10" t="s">
        <v>686</v>
      </c>
      <c r="C312" s="10" t="s">
        <v>1277</v>
      </c>
      <c r="D312" s="10" t="s">
        <v>688</v>
      </c>
      <c r="E312" s="10" t="s">
        <v>688</v>
      </c>
      <c r="F312" s="10" t="s">
        <v>688</v>
      </c>
      <c r="G312" s="10" t="s">
        <v>688</v>
      </c>
      <c r="H312" s="10" t="s">
        <v>688</v>
      </c>
      <c r="I312" s="10" t="s">
        <v>688</v>
      </c>
      <c r="J312" s="10" t="s">
        <v>688</v>
      </c>
      <c r="K312" s="10" t="s">
        <v>688</v>
      </c>
      <c r="L312" s="10" t="s">
        <v>688</v>
      </c>
      <c r="M312" s="10" t="s">
        <v>688</v>
      </c>
      <c r="N312" s="10">
        <v>1</v>
      </c>
      <c r="O312" s="10" t="s">
        <v>688</v>
      </c>
      <c r="P312" s="10"/>
      <c r="Q312" s="10"/>
      <c r="R312" s="10"/>
      <c r="S312" s="10"/>
      <c r="T312" s="10"/>
      <c r="U312" s="10"/>
      <c r="V312" s="10"/>
      <c r="W312" s="10"/>
      <c r="X312" s="10"/>
      <c r="Y312" s="10"/>
      <c r="Z312" s="10"/>
    </row>
    <row r="313" spans="1:26" ht="15">
      <c r="A313" s="9">
        <v>155</v>
      </c>
      <c r="B313" s="10" t="str">
        <f ca="1">IFERROR(__xludf.DUMMYFUNCTION((TRANSPOSE(ImportHTML("http://spending.data.al/sq/moneypower/view/id/155/year/2013",  "table", 0)))),"*Kategoria*")</f>
        <v>*Kategoria*</v>
      </c>
      <c r="C313" s="10" t="s">
        <v>673</v>
      </c>
      <c r="D313" s="10" t="s">
        <v>674</v>
      </c>
      <c r="E313" s="10" t="s">
        <v>675</v>
      </c>
      <c r="F313" s="10" t="s">
        <v>676</v>
      </c>
      <c r="G313" s="10" t="s">
        <v>677</v>
      </c>
      <c r="H313" s="10" t="s">
        <v>678</v>
      </c>
      <c r="I313" s="10" t="s">
        <v>679</v>
      </c>
      <c r="J313" s="10" t="s">
        <v>680</v>
      </c>
      <c r="K313" s="10" t="s">
        <v>681</v>
      </c>
      <c r="L313" s="10" t="s">
        <v>682</v>
      </c>
      <c r="M313" s="10" t="s">
        <v>683</v>
      </c>
      <c r="N313" s="10" t="s">
        <v>684</v>
      </c>
      <c r="O313" s="10" t="s">
        <v>685</v>
      </c>
      <c r="P313" s="10"/>
      <c r="Q313" s="10"/>
      <c r="R313" s="10"/>
      <c r="S313" s="10"/>
      <c r="T313" s="10"/>
      <c r="U313" s="10"/>
      <c r="V313" s="10"/>
      <c r="W313" s="10"/>
      <c r="X313" s="10"/>
      <c r="Y313" s="10"/>
      <c r="Z313" s="10"/>
    </row>
    <row r="314" spans="1:26" ht="15">
      <c r="A314" s="11"/>
      <c r="B314" s="10" t="s">
        <v>686</v>
      </c>
      <c r="C314" s="10" t="s">
        <v>1278</v>
      </c>
      <c r="D314" s="10" t="s">
        <v>688</v>
      </c>
      <c r="E314" s="10" t="s">
        <v>688</v>
      </c>
      <c r="F314" s="10" t="s">
        <v>688</v>
      </c>
      <c r="G314" s="10" t="s">
        <v>688</v>
      </c>
      <c r="H314" s="10" t="s">
        <v>688</v>
      </c>
      <c r="I314" s="10" t="s">
        <v>688</v>
      </c>
      <c r="J314" s="10" t="s">
        <v>688</v>
      </c>
      <c r="K314" s="10" t="s">
        <v>688</v>
      </c>
      <c r="L314" s="10" t="s">
        <v>688</v>
      </c>
      <c r="M314" s="10" t="s">
        <v>688</v>
      </c>
      <c r="N314" s="10">
        <v>1</v>
      </c>
      <c r="O314" s="10" t="s">
        <v>688</v>
      </c>
      <c r="P314" s="10"/>
      <c r="Q314" s="10"/>
      <c r="R314" s="10"/>
      <c r="S314" s="10"/>
      <c r="T314" s="10"/>
      <c r="U314" s="10"/>
      <c r="V314" s="10"/>
      <c r="W314" s="10"/>
      <c r="X314" s="10"/>
      <c r="Y314" s="10"/>
      <c r="Z314" s="10"/>
    </row>
    <row r="315" spans="1:26" ht="15">
      <c r="A315" s="9">
        <v>156</v>
      </c>
      <c r="B315" s="10" t="str">
        <f ca="1">IFERROR(__xludf.DUMMYFUNCTION((TRANSPOSE(ImportHTML("http://spending.data.al/sq/moneypower/view/id/156/year/2013",  "table", 0)))),"*Kategoria*")</f>
        <v>*Kategoria*</v>
      </c>
      <c r="C315" s="10" t="s">
        <v>673</v>
      </c>
      <c r="D315" s="10" t="s">
        <v>674</v>
      </c>
      <c r="E315" s="10" t="s">
        <v>675</v>
      </c>
      <c r="F315" s="10" t="s">
        <v>676</v>
      </c>
      <c r="G315" s="10" t="s">
        <v>677</v>
      </c>
      <c r="H315" s="10" t="s">
        <v>678</v>
      </c>
      <c r="I315" s="10" t="s">
        <v>679</v>
      </c>
      <c r="J315" s="10" t="s">
        <v>680</v>
      </c>
      <c r="K315" s="10" t="s">
        <v>681</v>
      </c>
      <c r="L315" s="10" t="s">
        <v>682</v>
      </c>
      <c r="M315" s="10" t="s">
        <v>683</v>
      </c>
      <c r="N315" s="10" t="s">
        <v>684</v>
      </c>
      <c r="O315" s="10" t="s">
        <v>685</v>
      </c>
      <c r="P315" s="10"/>
      <c r="Q315" s="10"/>
      <c r="R315" s="10"/>
      <c r="S315" s="10"/>
      <c r="T315" s="10"/>
      <c r="U315" s="10"/>
      <c r="V315" s="10"/>
      <c r="W315" s="10"/>
      <c r="X315" s="10"/>
      <c r="Y315" s="10"/>
      <c r="Z315" s="10"/>
    </row>
    <row r="316" spans="1:26" ht="15">
      <c r="A316" s="11"/>
      <c r="B316" s="10" t="s">
        <v>686</v>
      </c>
      <c r="C316" s="10" t="s">
        <v>1279</v>
      </c>
      <c r="D316" s="10" t="s">
        <v>688</v>
      </c>
      <c r="E316" s="10" t="s">
        <v>688</v>
      </c>
      <c r="F316" s="10" t="s">
        <v>1280</v>
      </c>
      <c r="G316" s="10" t="s">
        <v>688</v>
      </c>
      <c r="H316" s="10" t="s">
        <v>688</v>
      </c>
      <c r="I316" s="10" t="s">
        <v>688</v>
      </c>
      <c r="J316" s="10" t="s">
        <v>688</v>
      </c>
      <c r="K316" s="10" t="s">
        <v>1281</v>
      </c>
      <c r="L316" s="10" t="s">
        <v>1282</v>
      </c>
      <c r="M316" s="10" t="s">
        <v>688</v>
      </c>
      <c r="N316" s="10">
        <v>1.1100000000000001</v>
      </c>
      <c r="O316" s="10" t="s">
        <v>688</v>
      </c>
      <c r="P316" s="10"/>
      <c r="Q316" s="10"/>
      <c r="R316" s="10"/>
      <c r="S316" s="10"/>
      <c r="T316" s="10"/>
      <c r="U316" s="10"/>
      <c r="V316" s="10"/>
      <c r="W316" s="10"/>
      <c r="X316" s="10"/>
      <c r="Y316" s="10"/>
      <c r="Z316" s="10"/>
    </row>
    <row r="317" spans="1:26" ht="15">
      <c r="A317" s="9">
        <v>157</v>
      </c>
      <c r="B317" s="10" t="str">
        <f ca="1">IFERROR(__xludf.DUMMYFUNCTION((TRANSPOSE(ImportHTML("http://spending.data.al/sq/moneypower/view/id/157/year/2013",  "table", 0)))),"*Kategoria*")</f>
        <v>*Kategoria*</v>
      </c>
      <c r="C317" s="10" t="s">
        <v>673</v>
      </c>
      <c r="D317" s="10" t="s">
        <v>674</v>
      </c>
      <c r="E317" s="10" t="s">
        <v>675</v>
      </c>
      <c r="F317" s="10" t="s">
        <v>676</v>
      </c>
      <c r="G317" s="10" t="s">
        <v>677</v>
      </c>
      <c r="H317" s="10" t="s">
        <v>678</v>
      </c>
      <c r="I317" s="10" t="s">
        <v>679</v>
      </c>
      <c r="J317" s="10" t="s">
        <v>680</v>
      </c>
      <c r="K317" s="10" t="s">
        <v>681</v>
      </c>
      <c r="L317" s="10" t="s">
        <v>682</v>
      </c>
      <c r="M317" s="10" t="s">
        <v>683</v>
      </c>
      <c r="N317" s="10" t="s">
        <v>684</v>
      </c>
      <c r="O317" s="10" t="s">
        <v>685</v>
      </c>
      <c r="P317" s="10"/>
      <c r="Q317" s="10"/>
      <c r="R317" s="10"/>
      <c r="S317" s="10"/>
      <c r="T317" s="10"/>
      <c r="U317" s="10"/>
      <c r="V317" s="10"/>
      <c r="W317" s="10"/>
      <c r="X317" s="10"/>
      <c r="Y317" s="10"/>
      <c r="Z317" s="10"/>
    </row>
    <row r="318" spans="1:26" ht="15">
      <c r="A318" s="11"/>
      <c r="B318" s="10" t="s">
        <v>686</v>
      </c>
      <c r="C318" s="10" t="s">
        <v>1283</v>
      </c>
      <c r="D318" s="10" t="s">
        <v>688</v>
      </c>
      <c r="E318" s="10" t="s">
        <v>1284</v>
      </c>
      <c r="F318" s="10" t="s">
        <v>688</v>
      </c>
      <c r="G318" s="10" t="s">
        <v>688</v>
      </c>
      <c r="H318" s="10" t="s">
        <v>688</v>
      </c>
      <c r="I318" s="10" t="s">
        <v>688</v>
      </c>
      <c r="J318" s="10" t="s">
        <v>688</v>
      </c>
      <c r="K318" s="10" t="s">
        <v>688</v>
      </c>
      <c r="L318" s="10" t="s">
        <v>1285</v>
      </c>
      <c r="M318" s="10" t="s">
        <v>688</v>
      </c>
      <c r="N318" s="10">
        <v>1.1100000000000001</v>
      </c>
      <c r="O318" s="10" t="s">
        <v>707</v>
      </c>
      <c r="P318" s="10"/>
      <c r="Q318" s="10"/>
      <c r="R318" s="10"/>
      <c r="S318" s="10"/>
      <c r="T318" s="10"/>
      <c r="U318" s="10"/>
      <c r="V318" s="10"/>
      <c r="W318" s="10"/>
      <c r="X318" s="10"/>
      <c r="Y318" s="10"/>
      <c r="Z318" s="10"/>
    </row>
    <row r="319" spans="1:26" ht="15">
      <c r="A319" s="9">
        <v>158</v>
      </c>
      <c r="B319" s="10" t="str">
        <f ca="1">IFERROR(__xludf.DUMMYFUNCTION((TRANSPOSE(ImportHTML("http://spending.data.al/sq/moneypower/view/id/158/year/2013",  "table", 0)))),"*Kategoria*")</f>
        <v>*Kategoria*</v>
      </c>
      <c r="C319" s="10" t="s">
        <v>673</v>
      </c>
      <c r="D319" s="10" t="s">
        <v>674</v>
      </c>
      <c r="E319" s="10" t="s">
        <v>675</v>
      </c>
      <c r="F319" s="10" t="s">
        <v>676</v>
      </c>
      <c r="G319" s="10" t="s">
        <v>677</v>
      </c>
      <c r="H319" s="10" t="s">
        <v>678</v>
      </c>
      <c r="I319" s="10" t="s">
        <v>679</v>
      </c>
      <c r="J319" s="10" t="s">
        <v>680</v>
      </c>
      <c r="K319" s="10" t="s">
        <v>681</v>
      </c>
      <c r="L319" s="10" t="s">
        <v>682</v>
      </c>
      <c r="M319" s="10" t="s">
        <v>683</v>
      </c>
      <c r="N319" s="10" t="s">
        <v>684</v>
      </c>
      <c r="O319" s="10" t="s">
        <v>685</v>
      </c>
      <c r="P319" s="10"/>
      <c r="Q319" s="10"/>
      <c r="R319" s="10"/>
      <c r="S319" s="10"/>
      <c r="T319" s="10"/>
      <c r="U319" s="10"/>
      <c r="V319" s="10"/>
      <c r="W319" s="10"/>
      <c r="X319" s="10"/>
      <c r="Y319" s="10"/>
      <c r="Z319" s="10"/>
    </row>
    <row r="320" spans="1:26" ht="15">
      <c r="A320" s="11"/>
      <c r="B320" s="10" t="s">
        <v>686</v>
      </c>
      <c r="C320" s="10" t="s">
        <v>1286</v>
      </c>
      <c r="D320" s="10" t="s">
        <v>688</v>
      </c>
      <c r="E320" s="10" t="s">
        <v>688</v>
      </c>
      <c r="F320" s="10" t="s">
        <v>688</v>
      </c>
      <c r="G320" s="10" t="s">
        <v>1287</v>
      </c>
      <c r="H320" s="10" t="s">
        <v>688</v>
      </c>
      <c r="I320" s="10" t="s">
        <v>688</v>
      </c>
      <c r="J320" s="10" t="s">
        <v>688</v>
      </c>
      <c r="K320" s="10" t="s">
        <v>688</v>
      </c>
      <c r="L320" s="10" t="s">
        <v>1288</v>
      </c>
      <c r="M320" s="10" t="s">
        <v>688</v>
      </c>
      <c r="N320" s="10">
        <v>9.6</v>
      </c>
      <c r="O320" s="10" t="s">
        <v>1289</v>
      </c>
      <c r="P320" s="10"/>
      <c r="Q320" s="10"/>
      <c r="R320" s="10"/>
      <c r="S320" s="10"/>
      <c r="T320" s="10"/>
      <c r="U320" s="10"/>
      <c r="V320" s="10"/>
      <c r="W320" s="10"/>
      <c r="X320" s="10"/>
      <c r="Y320" s="10"/>
      <c r="Z320" s="10"/>
    </row>
    <row r="321" spans="1:26" ht="15">
      <c r="A321" s="9">
        <v>159</v>
      </c>
      <c r="B321" s="10" t="str">
        <f ca="1">IFERROR(__xludf.DUMMYFUNCTION((TRANSPOSE(ImportHTML("http://spending.data.al/sq/moneypower/view/id/159/year/2013",  "table", 0)))),"*Kategoria*")</f>
        <v>*Kategoria*</v>
      </c>
      <c r="C321" s="10" t="s">
        <v>673</v>
      </c>
      <c r="D321" s="10" t="s">
        <v>674</v>
      </c>
      <c r="E321" s="10" t="s">
        <v>675</v>
      </c>
      <c r="F321" s="10" t="s">
        <v>676</v>
      </c>
      <c r="G321" s="10" t="s">
        <v>677</v>
      </c>
      <c r="H321" s="10" t="s">
        <v>678</v>
      </c>
      <c r="I321" s="10" t="s">
        <v>679</v>
      </c>
      <c r="J321" s="10" t="s">
        <v>680</v>
      </c>
      <c r="K321" s="10" t="s">
        <v>681</v>
      </c>
      <c r="L321" s="10" t="s">
        <v>682</v>
      </c>
      <c r="M321" s="10" t="s">
        <v>683</v>
      </c>
      <c r="N321" s="10" t="s">
        <v>684</v>
      </c>
      <c r="O321" s="10" t="s">
        <v>685</v>
      </c>
      <c r="P321" s="10"/>
      <c r="Q321" s="10"/>
      <c r="R321" s="10"/>
      <c r="S321" s="10"/>
      <c r="T321" s="10"/>
      <c r="U321" s="10"/>
      <c r="V321" s="10"/>
      <c r="W321" s="10"/>
      <c r="X321" s="10"/>
      <c r="Y321" s="10"/>
      <c r="Z321" s="10"/>
    </row>
    <row r="322" spans="1:26" ht="15">
      <c r="A322" s="11"/>
      <c r="B322" s="10" t="s">
        <v>686</v>
      </c>
      <c r="C322" s="10" t="s">
        <v>1290</v>
      </c>
      <c r="D322" s="10" t="s">
        <v>688</v>
      </c>
      <c r="E322" s="10" t="s">
        <v>688</v>
      </c>
      <c r="F322" s="10" t="s">
        <v>688</v>
      </c>
      <c r="G322" s="10" t="s">
        <v>1291</v>
      </c>
      <c r="H322" s="10" t="s">
        <v>688</v>
      </c>
      <c r="I322" s="10" t="s">
        <v>688</v>
      </c>
      <c r="J322" s="10" t="s">
        <v>688</v>
      </c>
      <c r="K322" s="10" t="s">
        <v>688</v>
      </c>
      <c r="L322" s="10" t="s">
        <v>1292</v>
      </c>
      <c r="M322" s="10" t="s">
        <v>688</v>
      </c>
      <c r="N322" s="10">
        <v>1.24</v>
      </c>
      <c r="O322" s="10" t="s">
        <v>1293</v>
      </c>
      <c r="P322" s="10"/>
      <c r="Q322" s="10"/>
      <c r="R322" s="10"/>
      <c r="S322" s="10"/>
      <c r="T322" s="10"/>
      <c r="U322" s="10"/>
      <c r="V322" s="10"/>
      <c r="W322" s="10"/>
      <c r="X322" s="10"/>
      <c r="Y322" s="10"/>
      <c r="Z322" s="10"/>
    </row>
    <row r="323" spans="1:26" ht="15">
      <c r="A323" s="9">
        <v>160</v>
      </c>
      <c r="B323" s="10" t="str">
        <f ca="1">IFERROR(__xludf.DUMMYFUNCTION((TRANSPOSE(ImportHTML("http://spending.data.al/sq/moneypower/view/id/160/year/2013",  "table", 0)))),"*Kategoria*")</f>
        <v>*Kategoria*</v>
      </c>
      <c r="C323" s="10" t="s">
        <v>673</v>
      </c>
      <c r="D323" s="10" t="s">
        <v>674</v>
      </c>
      <c r="E323" s="10" t="s">
        <v>675</v>
      </c>
      <c r="F323" s="10" t="s">
        <v>676</v>
      </c>
      <c r="G323" s="10" t="s">
        <v>677</v>
      </c>
      <c r="H323" s="10" t="s">
        <v>678</v>
      </c>
      <c r="I323" s="10" t="s">
        <v>679</v>
      </c>
      <c r="J323" s="10" t="s">
        <v>680</v>
      </c>
      <c r="K323" s="10" t="s">
        <v>681</v>
      </c>
      <c r="L323" s="10" t="s">
        <v>682</v>
      </c>
      <c r="M323" s="10" t="s">
        <v>683</v>
      </c>
      <c r="N323" s="10" t="s">
        <v>684</v>
      </c>
      <c r="O323" s="10" t="s">
        <v>685</v>
      </c>
      <c r="P323" s="10"/>
      <c r="Q323" s="10"/>
      <c r="R323" s="10"/>
      <c r="S323" s="10"/>
      <c r="T323" s="10"/>
      <c r="U323" s="10"/>
      <c r="V323" s="10"/>
      <c r="W323" s="10"/>
      <c r="X323" s="10"/>
      <c r="Y323" s="10"/>
      <c r="Z323" s="10"/>
    </row>
    <row r="324" spans="1:26" ht="15">
      <c r="A324" s="11"/>
      <c r="B324" s="10" t="s">
        <v>686</v>
      </c>
      <c r="C324" s="10" t="s">
        <v>1294</v>
      </c>
      <c r="D324" s="10" t="s">
        <v>688</v>
      </c>
      <c r="E324" s="10" t="s">
        <v>688</v>
      </c>
      <c r="F324" s="10" t="s">
        <v>1295</v>
      </c>
      <c r="G324" s="10" t="s">
        <v>688</v>
      </c>
      <c r="H324" s="10" t="s">
        <v>688</v>
      </c>
      <c r="I324" s="10" t="s">
        <v>688</v>
      </c>
      <c r="J324" s="10" t="s">
        <v>688</v>
      </c>
      <c r="K324" s="10" t="s">
        <v>688</v>
      </c>
      <c r="L324" s="10" t="s">
        <v>1296</v>
      </c>
      <c r="M324" s="10" t="s">
        <v>688</v>
      </c>
      <c r="N324" s="10">
        <v>1.02</v>
      </c>
      <c r="O324" s="10" t="s">
        <v>688</v>
      </c>
      <c r="P324" s="10"/>
      <c r="Q324" s="10"/>
      <c r="R324" s="10"/>
      <c r="S324" s="10"/>
      <c r="T324" s="10"/>
      <c r="U324" s="10"/>
      <c r="V324" s="10"/>
      <c r="W324" s="10"/>
      <c r="X324" s="10"/>
      <c r="Y324" s="10"/>
      <c r="Z324" s="10"/>
    </row>
    <row r="325" spans="1:26" ht="15">
      <c r="A325" s="9">
        <v>161</v>
      </c>
      <c r="B325" s="10" t="str">
        <f ca="1">IFERROR(__xludf.DUMMYFUNCTION((TRANSPOSE(ImportHTML("http://spending.data.al/sq/moneypower/view/id/161/year/2013",  "table", 0)))),"*Kategoria*")</f>
        <v>*Kategoria*</v>
      </c>
      <c r="C325" s="10" t="s">
        <v>673</v>
      </c>
      <c r="D325" s="10" t="s">
        <v>674</v>
      </c>
      <c r="E325" s="10" t="s">
        <v>675</v>
      </c>
      <c r="F325" s="10" t="s">
        <v>676</v>
      </c>
      <c r="G325" s="10" t="s">
        <v>677</v>
      </c>
      <c r="H325" s="10" t="s">
        <v>678</v>
      </c>
      <c r="I325" s="10" t="s">
        <v>679</v>
      </c>
      <c r="J325" s="10" t="s">
        <v>680</v>
      </c>
      <c r="K325" s="10" t="s">
        <v>681</v>
      </c>
      <c r="L325" s="10" t="s">
        <v>682</v>
      </c>
      <c r="M325" s="10" t="s">
        <v>683</v>
      </c>
      <c r="N325" s="10" t="s">
        <v>684</v>
      </c>
      <c r="O325" s="10" t="s">
        <v>685</v>
      </c>
      <c r="P325" s="10"/>
      <c r="Q325" s="10"/>
      <c r="R325" s="10"/>
      <c r="S325" s="10"/>
      <c r="T325" s="10"/>
      <c r="U325" s="10"/>
      <c r="V325" s="10"/>
      <c r="W325" s="10"/>
      <c r="X325" s="10"/>
      <c r="Y325" s="10"/>
      <c r="Z325" s="10"/>
    </row>
    <row r="326" spans="1:26" ht="15">
      <c r="A326" s="11"/>
      <c r="B326" s="10" t="s">
        <v>686</v>
      </c>
      <c r="C326" s="10" t="s">
        <v>1297</v>
      </c>
      <c r="D326" s="10" t="s">
        <v>688</v>
      </c>
      <c r="E326" s="10" t="s">
        <v>688</v>
      </c>
      <c r="F326" s="10" t="s">
        <v>1298</v>
      </c>
      <c r="G326" s="10" t="s">
        <v>688</v>
      </c>
      <c r="H326" s="10" t="s">
        <v>688</v>
      </c>
      <c r="I326" s="10" t="s">
        <v>688</v>
      </c>
      <c r="J326" s="10" t="s">
        <v>688</v>
      </c>
      <c r="K326" s="10" t="s">
        <v>688</v>
      </c>
      <c r="L326" s="10" t="s">
        <v>1299</v>
      </c>
      <c r="M326" s="10" t="s">
        <v>1300</v>
      </c>
      <c r="N326" s="10">
        <v>1.07</v>
      </c>
      <c r="O326" s="10" t="s">
        <v>688</v>
      </c>
      <c r="P326" s="10"/>
      <c r="Q326" s="10"/>
      <c r="R326" s="10"/>
      <c r="S326" s="10"/>
      <c r="T326" s="10"/>
      <c r="U326" s="10"/>
      <c r="V326" s="10"/>
      <c r="W326" s="10"/>
      <c r="X326" s="10"/>
      <c r="Y326" s="10"/>
      <c r="Z326" s="10"/>
    </row>
    <row r="327" spans="1:26" ht="15">
      <c r="A327" s="9">
        <v>162</v>
      </c>
      <c r="B327" s="10" t="str">
        <f ca="1">IFERROR(__xludf.DUMMYFUNCTION((TRANSPOSE(ImportHTML("http://spending.data.al/sq/moneypower/view/id/162/year/2013",  "table", 0)))),"*Kategoria*")</f>
        <v>*Kategoria*</v>
      </c>
      <c r="C327" s="10" t="s">
        <v>673</v>
      </c>
      <c r="D327" s="10" t="s">
        <v>674</v>
      </c>
      <c r="E327" s="10" t="s">
        <v>675</v>
      </c>
      <c r="F327" s="10" t="s">
        <v>676</v>
      </c>
      <c r="G327" s="10" t="s">
        <v>677</v>
      </c>
      <c r="H327" s="10" t="s">
        <v>678</v>
      </c>
      <c r="I327" s="10" t="s">
        <v>679</v>
      </c>
      <c r="J327" s="10" t="s">
        <v>680</v>
      </c>
      <c r="K327" s="10" t="s">
        <v>681</v>
      </c>
      <c r="L327" s="10" t="s">
        <v>682</v>
      </c>
      <c r="M327" s="10" t="s">
        <v>683</v>
      </c>
      <c r="N327" s="10" t="s">
        <v>684</v>
      </c>
      <c r="O327" s="10" t="s">
        <v>685</v>
      </c>
      <c r="P327" s="10"/>
      <c r="Q327" s="10"/>
      <c r="R327" s="10"/>
      <c r="S327" s="10"/>
      <c r="T327" s="10"/>
      <c r="U327" s="10"/>
      <c r="V327" s="10"/>
      <c r="W327" s="10"/>
      <c r="X327" s="10"/>
      <c r="Y327" s="10"/>
      <c r="Z327" s="10"/>
    </row>
    <row r="328" spans="1:26" ht="15">
      <c r="A328" s="11"/>
      <c r="B328" s="10" t="s">
        <v>686</v>
      </c>
      <c r="C328" s="10" t="s">
        <v>1301</v>
      </c>
      <c r="D328" s="10" t="s">
        <v>688</v>
      </c>
      <c r="E328" s="10" t="s">
        <v>688</v>
      </c>
      <c r="F328" s="10" t="s">
        <v>688</v>
      </c>
      <c r="G328" s="10" t="s">
        <v>688</v>
      </c>
      <c r="H328" s="10" t="s">
        <v>688</v>
      </c>
      <c r="I328" s="10" t="s">
        <v>688</v>
      </c>
      <c r="J328" s="10" t="s">
        <v>688</v>
      </c>
      <c r="K328" s="10" t="s">
        <v>688</v>
      </c>
      <c r="L328" s="10" t="s">
        <v>1302</v>
      </c>
      <c r="M328" s="10" t="s">
        <v>688</v>
      </c>
      <c r="N328" s="10">
        <v>1</v>
      </c>
      <c r="O328" s="10" t="s">
        <v>688</v>
      </c>
      <c r="P328" s="10"/>
      <c r="Q328" s="10"/>
      <c r="R328" s="10"/>
      <c r="S328" s="10"/>
      <c r="T328" s="10"/>
      <c r="U328" s="10"/>
      <c r="V328" s="10"/>
      <c r="W328" s="10"/>
      <c r="X328" s="10"/>
      <c r="Y328" s="10"/>
      <c r="Z328" s="10"/>
    </row>
    <row r="329" spans="1:26" ht="15">
      <c r="A329" s="9">
        <v>163</v>
      </c>
      <c r="B329" s="10" t="str">
        <f ca="1">IFERROR(__xludf.DUMMYFUNCTION((TRANSPOSE(ImportHTML("http://spending.data.al/sq/moneypower/view/id/163/year/2013",  "table", 0)))),"*Kategoria*")</f>
        <v>*Kategoria*</v>
      </c>
      <c r="C329" s="10" t="s">
        <v>673</v>
      </c>
      <c r="D329" s="10" t="s">
        <v>674</v>
      </c>
      <c r="E329" s="10" t="s">
        <v>675</v>
      </c>
      <c r="F329" s="10" t="s">
        <v>676</v>
      </c>
      <c r="G329" s="10" t="s">
        <v>677</v>
      </c>
      <c r="H329" s="10" t="s">
        <v>678</v>
      </c>
      <c r="I329" s="10" t="s">
        <v>679</v>
      </c>
      <c r="J329" s="10" t="s">
        <v>680</v>
      </c>
      <c r="K329" s="10" t="s">
        <v>681</v>
      </c>
      <c r="L329" s="10" t="s">
        <v>682</v>
      </c>
      <c r="M329" s="10" t="s">
        <v>683</v>
      </c>
      <c r="N329" s="10" t="s">
        <v>684</v>
      </c>
      <c r="O329" s="10" t="s">
        <v>685</v>
      </c>
      <c r="P329" s="10"/>
      <c r="Q329" s="10"/>
      <c r="R329" s="10"/>
      <c r="S329" s="10"/>
      <c r="T329" s="10"/>
      <c r="U329" s="10"/>
      <c r="V329" s="10"/>
      <c r="W329" s="10"/>
      <c r="X329" s="10"/>
      <c r="Y329" s="10"/>
      <c r="Z329" s="10"/>
    </row>
    <row r="330" spans="1:26" ht="15">
      <c r="A330" s="11"/>
      <c r="B330" s="10" t="s">
        <v>686</v>
      </c>
      <c r="C330" s="10" t="s">
        <v>1303</v>
      </c>
      <c r="D330" s="10" t="s">
        <v>688</v>
      </c>
      <c r="E330" s="10" t="s">
        <v>688</v>
      </c>
      <c r="F330" s="10" t="s">
        <v>688</v>
      </c>
      <c r="G330" s="10" t="s">
        <v>1304</v>
      </c>
      <c r="H330" s="10" t="s">
        <v>688</v>
      </c>
      <c r="I330" s="10" t="s">
        <v>688</v>
      </c>
      <c r="J330" s="10" t="s">
        <v>688</v>
      </c>
      <c r="K330" s="10" t="s">
        <v>688</v>
      </c>
      <c r="L330" s="10" t="s">
        <v>1305</v>
      </c>
      <c r="M330" s="10" t="s">
        <v>688</v>
      </c>
      <c r="N330" s="10">
        <v>1.03</v>
      </c>
      <c r="O330" s="10" t="s">
        <v>1306</v>
      </c>
      <c r="P330" s="10"/>
      <c r="Q330" s="10"/>
      <c r="R330" s="10"/>
      <c r="S330" s="10"/>
      <c r="T330" s="10"/>
      <c r="U330" s="10"/>
      <c r="V330" s="10"/>
      <c r="W330" s="10"/>
      <c r="X330" s="10"/>
      <c r="Y330" s="10"/>
      <c r="Z330" s="10"/>
    </row>
    <row r="331" spans="1:26" ht="15">
      <c r="A331" s="9">
        <v>164</v>
      </c>
      <c r="B331" s="10" t="str">
        <f ca="1">IFERROR(__xludf.DUMMYFUNCTION((TRANSPOSE(ImportHTML("http://spending.data.al/sq/moneypower/view/id/164/year/2013",  "table", 0)))),"*Kategoria*")</f>
        <v>*Kategoria*</v>
      </c>
      <c r="C331" s="10" t="s">
        <v>673</v>
      </c>
      <c r="D331" s="10" t="s">
        <v>674</v>
      </c>
      <c r="E331" s="10" t="s">
        <v>675</v>
      </c>
      <c r="F331" s="10" t="s">
        <v>676</v>
      </c>
      <c r="G331" s="10" t="s">
        <v>677</v>
      </c>
      <c r="H331" s="10" t="s">
        <v>678</v>
      </c>
      <c r="I331" s="10" t="s">
        <v>679</v>
      </c>
      <c r="J331" s="10" t="s">
        <v>680</v>
      </c>
      <c r="K331" s="10" t="s">
        <v>681</v>
      </c>
      <c r="L331" s="10" t="s">
        <v>682</v>
      </c>
      <c r="M331" s="10" t="s">
        <v>683</v>
      </c>
      <c r="N331" s="10" t="s">
        <v>684</v>
      </c>
      <c r="O331" s="10" t="s">
        <v>685</v>
      </c>
      <c r="P331" s="10"/>
      <c r="Q331" s="10"/>
      <c r="R331" s="10"/>
      <c r="S331" s="10"/>
      <c r="T331" s="10"/>
      <c r="U331" s="10"/>
      <c r="V331" s="10"/>
      <c r="W331" s="10"/>
      <c r="X331" s="10"/>
      <c r="Y331" s="10"/>
      <c r="Z331" s="10"/>
    </row>
    <row r="332" spans="1:26" ht="15">
      <c r="A332" s="11"/>
      <c r="B332" s="10" t="s">
        <v>686</v>
      </c>
      <c r="C332" s="10" t="s">
        <v>1307</v>
      </c>
      <c r="D332" s="10" t="s">
        <v>688</v>
      </c>
      <c r="E332" s="10" t="s">
        <v>688</v>
      </c>
      <c r="F332" s="10" t="s">
        <v>688</v>
      </c>
      <c r="G332" s="10" t="s">
        <v>1308</v>
      </c>
      <c r="H332" s="10" t="s">
        <v>688</v>
      </c>
      <c r="I332" s="10" t="s">
        <v>688</v>
      </c>
      <c r="J332" s="10" t="s">
        <v>688</v>
      </c>
      <c r="K332" s="10" t="s">
        <v>688</v>
      </c>
      <c r="L332" s="10" t="s">
        <v>688</v>
      </c>
      <c r="M332" s="10" t="s">
        <v>688</v>
      </c>
      <c r="N332" s="10">
        <v>1.03</v>
      </c>
      <c r="O332" s="10" t="s">
        <v>688</v>
      </c>
      <c r="P332" s="10"/>
      <c r="Q332" s="10"/>
      <c r="R332" s="10"/>
      <c r="S332" s="10"/>
      <c r="T332" s="10"/>
      <c r="U332" s="10"/>
      <c r="V332" s="10"/>
      <c r="W332" s="10"/>
      <c r="X332" s="10"/>
      <c r="Y332" s="10"/>
      <c r="Z332" s="10"/>
    </row>
    <row r="333" spans="1:26" ht="15">
      <c r="A333" s="9">
        <v>165</v>
      </c>
      <c r="B333" s="10" t="str">
        <f ca="1">IFERROR(__xludf.DUMMYFUNCTION((TRANSPOSE(ImportHTML("http://spending.data.al/sq/moneypower/view/id/165/year/2013",  "table", 0)))),"*Kategoria*")</f>
        <v>*Kategoria*</v>
      </c>
      <c r="C333" s="10" t="s">
        <v>673</v>
      </c>
      <c r="D333" s="10" t="s">
        <v>674</v>
      </c>
      <c r="E333" s="10" t="s">
        <v>675</v>
      </c>
      <c r="F333" s="10" t="s">
        <v>676</v>
      </c>
      <c r="G333" s="10" t="s">
        <v>677</v>
      </c>
      <c r="H333" s="10" t="s">
        <v>678</v>
      </c>
      <c r="I333" s="10" t="s">
        <v>679</v>
      </c>
      <c r="J333" s="10" t="s">
        <v>680</v>
      </c>
      <c r="K333" s="10" t="s">
        <v>681</v>
      </c>
      <c r="L333" s="10" t="s">
        <v>682</v>
      </c>
      <c r="M333" s="10" t="s">
        <v>683</v>
      </c>
      <c r="N333" s="10" t="s">
        <v>684</v>
      </c>
      <c r="O333" s="10" t="s">
        <v>685</v>
      </c>
      <c r="P333" s="10"/>
      <c r="Q333" s="10"/>
      <c r="R333" s="10"/>
      <c r="S333" s="10"/>
      <c r="T333" s="10"/>
      <c r="U333" s="10"/>
      <c r="V333" s="10"/>
      <c r="W333" s="10"/>
      <c r="X333" s="10"/>
      <c r="Y333" s="10"/>
      <c r="Z333" s="10"/>
    </row>
    <row r="334" spans="1:26" ht="15">
      <c r="A334" s="11"/>
      <c r="B334" s="10" t="s">
        <v>686</v>
      </c>
      <c r="C334" s="10" t="s">
        <v>1309</v>
      </c>
      <c r="D334" s="10" t="s">
        <v>688</v>
      </c>
      <c r="E334" s="10" t="s">
        <v>688</v>
      </c>
      <c r="F334" s="10" t="s">
        <v>688</v>
      </c>
      <c r="G334" s="10" t="s">
        <v>688</v>
      </c>
      <c r="H334" s="10" t="s">
        <v>688</v>
      </c>
      <c r="I334" s="10" t="s">
        <v>688</v>
      </c>
      <c r="J334" s="10" t="s">
        <v>688</v>
      </c>
      <c r="K334" s="10" t="s">
        <v>688</v>
      </c>
      <c r="L334" s="10" t="s">
        <v>1310</v>
      </c>
      <c r="M334" s="10" t="s">
        <v>688</v>
      </c>
      <c r="N334" s="10">
        <v>1</v>
      </c>
      <c r="O334" s="10" t="s">
        <v>688</v>
      </c>
      <c r="P334" s="10"/>
      <c r="Q334" s="10"/>
      <c r="R334" s="10"/>
      <c r="S334" s="10"/>
      <c r="T334" s="10"/>
      <c r="U334" s="10"/>
      <c r="V334" s="10"/>
      <c r="W334" s="10"/>
      <c r="X334" s="10"/>
      <c r="Y334" s="10"/>
      <c r="Z334" s="10"/>
    </row>
    <row r="335" spans="1:26" ht="15">
      <c r="A335" s="9">
        <v>166</v>
      </c>
      <c r="B335" s="10" t="str">
        <f ca="1">IFERROR(__xludf.DUMMYFUNCTION((TRANSPOSE(ImportHTML("http://spending.data.al/sq/moneypower/view/id/166/year/2013",  "table", 0)))),"*Kategoria*")</f>
        <v>*Kategoria*</v>
      </c>
      <c r="C335" s="10" t="s">
        <v>673</v>
      </c>
      <c r="D335" s="10" t="s">
        <v>674</v>
      </c>
      <c r="E335" s="10" t="s">
        <v>675</v>
      </c>
      <c r="F335" s="10" t="s">
        <v>676</v>
      </c>
      <c r="G335" s="10" t="s">
        <v>677</v>
      </c>
      <c r="H335" s="10" t="s">
        <v>678</v>
      </c>
      <c r="I335" s="10" t="s">
        <v>679</v>
      </c>
      <c r="J335" s="10" t="s">
        <v>680</v>
      </c>
      <c r="K335" s="10" t="s">
        <v>681</v>
      </c>
      <c r="L335" s="10" t="s">
        <v>682</v>
      </c>
      <c r="M335" s="10" t="s">
        <v>683</v>
      </c>
      <c r="N335" s="10" t="s">
        <v>684</v>
      </c>
      <c r="O335" s="10" t="s">
        <v>685</v>
      </c>
      <c r="P335" s="10"/>
      <c r="Q335" s="10"/>
      <c r="R335" s="10"/>
      <c r="S335" s="10"/>
      <c r="T335" s="10"/>
      <c r="U335" s="10"/>
      <c r="V335" s="10"/>
      <c r="W335" s="10"/>
      <c r="X335" s="10"/>
      <c r="Y335" s="10"/>
      <c r="Z335" s="10"/>
    </row>
    <row r="336" spans="1:26" ht="15">
      <c r="A336" s="11"/>
      <c r="B336" s="10" t="s">
        <v>686</v>
      </c>
      <c r="C336" s="10" t="s">
        <v>1311</v>
      </c>
      <c r="D336" s="10" t="s">
        <v>688</v>
      </c>
      <c r="E336" s="10" t="s">
        <v>688</v>
      </c>
      <c r="F336" s="10" t="s">
        <v>688</v>
      </c>
      <c r="G336" s="10" t="s">
        <v>688</v>
      </c>
      <c r="H336" s="10" t="s">
        <v>688</v>
      </c>
      <c r="I336" s="10" t="s">
        <v>688</v>
      </c>
      <c r="J336" s="10" t="s">
        <v>688</v>
      </c>
      <c r="K336" s="10" t="s">
        <v>688</v>
      </c>
      <c r="L336" s="10" t="s">
        <v>1312</v>
      </c>
      <c r="M336" s="10" t="s">
        <v>688</v>
      </c>
      <c r="N336" s="10">
        <v>1.36</v>
      </c>
      <c r="O336" s="10" t="s">
        <v>1313</v>
      </c>
      <c r="P336" s="10"/>
      <c r="Q336" s="10"/>
      <c r="R336" s="10"/>
      <c r="S336" s="10"/>
      <c r="T336" s="10"/>
      <c r="U336" s="10"/>
      <c r="V336" s="10"/>
      <c r="W336" s="10"/>
      <c r="X336" s="10"/>
      <c r="Y336" s="10"/>
      <c r="Z336" s="10"/>
    </row>
    <row r="337" spans="1:26" ht="15">
      <c r="A337" s="9">
        <v>167</v>
      </c>
      <c r="B337" s="10" t="str">
        <f ca="1">IFERROR(__xludf.DUMMYFUNCTION((TRANSPOSE(ImportHTML("http://spending.data.al/sq/moneypower/view/id/167/year/2013",  "table", 0)))),"*Kategoria*")</f>
        <v>*Kategoria*</v>
      </c>
      <c r="C337" s="10" t="s">
        <v>673</v>
      </c>
      <c r="D337" s="10" t="s">
        <v>674</v>
      </c>
      <c r="E337" s="10" t="s">
        <v>675</v>
      </c>
      <c r="F337" s="10" t="s">
        <v>676</v>
      </c>
      <c r="G337" s="10" t="s">
        <v>677</v>
      </c>
      <c r="H337" s="10" t="s">
        <v>678</v>
      </c>
      <c r="I337" s="10" t="s">
        <v>679</v>
      </c>
      <c r="J337" s="10" t="s">
        <v>680</v>
      </c>
      <c r="K337" s="10" t="s">
        <v>681</v>
      </c>
      <c r="L337" s="10" t="s">
        <v>682</v>
      </c>
      <c r="M337" s="10" t="s">
        <v>683</v>
      </c>
      <c r="N337" s="10" t="s">
        <v>684</v>
      </c>
      <c r="O337" s="10" t="s">
        <v>685</v>
      </c>
      <c r="P337" s="10"/>
      <c r="Q337" s="10"/>
      <c r="R337" s="10"/>
      <c r="S337" s="10"/>
      <c r="T337" s="10"/>
      <c r="U337" s="10"/>
      <c r="V337" s="10"/>
      <c r="W337" s="10"/>
      <c r="X337" s="10"/>
      <c r="Y337" s="10"/>
      <c r="Z337" s="10"/>
    </row>
    <row r="338" spans="1:26" ht="15">
      <c r="A338" s="11"/>
      <c r="B338" s="10" t="s">
        <v>686</v>
      </c>
      <c r="C338" s="10" t="s">
        <v>1314</v>
      </c>
      <c r="D338" s="10" t="s">
        <v>688</v>
      </c>
      <c r="E338" s="10" t="s">
        <v>688</v>
      </c>
      <c r="F338" s="10" t="s">
        <v>688</v>
      </c>
      <c r="G338" s="10" t="s">
        <v>688</v>
      </c>
      <c r="H338" s="10" t="s">
        <v>688</v>
      </c>
      <c r="I338" s="10" t="s">
        <v>688</v>
      </c>
      <c r="J338" s="10" t="s">
        <v>688</v>
      </c>
      <c r="K338" s="10" t="s">
        <v>688</v>
      </c>
      <c r="L338" s="10" t="s">
        <v>1315</v>
      </c>
      <c r="M338" s="10" t="s">
        <v>688</v>
      </c>
      <c r="N338" s="10">
        <v>1</v>
      </c>
      <c r="O338" s="10" t="s">
        <v>688</v>
      </c>
      <c r="P338" s="10"/>
      <c r="Q338" s="10"/>
      <c r="R338" s="10"/>
      <c r="S338" s="10"/>
      <c r="T338" s="10"/>
      <c r="U338" s="10"/>
      <c r="V338" s="10"/>
      <c r="W338" s="10"/>
      <c r="X338" s="10"/>
      <c r="Y338" s="10"/>
      <c r="Z338" s="10"/>
    </row>
    <row r="339" spans="1:26" ht="15">
      <c r="A339" s="9">
        <v>168</v>
      </c>
      <c r="B339" s="10" t="str">
        <f ca="1">IFERROR(__xludf.DUMMYFUNCTION((TRANSPOSE(ImportHTML("http://spending.data.al/sq/moneypower/view/id/168/year/2013",  "table", 0)))),"*Kategoria*")</f>
        <v>*Kategoria*</v>
      </c>
      <c r="C339" s="10" t="s">
        <v>673</v>
      </c>
      <c r="D339" s="10" t="s">
        <v>674</v>
      </c>
      <c r="E339" s="10" t="s">
        <v>675</v>
      </c>
      <c r="F339" s="10" t="s">
        <v>676</v>
      </c>
      <c r="G339" s="10" t="s">
        <v>677</v>
      </c>
      <c r="H339" s="10" t="s">
        <v>678</v>
      </c>
      <c r="I339" s="10" t="s">
        <v>679</v>
      </c>
      <c r="J339" s="10" t="s">
        <v>680</v>
      </c>
      <c r="K339" s="10" t="s">
        <v>681</v>
      </c>
      <c r="L339" s="10" t="s">
        <v>682</v>
      </c>
      <c r="M339" s="10" t="s">
        <v>683</v>
      </c>
      <c r="N339" s="10" t="s">
        <v>684</v>
      </c>
      <c r="O339" s="10" t="s">
        <v>685</v>
      </c>
      <c r="P339" s="10"/>
      <c r="Q339" s="10"/>
      <c r="R339" s="10"/>
      <c r="S339" s="10"/>
      <c r="T339" s="10"/>
      <c r="U339" s="10"/>
      <c r="V339" s="10"/>
      <c r="W339" s="10"/>
      <c r="X339" s="10"/>
      <c r="Y339" s="10"/>
      <c r="Z339" s="10"/>
    </row>
    <row r="340" spans="1:26" ht="15">
      <c r="A340" s="11"/>
      <c r="B340" s="10" t="s">
        <v>686</v>
      </c>
      <c r="C340" s="10" t="s">
        <v>1316</v>
      </c>
      <c r="D340" s="10" t="s">
        <v>688</v>
      </c>
      <c r="E340" s="10" t="s">
        <v>688</v>
      </c>
      <c r="F340" s="10" t="s">
        <v>688</v>
      </c>
      <c r="G340" s="10" t="s">
        <v>688</v>
      </c>
      <c r="H340" s="10" t="s">
        <v>688</v>
      </c>
      <c r="I340" s="10" t="s">
        <v>688</v>
      </c>
      <c r="J340" s="10" t="s">
        <v>688</v>
      </c>
      <c r="K340" s="10" t="s">
        <v>688</v>
      </c>
      <c r="L340" s="10" t="s">
        <v>1317</v>
      </c>
      <c r="M340" s="10" t="s">
        <v>688</v>
      </c>
      <c r="N340" s="10">
        <v>1</v>
      </c>
      <c r="O340" s="10" t="s">
        <v>1318</v>
      </c>
      <c r="P340" s="10"/>
      <c r="Q340" s="10"/>
      <c r="R340" s="10"/>
      <c r="S340" s="10"/>
      <c r="T340" s="10"/>
      <c r="U340" s="10"/>
      <c r="V340" s="10"/>
      <c r="W340" s="10"/>
      <c r="X340" s="10"/>
      <c r="Y340" s="10"/>
      <c r="Z340" s="10"/>
    </row>
    <row r="341" spans="1:26" ht="15">
      <c r="A341" s="9">
        <v>169</v>
      </c>
      <c r="B341" s="10" t="str">
        <f ca="1">IFERROR(__xludf.DUMMYFUNCTION((TRANSPOSE(ImportHTML("http://spending.data.al/sq/moneypower/view/id/169/year/2013",  "table", 0)))),"*Kategoria*")</f>
        <v>*Kategoria*</v>
      </c>
      <c r="C341" s="10" t="s">
        <v>673</v>
      </c>
      <c r="D341" s="10" t="s">
        <v>674</v>
      </c>
      <c r="E341" s="10" t="s">
        <v>675</v>
      </c>
      <c r="F341" s="10" t="s">
        <v>676</v>
      </c>
      <c r="G341" s="10" t="s">
        <v>677</v>
      </c>
      <c r="H341" s="10" t="s">
        <v>678</v>
      </c>
      <c r="I341" s="10" t="s">
        <v>679</v>
      </c>
      <c r="J341" s="10" t="s">
        <v>680</v>
      </c>
      <c r="K341" s="10" t="s">
        <v>681</v>
      </c>
      <c r="L341" s="10" t="s">
        <v>682</v>
      </c>
      <c r="M341" s="10" t="s">
        <v>683</v>
      </c>
      <c r="N341" s="10" t="s">
        <v>684</v>
      </c>
      <c r="O341" s="10" t="s">
        <v>685</v>
      </c>
      <c r="P341" s="10"/>
      <c r="Q341" s="10"/>
      <c r="R341" s="10"/>
      <c r="S341" s="10"/>
      <c r="T341" s="10"/>
      <c r="U341" s="10"/>
      <c r="V341" s="10"/>
      <c r="W341" s="10"/>
      <c r="X341" s="10"/>
      <c r="Y341" s="10"/>
      <c r="Z341" s="10"/>
    </row>
    <row r="342" spans="1:26" ht="15">
      <c r="A342" s="11"/>
      <c r="B342" s="10" t="s">
        <v>686</v>
      </c>
      <c r="C342" s="10" t="s">
        <v>1319</v>
      </c>
      <c r="D342" s="10" t="s">
        <v>688</v>
      </c>
      <c r="E342" s="10" t="s">
        <v>688</v>
      </c>
      <c r="F342" s="10" t="s">
        <v>688</v>
      </c>
      <c r="G342" s="10" t="s">
        <v>688</v>
      </c>
      <c r="H342" s="10" t="s">
        <v>688</v>
      </c>
      <c r="I342" s="10" t="s">
        <v>688</v>
      </c>
      <c r="J342" s="10" t="s">
        <v>688</v>
      </c>
      <c r="K342" s="10" t="s">
        <v>688</v>
      </c>
      <c r="L342" s="10" t="s">
        <v>1320</v>
      </c>
      <c r="M342" s="10" t="s">
        <v>688</v>
      </c>
      <c r="N342" s="10">
        <v>1</v>
      </c>
      <c r="O342" s="10" t="s">
        <v>688</v>
      </c>
      <c r="P342" s="10"/>
      <c r="Q342" s="10"/>
      <c r="R342" s="10"/>
      <c r="S342" s="10"/>
      <c r="T342" s="10"/>
      <c r="U342" s="10"/>
      <c r="V342" s="10"/>
      <c r="W342" s="10"/>
      <c r="X342" s="10"/>
      <c r="Y342" s="10"/>
      <c r="Z342" s="10"/>
    </row>
    <row r="343" spans="1:26" ht="15">
      <c r="A343" s="9">
        <v>170</v>
      </c>
      <c r="B343" s="10" t="str">
        <f ca="1">IFERROR(__xludf.DUMMYFUNCTION((TRANSPOSE(ImportHTML("http://spending.data.al/sq/moneypower/view/id/170/year/2013",  "table", 0)))),"*Kategoria*")</f>
        <v>*Kategoria*</v>
      </c>
      <c r="C343" s="10" t="s">
        <v>673</v>
      </c>
      <c r="D343" s="10" t="s">
        <v>674</v>
      </c>
      <c r="E343" s="10" t="s">
        <v>675</v>
      </c>
      <c r="F343" s="10" t="s">
        <v>676</v>
      </c>
      <c r="G343" s="10" t="s">
        <v>677</v>
      </c>
      <c r="H343" s="10" t="s">
        <v>678</v>
      </c>
      <c r="I343" s="10" t="s">
        <v>679</v>
      </c>
      <c r="J343" s="10" t="s">
        <v>680</v>
      </c>
      <c r="K343" s="10" t="s">
        <v>681</v>
      </c>
      <c r="L343" s="10" t="s">
        <v>682</v>
      </c>
      <c r="M343" s="10" t="s">
        <v>683</v>
      </c>
      <c r="N343" s="10" t="s">
        <v>684</v>
      </c>
      <c r="O343" s="10" t="s">
        <v>685</v>
      </c>
      <c r="P343" s="10"/>
      <c r="Q343" s="10"/>
      <c r="R343" s="10"/>
      <c r="S343" s="10"/>
      <c r="T343" s="10"/>
      <c r="U343" s="10"/>
      <c r="V343" s="10"/>
      <c r="W343" s="10"/>
      <c r="X343" s="10"/>
      <c r="Y343" s="10"/>
      <c r="Z343" s="10"/>
    </row>
    <row r="344" spans="1:26" ht="15">
      <c r="A344" s="11"/>
      <c r="B344" s="10" t="s">
        <v>686</v>
      </c>
      <c r="C344" s="10" t="s">
        <v>1321</v>
      </c>
      <c r="D344" s="10" t="s">
        <v>688</v>
      </c>
      <c r="E344" s="10" t="s">
        <v>688</v>
      </c>
      <c r="F344" s="10" t="s">
        <v>688</v>
      </c>
      <c r="G344" s="10" t="s">
        <v>688</v>
      </c>
      <c r="H344" s="10" t="s">
        <v>688</v>
      </c>
      <c r="I344" s="10" t="s">
        <v>688</v>
      </c>
      <c r="J344" s="10" t="s">
        <v>688</v>
      </c>
      <c r="K344" s="10" t="s">
        <v>688</v>
      </c>
      <c r="L344" s="10" t="s">
        <v>1322</v>
      </c>
      <c r="M344" s="10" t="s">
        <v>688</v>
      </c>
      <c r="N344" s="10">
        <v>1</v>
      </c>
      <c r="O344" s="10" t="s">
        <v>707</v>
      </c>
      <c r="P344" s="10"/>
      <c r="Q344" s="10"/>
      <c r="R344" s="10"/>
      <c r="S344" s="10"/>
      <c r="T344" s="10"/>
      <c r="U344" s="10"/>
      <c r="V344" s="10"/>
      <c r="W344" s="10"/>
      <c r="X344" s="10"/>
      <c r="Y344" s="10"/>
      <c r="Z344" s="10"/>
    </row>
    <row r="345" spans="1:26" ht="15">
      <c r="A345" s="9">
        <v>171</v>
      </c>
      <c r="B345" s="10" t="str">
        <f ca="1">IFERROR(__xludf.DUMMYFUNCTION((TRANSPOSE(ImportHTML("http://spending.data.al/sq/moneypower/view/id/171/year/2013",  "table", 0)))),"*Kategoria*")</f>
        <v>*Kategoria*</v>
      </c>
      <c r="C345" s="10" t="s">
        <v>673</v>
      </c>
      <c r="D345" s="10" t="s">
        <v>674</v>
      </c>
      <c r="E345" s="10" t="s">
        <v>675</v>
      </c>
      <c r="F345" s="10" t="s">
        <v>676</v>
      </c>
      <c r="G345" s="10" t="s">
        <v>677</v>
      </c>
      <c r="H345" s="10" t="s">
        <v>678</v>
      </c>
      <c r="I345" s="10" t="s">
        <v>679</v>
      </c>
      <c r="J345" s="10" t="s">
        <v>680</v>
      </c>
      <c r="K345" s="10" t="s">
        <v>681</v>
      </c>
      <c r="L345" s="10" t="s">
        <v>682</v>
      </c>
      <c r="M345" s="10" t="s">
        <v>683</v>
      </c>
      <c r="N345" s="10" t="s">
        <v>684</v>
      </c>
      <c r="O345" s="10" t="s">
        <v>685</v>
      </c>
      <c r="P345" s="10"/>
      <c r="Q345" s="10"/>
      <c r="R345" s="10"/>
      <c r="S345" s="10"/>
      <c r="T345" s="10"/>
      <c r="U345" s="10"/>
      <c r="V345" s="10"/>
      <c r="W345" s="10"/>
      <c r="X345" s="10"/>
      <c r="Y345" s="10"/>
      <c r="Z345" s="10"/>
    </row>
    <row r="346" spans="1:26" ht="15">
      <c r="A346" s="11"/>
      <c r="B346" s="10" t="s">
        <v>686</v>
      </c>
      <c r="C346" s="10" t="s">
        <v>1323</v>
      </c>
      <c r="D346" s="10" t="s">
        <v>1324</v>
      </c>
      <c r="E346" s="10" t="s">
        <v>688</v>
      </c>
      <c r="F346" s="10" t="s">
        <v>688</v>
      </c>
      <c r="G346" s="10" t="s">
        <v>1325</v>
      </c>
      <c r="H346" s="10" t="s">
        <v>688</v>
      </c>
      <c r="I346" s="10" t="s">
        <v>688</v>
      </c>
      <c r="J346" s="10" t="s">
        <v>688</v>
      </c>
      <c r="K346" s="10" t="s">
        <v>688</v>
      </c>
      <c r="L346" s="10" t="s">
        <v>1326</v>
      </c>
      <c r="M346" s="10" t="s">
        <v>688</v>
      </c>
      <c r="N346" s="10">
        <v>1.1499999999999999</v>
      </c>
      <c r="O346" s="10" t="s">
        <v>1327</v>
      </c>
      <c r="P346" s="10"/>
      <c r="Q346" s="10"/>
      <c r="R346" s="10"/>
      <c r="S346" s="10"/>
      <c r="T346" s="10"/>
      <c r="U346" s="10"/>
      <c r="V346" s="10"/>
      <c r="W346" s="10"/>
      <c r="X346" s="10"/>
      <c r="Y346" s="10"/>
      <c r="Z346" s="10"/>
    </row>
    <row r="347" spans="1:26" ht="15">
      <c r="A347" s="9">
        <v>172</v>
      </c>
      <c r="B347" s="10" t="str">
        <f ca="1">IFERROR(__xludf.DUMMYFUNCTION((TRANSPOSE(ImportHTML("http://spending.data.al/sq/moneypower/view/id/172/year/2013",  "table", 0)))),"*Kategoria*")</f>
        <v>*Kategoria*</v>
      </c>
      <c r="C347" s="10" t="s">
        <v>673</v>
      </c>
      <c r="D347" s="10" t="s">
        <v>674</v>
      </c>
      <c r="E347" s="10" t="s">
        <v>675</v>
      </c>
      <c r="F347" s="10" t="s">
        <v>676</v>
      </c>
      <c r="G347" s="10" t="s">
        <v>677</v>
      </c>
      <c r="H347" s="10" t="s">
        <v>678</v>
      </c>
      <c r="I347" s="10" t="s">
        <v>679</v>
      </c>
      <c r="J347" s="10" t="s">
        <v>680</v>
      </c>
      <c r="K347" s="10" t="s">
        <v>681</v>
      </c>
      <c r="L347" s="10" t="s">
        <v>682</v>
      </c>
      <c r="M347" s="10" t="s">
        <v>683</v>
      </c>
      <c r="N347" s="10" t="s">
        <v>684</v>
      </c>
      <c r="O347" s="10" t="s">
        <v>685</v>
      </c>
      <c r="P347" s="10"/>
      <c r="Q347" s="10"/>
      <c r="R347" s="10"/>
      <c r="S347" s="10"/>
      <c r="T347" s="10"/>
      <c r="U347" s="10"/>
      <c r="V347" s="10"/>
      <c r="W347" s="10"/>
      <c r="X347" s="10"/>
      <c r="Y347" s="10"/>
      <c r="Z347" s="10"/>
    </row>
    <row r="348" spans="1:26" ht="15">
      <c r="A348" s="11"/>
      <c r="B348" s="10" t="s">
        <v>686</v>
      </c>
      <c r="C348" s="10" t="s">
        <v>1328</v>
      </c>
      <c r="D348" s="10" t="s">
        <v>688</v>
      </c>
      <c r="E348" s="10" t="s">
        <v>688</v>
      </c>
      <c r="F348" s="10" t="s">
        <v>688</v>
      </c>
      <c r="G348" s="10" t="s">
        <v>688</v>
      </c>
      <c r="H348" s="10" t="s">
        <v>688</v>
      </c>
      <c r="I348" s="10" t="s">
        <v>688</v>
      </c>
      <c r="J348" s="10" t="s">
        <v>688</v>
      </c>
      <c r="K348" s="10" t="s">
        <v>688</v>
      </c>
      <c r="L348" s="10" t="s">
        <v>1329</v>
      </c>
      <c r="M348" s="10" t="s">
        <v>688</v>
      </c>
      <c r="N348" s="10">
        <v>1.07</v>
      </c>
      <c r="O348" s="10" t="s">
        <v>688</v>
      </c>
      <c r="P348" s="10"/>
      <c r="Q348" s="10"/>
      <c r="R348" s="10"/>
      <c r="S348" s="10"/>
      <c r="T348" s="10"/>
      <c r="U348" s="10"/>
      <c r="V348" s="10"/>
      <c r="W348" s="10"/>
      <c r="X348" s="10"/>
      <c r="Y348" s="10"/>
      <c r="Z348" s="10"/>
    </row>
    <row r="349" spans="1:26" ht="15">
      <c r="A349" s="9">
        <v>173</v>
      </c>
      <c r="B349" s="10" t="str">
        <f ca="1">IFERROR(__xludf.DUMMYFUNCTION((TRANSPOSE(ImportHTML("http://spending.data.al/sq/moneypower/view/id/173/year/2013",  "table", 0)))),"*Kategoria*")</f>
        <v>*Kategoria*</v>
      </c>
      <c r="C349" s="10" t="s">
        <v>673</v>
      </c>
      <c r="D349" s="10" t="s">
        <v>674</v>
      </c>
      <c r="E349" s="10" t="s">
        <v>675</v>
      </c>
      <c r="F349" s="10" t="s">
        <v>676</v>
      </c>
      <c r="G349" s="10" t="s">
        <v>677</v>
      </c>
      <c r="H349" s="10" t="s">
        <v>678</v>
      </c>
      <c r="I349" s="10" t="s">
        <v>679</v>
      </c>
      <c r="J349" s="10" t="s">
        <v>680</v>
      </c>
      <c r="K349" s="10" t="s">
        <v>681</v>
      </c>
      <c r="L349" s="10" t="s">
        <v>682</v>
      </c>
      <c r="M349" s="10" t="s">
        <v>683</v>
      </c>
      <c r="N349" s="10" t="s">
        <v>684</v>
      </c>
      <c r="O349" s="10" t="s">
        <v>685</v>
      </c>
      <c r="P349" s="10"/>
      <c r="Q349" s="10"/>
      <c r="R349" s="10"/>
      <c r="S349" s="10"/>
      <c r="T349" s="10"/>
      <c r="U349" s="10"/>
      <c r="V349" s="10"/>
      <c r="W349" s="10"/>
      <c r="X349" s="10"/>
      <c r="Y349" s="10"/>
      <c r="Z349" s="10"/>
    </row>
    <row r="350" spans="1:26" ht="15">
      <c r="A350" s="11"/>
      <c r="B350" s="10" t="s">
        <v>686</v>
      </c>
      <c r="C350" s="10" t="s">
        <v>1330</v>
      </c>
      <c r="D350" s="10" t="s">
        <v>688</v>
      </c>
      <c r="E350" s="10" t="s">
        <v>688</v>
      </c>
      <c r="F350" s="10" t="s">
        <v>688</v>
      </c>
      <c r="G350" s="10" t="s">
        <v>688</v>
      </c>
      <c r="H350" s="10" t="s">
        <v>688</v>
      </c>
      <c r="I350" s="10" t="s">
        <v>688</v>
      </c>
      <c r="J350" s="10" t="s">
        <v>688</v>
      </c>
      <c r="K350" s="10" t="s">
        <v>688</v>
      </c>
      <c r="L350" s="10" t="s">
        <v>1331</v>
      </c>
      <c r="M350" s="10" t="s">
        <v>688</v>
      </c>
      <c r="N350" s="10">
        <v>1</v>
      </c>
      <c r="O350" s="10" t="s">
        <v>1332</v>
      </c>
      <c r="P350" s="10"/>
      <c r="Q350" s="10"/>
      <c r="R350" s="10"/>
      <c r="S350" s="10"/>
      <c r="T350" s="10"/>
      <c r="U350" s="10"/>
      <c r="V350" s="10"/>
      <c r="W350" s="10"/>
      <c r="X350" s="10"/>
      <c r="Y350" s="10"/>
      <c r="Z350" s="10"/>
    </row>
    <row r="351" spans="1:26" ht="15">
      <c r="A351" s="9">
        <v>174</v>
      </c>
      <c r="B351" s="10" t="str">
        <f ca="1">IFERROR(__xludf.DUMMYFUNCTION((TRANSPOSE(ImportHTML("http://spending.data.al/sq/moneypower/view/id/174/year/2013",  "table", 0)))),"*Kategoria*")</f>
        <v>*Kategoria*</v>
      </c>
      <c r="C351" s="10" t="s">
        <v>673</v>
      </c>
      <c r="D351" s="10" t="s">
        <v>674</v>
      </c>
      <c r="E351" s="10" t="s">
        <v>675</v>
      </c>
      <c r="F351" s="10" t="s">
        <v>676</v>
      </c>
      <c r="G351" s="10" t="s">
        <v>677</v>
      </c>
      <c r="H351" s="10" t="s">
        <v>678</v>
      </c>
      <c r="I351" s="10" t="s">
        <v>679</v>
      </c>
      <c r="J351" s="10" t="s">
        <v>680</v>
      </c>
      <c r="K351" s="10" t="s">
        <v>681</v>
      </c>
      <c r="L351" s="10" t="s">
        <v>682</v>
      </c>
      <c r="M351" s="10" t="s">
        <v>683</v>
      </c>
      <c r="N351" s="10" t="s">
        <v>684</v>
      </c>
      <c r="O351" s="10" t="s">
        <v>685</v>
      </c>
      <c r="P351" s="10"/>
      <c r="Q351" s="10"/>
      <c r="R351" s="10"/>
      <c r="S351" s="10"/>
      <c r="T351" s="10"/>
      <c r="U351" s="10"/>
      <c r="V351" s="10"/>
      <c r="W351" s="10"/>
      <c r="X351" s="10"/>
      <c r="Y351" s="10"/>
      <c r="Z351" s="10"/>
    </row>
    <row r="352" spans="1:26" ht="15">
      <c r="A352" s="11"/>
      <c r="B352" s="10" t="s">
        <v>686</v>
      </c>
      <c r="C352" s="10" t="s">
        <v>1333</v>
      </c>
      <c r="D352" s="10" t="s">
        <v>688</v>
      </c>
      <c r="E352" s="10" t="s">
        <v>688</v>
      </c>
      <c r="F352" s="10" t="s">
        <v>688</v>
      </c>
      <c r="G352" s="10" t="s">
        <v>688</v>
      </c>
      <c r="H352" s="10" t="s">
        <v>688</v>
      </c>
      <c r="I352" s="10" t="s">
        <v>688</v>
      </c>
      <c r="J352" s="10" t="s">
        <v>688</v>
      </c>
      <c r="K352" s="10" t="s">
        <v>688</v>
      </c>
      <c r="L352" s="10" t="s">
        <v>1334</v>
      </c>
      <c r="M352" s="10" t="s">
        <v>688</v>
      </c>
      <c r="N352" s="10">
        <v>1</v>
      </c>
      <c r="O352" s="10" t="s">
        <v>1335</v>
      </c>
      <c r="P352" s="10"/>
      <c r="Q352" s="10"/>
      <c r="R352" s="10"/>
      <c r="S352" s="10"/>
      <c r="T352" s="10"/>
      <c r="U352" s="10"/>
      <c r="V352" s="10"/>
      <c r="W352" s="10"/>
      <c r="X352" s="10"/>
      <c r="Y352" s="10"/>
      <c r="Z352" s="10"/>
    </row>
    <row r="353" spans="1:26" ht="15">
      <c r="A353" s="9">
        <v>175</v>
      </c>
      <c r="B353" s="10" t="str">
        <f ca="1">IFERROR(__xludf.DUMMYFUNCTION((TRANSPOSE(ImportHTML("http://spending.data.al/sq/moneypower/view/id/175/year/2013",  "table", 0)))),"*Kategoria*")</f>
        <v>*Kategoria*</v>
      </c>
      <c r="C353" s="10" t="s">
        <v>673</v>
      </c>
      <c r="D353" s="10" t="s">
        <v>674</v>
      </c>
      <c r="E353" s="10" t="s">
        <v>675</v>
      </c>
      <c r="F353" s="10" t="s">
        <v>676</v>
      </c>
      <c r="G353" s="10" t="s">
        <v>677</v>
      </c>
      <c r="H353" s="10" t="s">
        <v>678</v>
      </c>
      <c r="I353" s="10" t="s">
        <v>679</v>
      </c>
      <c r="J353" s="10" t="s">
        <v>680</v>
      </c>
      <c r="K353" s="10" t="s">
        <v>681</v>
      </c>
      <c r="L353" s="10" t="s">
        <v>682</v>
      </c>
      <c r="M353" s="10" t="s">
        <v>683</v>
      </c>
      <c r="N353" s="10" t="s">
        <v>684</v>
      </c>
      <c r="O353" s="10" t="s">
        <v>685</v>
      </c>
      <c r="P353" s="10"/>
      <c r="Q353" s="10"/>
      <c r="R353" s="10"/>
      <c r="S353" s="10"/>
      <c r="T353" s="10"/>
      <c r="U353" s="10"/>
      <c r="V353" s="10"/>
      <c r="W353" s="10"/>
      <c r="X353" s="10"/>
      <c r="Y353" s="10"/>
      <c r="Z353" s="10"/>
    </row>
    <row r="354" spans="1:26" ht="15">
      <c r="A354" s="11"/>
      <c r="B354" s="10" t="s">
        <v>686</v>
      </c>
      <c r="C354" s="10" t="s">
        <v>1336</v>
      </c>
      <c r="D354" s="10" t="s">
        <v>688</v>
      </c>
      <c r="E354" s="10" t="s">
        <v>688</v>
      </c>
      <c r="F354" s="10" t="s">
        <v>688</v>
      </c>
      <c r="G354" s="10" t="s">
        <v>688</v>
      </c>
      <c r="H354" s="10" t="s">
        <v>688</v>
      </c>
      <c r="I354" s="10" t="s">
        <v>688</v>
      </c>
      <c r="J354" s="10" t="s">
        <v>688</v>
      </c>
      <c r="K354" s="10" t="s">
        <v>688</v>
      </c>
      <c r="L354" s="10" t="s">
        <v>1337</v>
      </c>
      <c r="M354" s="10" t="s">
        <v>688</v>
      </c>
      <c r="N354" s="10">
        <v>1.25</v>
      </c>
      <c r="O354" s="10" t="s">
        <v>1338</v>
      </c>
      <c r="P354" s="10"/>
      <c r="Q354" s="10"/>
      <c r="R354" s="10"/>
      <c r="S354" s="10"/>
      <c r="T354" s="10"/>
      <c r="U354" s="10"/>
      <c r="V354" s="10"/>
      <c r="W354" s="10"/>
      <c r="X354" s="10"/>
      <c r="Y354" s="10"/>
      <c r="Z354" s="10"/>
    </row>
    <row r="355" spans="1:26" ht="15">
      <c r="A355" s="9">
        <v>176</v>
      </c>
      <c r="B355" s="10" t="str">
        <f ca="1">IFERROR(__xludf.DUMMYFUNCTION((TRANSPOSE(ImportHTML("http://spending.data.al/sq/moneypower/view/id/176/year/2013",  "table", 0)))),"*Kategoria*")</f>
        <v>*Kategoria*</v>
      </c>
      <c r="C355" s="10" t="s">
        <v>673</v>
      </c>
      <c r="D355" s="10" t="s">
        <v>674</v>
      </c>
      <c r="E355" s="10" t="s">
        <v>675</v>
      </c>
      <c r="F355" s="10" t="s">
        <v>676</v>
      </c>
      <c r="G355" s="10" t="s">
        <v>677</v>
      </c>
      <c r="H355" s="10" t="s">
        <v>678</v>
      </c>
      <c r="I355" s="10" t="s">
        <v>679</v>
      </c>
      <c r="J355" s="10" t="s">
        <v>680</v>
      </c>
      <c r="K355" s="10" t="s">
        <v>681</v>
      </c>
      <c r="L355" s="10" t="s">
        <v>682</v>
      </c>
      <c r="M355" s="10" t="s">
        <v>683</v>
      </c>
      <c r="N355" s="10" t="s">
        <v>684</v>
      </c>
      <c r="O355" s="10" t="s">
        <v>685</v>
      </c>
      <c r="P355" s="10"/>
      <c r="Q355" s="10"/>
      <c r="R355" s="10"/>
      <c r="S355" s="10"/>
      <c r="T355" s="10"/>
      <c r="U355" s="10"/>
      <c r="V355" s="10"/>
      <c r="W355" s="10"/>
      <c r="X355" s="10"/>
      <c r="Y355" s="10"/>
      <c r="Z355" s="10"/>
    </row>
    <row r="356" spans="1:26" ht="15">
      <c r="A356" s="11"/>
      <c r="B356" s="10" t="s">
        <v>686</v>
      </c>
      <c r="C356" s="10" t="s">
        <v>688</v>
      </c>
      <c r="D356" s="10" t="s">
        <v>688</v>
      </c>
      <c r="E356" s="10" t="s">
        <v>688</v>
      </c>
      <c r="F356" s="10" t="s">
        <v>688</v>
      </c>
      <c r="G356" s="10" t="s">
        <v>688</v>
      </c>
      <c r="H356" s="10" t="s">
        <v>688</v>
      </c>
      <c r="I356" s="10" t="s">
        <v>688</v>
      </c>
      <c r="J356" s="10" t="s">
        <v>688</v>
      </c>
      <c r="K356" s="10" t="s">
        <v>688</v>
      </c>
      <c r="L356" s="10" t="s">
        <v>688</v>
      </c>
      <c r="M356" s="10" t="s">
        <v>688</v>
      </c>
      <c r="N356" s="10" t="s">
        <v>707</v>
      </c>
      <c r="O356" s="10" t="s">
        <v>1339</v>
      </c>
      <c r="P356" s="10"/>
      <c r="Q356" s="10"/>
      <c r="R356" s="10"/>
      <c r="S356" s="10"/>
      <c r="T356" s="10"/>
      <c r="U356" s="10"/>
      <c r="V356" s="10"/>
      <c r="W356" s="10"/>
      <c r="X356" s="10"/>
      <c r="Y356" s="10"/>
      <c r="Z356" s="10"/>
    </row>
    <row r="357" spans="1:26" ht="15">
      <c r="A357" s="9">
        <v>177</v>
      </c>
      <c r="B357" s="10" t="str">
        <f ca="1">IFERROR(__xludf.DUMMYFUNCTION((TRANSPOSE(ImportHTML("http://spending.data.al/sq/moneypower/view/id/177/year/2013",  "table", 0)))),"*Kategoria*")</f>
        <v>*Kategoria*</v>
      </c>
      <c r="C357" s="10" t="s">
        <v>673</v>
      </c>
      <c r="D357" s="10" t="s">
        <v>674</v>
      </c>
      <c r="E357" s="10" t="s">
        <v>675</v>
      </c>
      <c r="F357" s="10" t="s">
        <v>676</v>
      </c>
      <c r="G357" s="10" t="s">
        <v>677</v>
      </c>
      <c r="H357" s="10" t="s">
        <v>678</v>
      </c>
      <c r="I357" s="10" t="s">
        <v>679</v>
      </c>
      <c r="J357" s="10" t="s">
        <v>680</v>
      </c>
      <c r="K357" s="10" t="s">
        <v>681</v>
      </c>
      <c r="L357" s="10" t="s">
        <v>682</v>
      </c>
      <c r="M357" s="10" t="s">
        <v>683</v>
      </c>
      <c r="N357" s="10" t="s">
        <v>684</v>
      </c>
      <c r="O357" s="10" t="s">
        <v>685</v>
      </c>
      <c r="P357" s="10"/>
      <c r="Q357" s="10"/>
      <c r="R357" s="10"/>
      <c r="S357" s="10"/>
      <c r="T357" s="10"/>
      <c r="U357" s="10"/>
      <c r="V357" s="10"/>
      <c r="W357" s="10"/>
      <c r="X357" s="10"/>
      <c r="Y357" s="10"/>
      <c r="Z357" s="10"/>
    </row>
    <row r="358" spans="1:26" ht="15">
      <c r="A358" s="11"/>
      <c r="B358" s="10" t="s">
        <v>686</v>
      </c>
      <c r="C358" s="10" t="s">
        <v>1340</v>
      </c>
      <c r="D358" s="10" t="s">
        <v>688</v>
      </c>
      <c r="E358" s="10" t="s">
        <v>688</v>
      </c>
      <c r="F358" s="10" t="s">
        <v>688</v>
      </c>
      <c r="G358" s="10" t="s">
        <v>688</v>
      </c>
      <c r="H358" s="10" t="s">
        <v>688</v>
      </c>
      <c r="I358" s="10" t="s">
        <v>688</v>
      </c>
      <c r="J358" s="10" t="s">
        <v>1341</v>
      </c>
      <c r="K358" s="10" t="s">
        <v>688</v>
      </c>
      <c r="L358" s="10" t="s">
        <v>688</v>
      </c>
      <c r="M358" s="10" t="s">
        <v>688</v>
      </c>
      <c r="N358" s="10">
        <v>1.03</v>
      </c>
      <c r="O358" s="10" t="s">
        <v>1342</v>
      </c>
      <c r="P358" s="10"/>
      <c r="Q358" s="10"/>
      <c r="R358" s="10"/>
      <c r="S358" s="10"/>
      <c r="T358" s="10"/>
      <c r="U358" s="10"/>
      <c r="V358" s="10"/>
      <c r="W358" s="10"/>
      <c r="X358" s="10"/>
      <c r="Y358" s="10"/>
      <c r="Z358" s="10"/>
    </row>
    <row r="359" spans="1:26" ht="15">
      <c r="A359" s="9">
        <v>178</v>
      </c>
      <c r="B359" s="10" t="str">
        <f ca="1">IFERROR(__xludf.DUMMYFUNCTION((TRANSPOSE(ImportHTML("http://spending.data.al/sq/moneypower/view/id/178/year/2013",  "table", 0)))),"*Kategoria*")</f>
        <v>*Kategoria*</v>
      </c>
      <c r="C359" s="10" t="s">
        <v>673</v>
      </c>
      <c r="D359" s="10" t="s">
        <v>674</v>
      </c>
      <c r="E359" s="10" t="s">
        <v>675</v>
      </c>
      <c r="F359" s="10" t="s">
        <v>676</v>
      </c>
      <c r="G359" s="10" t="s">
        <v>677</v>
      </c>
      <c r="H359" s="10" t="s">
        <v>678</v>
      </c>
      <c r="I359" s="10" t="s">
        <v>679</v>
      </c>
      <c r="J359" s="10" t="s">
        <v>680</v>
      </c>
      <c r="K359" s="10" t="s">
        <v>681</v>
      </c>
      <c r="L359" s="10" t="s">
        <v>682</v>
      </c>
      <c r="M359" s="10" t="s">
        <v>683</v>
      </c>
      <c r="N359" s="10" t="s">
        <v>684</v>
      </c>
      <c r="O359" s="10" t="s">
        <v>685</v>
      </c>
      <c r="P359" s="10"/>
      <c r="Q359" s="10"/>
      <c r="R359" s="10"/>
      <c r="S359" s="10"/>
      <c r="T359" s="10"/>
      <c r="U359" s="10"/>
      <c r="V359" s="10"/>
      <c r="W359" s="10"/>
      <c r="X359" s="10"/>
      <c r="Y359" s="10"/>
      <c r="Z359" s="10"/>
    </row>
    <row r="360" spans="1:26" ht="15">
      <c r="A360" s="11"/>
      <c r="B360" s="10" t="s">
        <v>686</v>
      </c>
      <c r="C360" s="10" t="s">
        <v>1343</v>
      </c>
      <c r="D360" s="10" t="s">
        <v>688</v>
      </c>
      <c r="E360" s="10" t="s">
        <v>688</v>
      </c>
      <c r="F360" s="10" t="s">
        <v>688</v>
      </c>
      <c r="G360" s="10" t="s">
        <v>1344</v>
      </c>
      <c r="H360" s="10" t="s">
        <v>688</v>
      </c>
      <c r="I360" s="10" t="s">
        <v>688</v>
      </c>
      <c r="J360" s="10" t="s">
        <v>688</v>
      </c>
      <c r="K360" s="10" t="s">
        <v>688</v>
      </c>
      <c r="L360" s="10" t="s">
        <v>1345</v>
      </c>
      <c r="M360" s="10" t="s">
        <v>688</v>
      </c>
      <c r="N360" s="10">
        <v>1.34</v>
      </c>
      <c r="O360" s="10" t="s">
        <v>688</v>
      </c>
      <c r="P360" s="10"/>
      <c r="Q360" s="10"/>
      <c r="R360" s="10"/>
      <c r="S360" s="10"/>
      <c r="T360" s="10"/>
      <c r="U360" s="10"/>
      <c r="V360" s="10"/>
      <c r="W360" s="10"/>
      <c r="X360" s="10"/>
      <c r="Y360" s="10"/>
      <c r="Z360" s="10"/>
    </row>
    <row r="361" spans="1:26" ht="15">
      <c r="A361" s="9">
        <v>179</v>
      </c>
      <c r="B361" s="10" t="str">
        <f ca="1">IFERROR(__xludf.DUMMYFUNCTION((TRANSPOSE(ImportHTML("http://spending.data.al/sq/moneypower/view/id/179/year/2013",  "table", 0)))),"*Kategoria*")</f>
        <v>*Kategoria*</v>
      </c>
      <c r="C361" s="10" t="s">
        <v>673</v>
      </c>
      <c r="D361" s="10" t="s">
        <v>674</v>
      </c>
      <c r="E361" s="10" t="s">
        <v>675</v>
      </c>
      <c r="F361" s="10" t="s">
        <v>676</v>
      </c>
      <c r="G361" s="10" t="s">
        <v>677</v>
      </c>
      <c r="H361" s="10" t="s">
        <v>678</v>
      </c>
      <c r="I361" s="10" t="s">
        <v>679</v>
      </c>
      <c r="J361" s="10" t="s">
        <v>680</v>
      </c>
      <c r="K361" s="10" t="s">
        <v>681</v>
      </c>
      <c r="L361" s="10" t="s">
        <v>682</v>
      </c>
      <c r="M361" s="10" t="s">
        <v>683</v>
      </c>
      <c r="N361" s="10" t="s">
        <v>684</v>
      </c>
      <c r="O361" s="10" t="s">
        <v>685</v>
      </c>
      <c r="P361" s="10"/>
      <c r="Q361" s="10"/>
      <c r="R361" s="10"/>
      <c r="S361" s="10"/>
      <c r="T361" s="10"/>
      <c r="U361" s="10"/>
      <c r="V361" s="10"/>
      <c r="W361" s="10"/>
      <c r="X361" s="10"/>
      <c r="Y361" s="10"/>
      <c r="Z361" s="10"/>
    </row>
    <row r="362" spans="1:26" ht="15">
      <c r="A362" s="11"/>
      <c r="B362" s="10" t="s">
        <v>686</v>
      </c>
      <c r="C362" s="10" t="s">
        <v>1346</v>
      </c>
      <c r="D362" s="10" t="s">
        <v>688</v>
      </c>
      <c r="E362" s="10" t="s">
        <v>688</v>
      </c>
      <c r="F362" s="10" t="s">
        <v>688</v>
      </c>
      <c r="G362" s="10" t="s">
        <v>1347</v>
      </c>
      <c r="H362" s="10" t="s">
        <v>688</v>
      </c>
      <c r="I362" s="10" t="s">
        <v>688</v>
      </c>
      <c r="J362" s="10" t="s">
        <v>688</v>
      </c>
      <c r="K362" s="10" t="s">
        <v>688</v>
      </c>
      <c r="L362" s="10" t="s">
        <v>688</v>
      </c>
      <c r="M362" s="10" t="s">
        <v>688</v>
      </c>
      <c r="N362" s="10">
        <v>1.27</v>
      </c>
      <c r="O362" s="10" t="s">
        <v>688</v>
      </c>
      <c r="P362" s="10"/>
      <c r="Q362" s="10"/>
      <c r="R362" s="10"/>
      <c r="S362" s="10"/>
      <c r="T362" s="10"/>
      <c r="U362" s="10"/>
      <c r="V362" s="10"/>
      <c r="W362" s="10"/>
      <c r="X362" s="10"/>
      <c r="Y362" s="10"/>
      <c r="Z362" s="10"/>
    </row>
    <row r="363" spans="1:26" ht="15">
      <c r="A363" s="9">
        <v>180</v>
      </c>
      <c r="B363" s="10" t="str">
        <f ca="1">IFERROR(__xludf.DUMMYFUNCTION((TRANSPOSE(ImportHTML("http://spending.data.al/sq/moneypower/view/id/180/year/2013",  "table", 0)))),"*Kategoria*")</f>
        <v>*Kategoria*</v>
      </c>
      <c r="C363" s="10" t="s">
        <v>673</v>
      </c>
      <c r="D363" s="10" t="s">
        <v>674</v>
      </c>
      <c r="E363" s="10" t="s">
        <v>675</v>
      </c>
      <c r="F363" s="10" t="s">
        <v>676</v>
      </c>
      <c r="G363" s="10" t="s">
        <v>677</v>
      </c>
      <c r="H363" s="10" t="s">
        <v>678</v>
      </c>
      <c r="I363" s="10" t="s">
        <v>679</v>
      </c>
      <c r="J363" s="10" t="s">
        <v>680</v>
      </c>
      <c r="K363" s="10" t="s">
        <v>681</v>
      </c>
      <c r="L363" s="10" t="s">
        <v>682</v>
      </c>
      <c r="M363" s="10" t="s">
        <v>683</v>
      </c>
      <c r="N363" s="10" t="s">
        <v>684</v>
      </c>
      <c r="O363" s="10" t="s">
        <v>685</v>
      </c>
      <c r="P363" s="10"/>
      <c r="Q363" s="10"/>
      <c r="R363" s="10"/>
      <c r="S363" s="10"/>
      <c r="T363" s="10"/>
      <c r="U363" s="10"/>
      <c r="V363" s="10"/>
      <c r="W363" s="10"/>
      <c r="X363" s="10"/>
      <c r="Y363" s="10"/>
      <c r="Z363" s="10"/>
    </row>
    <row r="364" spans="1:26" ht="15">
      <c r="A364" s="11"/>
      <c r="B364" s="10" t="s">
        <v>686</v>
      </c>
      <c r="C364" s="10" t="s">
        <v>1348</v>
      </c>
      <c r="D364" s="10" t="s">
        <v>688</v>
      </c>
      <c r="E364" s="10" t="s">
        <v>688</v>
      </c>
      <c r="F364" s="10" t="s">
        <v>688</v>
      </c>
      <c r="G364" s="10" t="s">
        <v>688</v>
      </c>
      <c r="H364" s="10" t="s">
        <v>688</v>
      </c>
      <c r="I364" s="10" t="s">
        <v>688</v>
      </c>
      <c r="J364" s="10" t="s">
        <v>1349</v>
      </c>
      <c r="K364" s="10" t="s">
        <v>688</v>
      </c>
      <c r="L364" s="10" t="s">
        <v>688</v>
      </c>
      <c r="M364" s="10" t="s">
        <v>688</v>
      </c>
      <c r="N364" s="10">
        <v>1.03</v>
      </c>
      <c r="O364" s="10" t="s">
        <v>688</v>
      </c>
      <c r="P364" s="10"/>
      <c r="Q364" s="10"/>
      <c r="R364" s="10"/>
      <c r="S364" s="10"/>
      <c r="T364" s="10"/>
      <c r="U364" s="10"/>
      <c r="V364" s="10"/>
      <c r="W364" s="10"/>
      <c r="X364" s="10"/>
      <c r="Y364" s="10"/>
      <c r="Z364" s="10"/>
    </row>
    <row r="365" spans="1:26" ht="15">
      <c r="A365" s="9">
        <v>181</v>
      </c>
      <c r="B365" s="10" t="str">
        <f ca="1">IFERROR(__xludf.DUMMYFUNCTION((TRANSPOSE(ImportHTML("http://spending.data.al/sq/moneypower/view/id/181/year/2013",  "table", 0)))),"*Kategoria*")</f>
        <v>*Kategoria*</v>
      </c>
      <c r="C365" s="10" t="s">
        <v>673</v>
      </c>
      <c r="D365" s="10" t="s">
        <v>674</v>
      </c>
      <c r="E365" s="10" t="s">
        <v>675</v>
      </c>
      <c r="F365" s="10" t="s">
        <v>676</v>
      </c>
      <c r="G365" s="10" t="s">
        <v>677</v>
      </c>
      <c r="H365" s="10" t="s">
        <v>678</v>
      </c>
      <c r="I365" s="10" t="s">
        <v>679</v>
      </c>
      <c r="J365" s="10" t="s">
        <v>680</v>
      </c>
      <c r="K365" s="10" t="s">
        <v>681</v>
      </c>
      <c r="L365" s="10" t="s">
        <v>682</v>
      </c>
      <c r="M365" s="10" t="s">
        <v>683</v>
      </c>
      <c r="N365" s="10" t="s">
        <v>684</v>
      </c>
      <c r="O365" s="10" t="s">
        <v>685</v>
      </c>
      <c r="P365" s="10"/>
      <c r="Q365" s="10"/>
      <c r="R365" s="10"/>
      <c r="S365" s="10"/>
      <c r="T365" s="10"/>
      <c r="U365" s="10"/>
      <c r="V365" s="10"/>
      <c r="W365" s="10"/>
      <c r="X365" s="10"/>
      <c r="Y365" s="10"/>
      <c r="Z365" s="10"/>
    </row>
    <row r="366" spans="1:26" ht="15">
      <c r="A366" s="11"/>
      <c r="B366" s="10" t="s">
        <v>686</v>
      </c>
      <c r="C366" s="10" t="s">
        <v>1350</v>
      </c>
      <c r="D366" s="10" t="s">
        <v>688</v>
      </c>
      <c r="E366" s="10" t="s">
        <v>688</v>
      </c>
      <c r="F366" s="10" t="s">
        <v>688</v>
      </c>
      <c r="G366" s="10" t="s">
        <v>688</v>
      </c>
      <c r="H366" s="10" t="s">
        <v>688</v>
      </c>
      <c r="I366" s="10" t="s">
        <v>688</v>
      </c>
      <c r="J366" s="10" t="s">
        <v>688</v>
      </c>
      <c r="K366" s="10" t="s">
        <v>688</v>
      </c>
      <c r="L366" s="10" t="s">
        <v>1351</v>
      </c>
      <c r="M366" s="10" t="s">
        <v>688</v>
      </c>
      <c r="N366" s="10">
        <v>1</v>
      </c>
      <c r="O366" s="10" t="s">
        <v>1352</v>
      </c>
      <c r="P366" s="10"/>
      <c r="Q366" s="10"/>
      <c r="R366" s="10"/>
      <c r="S366" s="10"/>
      <c r="T366" s="10"/>
      <c r="U366" s="10"/>
      <c r="V366" s="10"/>
      <c r="W366" s="10"/>
      <c r="X366" s="10"/>
      <c r="Y366" s="10"/>
      <c r="Z366" s="10"/>
    </row>
    <row r="367" spans="1:26" ht="15">
      <c r="A367" s="9">
        <v>182</v>
      </c>
      <c r="B367" s="10" t="str">
        <f ca="1">IFERROR(__xludf.DUMMYFUNCTION((TRANSPOSE(ImportHTML("http://spending.data.al/sq/moneypower/view/id/182/year/2013",  "table", 0)))),"*Kategoria*")</f>
        <v>*Kategoria*</v>
      </c>
      <c r="C367" s="10" t="s">
        <v>673</v>
      </c>
      <c r="D367" s="10" t="s">
        <v>674</v>
      </c>
      <c r="E367" s="10" t="s">
        <v>675</v>
      </c>
      <c r="F367" s="10" t="s">
        <v>676</v>
      </c>
      <c r="G367" s="10" t="s">
        <v>677</v>
      </c>
      <c r="H367" s="10" t="s">
        <v>678</v>
      </c>
      <c r="I367" s="10" t="s">
        <v>679</v>
      </c>
      <c r="J367" s="10" t="s">
        <v>680</v>
      </c>
      <c r="K367" s="10" t="s">
        <v>681</v>
      </c>
      <c r="L367" s="10" t="s">
        <v>682</v>
      </c>
      <c r="M367" s="10" t="s">
        <v>683</v>
      </c>
      <c r="N367" s="10" t="s">
        <v>684</v>
      </c>
      <c r="O367" s="10" t="s">
        <v>685</v>
      </c>
      <c r="P367" s="10"/>
      <c r="Q367" s="10"/>
      <c r="R367" s="10"/>
      <c r="S367" s="10"/>
      <c r="T367" s="10"/>
      <c r="U367" s="10"/>
      <c r="V367" s="10"/>
      <c r="W367" s="10"/>
      <c r="X367" s="10"/>
      <c r="Y367" s="10"/>
      <c r="Z367" s="10"/>
    </row>
    <row r="368" spans="1:26" ht="15">
      <c r="A368" s="11"/>
      <c r="B368" s="10" t="s">
        <v>686</v>
      </c>
      <c r="C368" s="10" t="s">
        <v>1353</v>
      </c>
      <c r="D368" s="10" t="s">
        <v>688</v>
      </c>
      <c r="E368" s="10" t="s">
        <v>688</v>
      </c>
      <c r="F368" s="10" t="s">
        <v>688</v>
      </c>
      <c r="G368" s="10" t="s">
        <v>1354</v>
      </c>
      <c r="H368" s="10" t="s">
        <v>688</v>
      </c>
      <c r="I368" s="10" t="s">
        <v>688</v>
      </c>
      <c r="J368" s="10" t="s">
        <v>688</v>
      </c>
      <c r="K368" s="10" t="s">
        <v>688</v>
      </c>
      <c r="L368" s="10" t="s">
        <v>1355</v>
      </c>
      <c r="M368" s="10" t="s">
        <v>1356</v>
      </c>
      <c r="N368" s="10">
        <v>1.04</v>
      </c>
      <c r="O368" s="10" t="s">
        <v>1357</v>
      </c>
      <c r="P368" s="10"/>
      <c r="Q368" s="10"/>
      <c r="R368" s="10"/>
      <c r="S368" s="10"/>
      <c r="T368" s="10"/>
      <c r="U368" s="10"/>
      <c r="V368" s="10"/>
      <c r="W368" s="10"/>
      <c r="X368" s="10"/>
      <c r="Y368" s="10"/>
      <c r="Z368" s="10"/>
    </row>
    <row r="369" spans="1:26" ht="15">
      <c r="A369" s="9">
        <v>183</v>
      </c>
      <c r="B369" s="10" t="str">
        <f ca="1">IFERROR(__xludf.DUMMYFUNCTION((TRANSPOSE(ImportHTML("http://spending.data.al/sq/moneypower/view/id/183/year/2013",  "table", 0)))),"*Kategoria*")</f>
        <v>*Kategoria*</v>
      </c>
      <c r="C369" s="10" t="s">
        <v>673</v>
      </c>
      <c r="D369" s="10" t="s">
        <v>674</v>
      </c>
      <c r="E369" s="10" t="s">
        <v>675</v>
      </c>
      <c r="F369" s="10" t="s">
        <v>676</v>
      </c>
      <c r="G369" s="10" t="s">
        <v>677</v>
      </c>
      <c r="H369" s="10" t="s">
        <v>678</v>
      </c>
      <c r="I369" s="10" t="s">
        <v>679</v>
      </c>
      <c r="J369" s="10" t="s">
        <v>680</v>
      </c>
      <c r="K369" s="10" t="s">
        <v>681</v>
      </c>
      <c r="L369" s="10" t="s">
        <v>682</v>
      </c>
      <c r="M369" s="10" t="s">
        <v>683</v>
      </c>
      <c r="N369" s="10" t="s">
        <v>684</v>
      </c>
      <c r="O369" s="10" t="s">
        <v>685</v>
      </c>
      <c r="P369" s="10"/>
      <c r="Q369" s="10"/>
      <c r="R369" s="10"/>
      <c r="S369" s="10"/>
      <c r="T369" s="10"/>
      <c r="U369" s="10"/>
      <c r="V369" s="10"/>
      <c r="W369" s="10"/>
      <c r="X369" s="10"/>
      <c r="Y369" s="10"/>
      <c r="Z369" s="10"/>
    </row>
    <row r="370" spans="1:26" ht="15">
      <c r="A370" s="11"/>
      <c r="B370" s="10" t="s">
        <v>686</v>
      </c>
      <c r="C370" s="10" t="s">
        <v>1358</v>
      </c>
      <c r="D370" s="10" t="s">
        <v>688</v>
      </c>
      <c r="E370" s="10" t="s">
        <v>688</v>
      </c>
      <c r="F370" s="10" t="s">
        <v>688</v>
      </c>
      <c r="G370" s="10" t="s">
        <v>688</v>
      </c>
      <c r="H370" s="10" t="s">
        <v>688</v>
      </c>
      <c r="I370" s="10" t="s">
        <v>688</v>
      </c>
      <c r="J370" s="10" t="s">
        <v>688</v>
      </c>
      <c r="K370" s="10" t="s">
        <v>688</v>
      </c>
      <c r="L370" s="10" t="s">
        <v>1359</v>
      </c>
      <c r="M370" s="10" t="s">
        <v>688</v>
      </c>
      <c r="N370" s="10" t="s">
        <v>707</v>
      </c>
      <c r="O370" s="10" t="s">
        <v>688</v>
      </c>
      <c r="P370" s="10"/>
      <c r="Q370" s="10"/>
      <c r="R370" s="10"/>
      <c r="S370" s="10"/>
      <c r="T370" s="10"/>
      <c r="U370" s="10"/>
      <c r="V370" s="10"/>
      <c r="W370" s="10"/>
      <c r="X370" s="10"/>
      <c r="Y370" s="10"/>
      <c r="Z370" s="10"/>
    </row>
    <row r="371" spans="1:26" ht="15">
      <c r="A371" s="9">
        <v>184</v>
      </c>
      <c r="B371" s="10" t="str">
        <f ca="1">IFERROR(__xludf.DUMMYFUNCTION((TRANSPOSE(ImportHTML("http://spending.data.al/sq/moneypower/view/id/184/year/2013",  "table", 0)))),"*Kategoria*")</f>
        <v>*Kategoria*</v>
      </c>
      <c r="C371" s="10" t="s">
        <v>673</v>
      </c>
      <c r="D371" s="10" t="s">
        <v>674</v>
      </c>
      <c r="E371" s="10" t="s">
        <v>675</v>
      </c>
      <c r="F371" s="10" t="s">
        <v>676</v>
      </c>
      <c r="G371" s="10" t="s">
        <v>677</v>
      </c>
      <c r="H371" s="10" t="s">
        <v>678</v>
      </c>
      <c r="I371" s="10" t="s">
        <v>679</v>
      </c>
      <c r="J371" s="10" t="s">
        <v>680</v>
      </c>
      <c r="K371" s="10" t="s">
        <v>681</v>
      </c>
      <c r="L371" s="10" t="s">
        <v>682</v>
      </c>
      <c r="M371" s="10" t="s">
        <v>683</v>
      </c>
      <c r="N371" s="10" t="s">
        <v>684</v>
      </c>
      <c r="O371" s="10" t="s">
        <v>685</v>
      </c>
      <c r="P371" s="10"/>
      <c r="Q371" s="10"/>
      <c r="R371" s="10"/>
      <c r="S371" s="10"/>
      <c r="T371" s="10"/>
      <c r="U371" s="10"/>
      <c r="V371" s="10"/>
      <c r="W371" s="10"/>
      <c r="X371" s="10"/>
      <c r="Y371" s="10"/>
      <c r="Z371" s="10"/>
    </row>
    <row r="372" spans="1:26" ht="15">
      <c r="A372" s="11"/>
      <c r="B372" s="10" t="s">
        <v>686</v>
      </c>
      <c r="C372" s="10" t="s">
        <v>1360</v>
      </c>
      <c r="D372" s="10" t="s">
        <v>688</v>
      </c>
      <c r="E372" s="10" t="s">
        <v>688</v>
      </c>
      <c r="F372" s="10" t="s">
        <v>688</v>
      </c>
      <c r="G372" s="10" t="s">
        <v>688</v>
      </c>
      <c r="H372" s="10" t="s">
        <v>688</v>
      </c>
      <c r="I372" s="10" t="s">
        <v>688</v>
      </c>
      <c r="J372" s="10" t="s">
        <v>688</v>
      </c>
      <c r="K372" s="10" t="s">
        <v>688</v>
      </c>
      <c r="L372" s="10" t="s">
        <v>688</v>
      </c>
      <c r="M372" s="10" t="s">
        <v>688</v>
      </c>
      <c r="N372" s="10">
        <v>1</v>
      </c>
      <c r="O372" s="10" t="s">
        <v>1361</v>
      </c>
      <c r="P372" s="10"/>
      <c r="Q372" s="10"/>
      <c r="R372" s="10"/>
      <c r="S372" s="10"/>
      <c r="T372" s="10"/>
      <c r="U372" s="10"/>
      <c r="V372" s="10"/>
      <c r="W372" s="10"/>
      <c r="X372" s="10"/>
      <c r="Y372" s="10"/>
      <c r="Z372" s="10"/>
    </row>
    <row r="373" spans="1:26" ht="15">
      <c r="A373" s="9">
        <v>185</v>
      </c>
      <c r="B373" s="10" t="str">
        <f ca="1">IFERROR(__xludf.DUMMYFUNCTION((TRANSPOSE(ImportHTML("http://spending.data.al/sq/moneypower/view/id/185/year/2013",  "table", 0)))),"*Kategoria*")</f>
        <v>*Kategoria*</v>
      </c>
      <c r="C373" s="10" t="s">
        <v>673</v>
      </c>
      <c r="D373" s="10" t="s">
        <v>674</v>
      </c>
      <c r="E373" s="10" t="s">
        <v>675</v>
      </c>
      <c r="F373" s="10" t="s">
        <v>676</v>
      </c>
      <c r="G373" s="10" t="s">
        <v>677</v>
      </c>
      <c r="H373" s="10" t="s">
        <v>678</v>
      </c>
      <c r="I373" s="10" t="s">
        <v>679</v>
      </c>
      <c r="J373" s="10" t="s">
        <v>680</v>
      </c>
      <c r="K373" s="10" t="s">
        <v>681</v>
      </c>
      <c r="L373" s="10" t="s">
        <v>682</v>
      </c>
      <c r="M373" s="10" t="s">
        <v>683</v>
      </c>
      <c r="N373" s="10" t="s">
        <v>684</v>
      </c>
      <c r="O373" s="10" t="s">
        <v>685</v>
      </c>
      <c r="P373" s="10"/>
      <c r="Q373" s="10"/>
      <c r="R373" s="10"/>
      <c r="S373" s="10"/>
      <c r="T373" s="10"/>
      <c r="U373" s="10"/>
      <c r="V373" s="10"/>
      <c r="W373" s="10"/>
      <c r="X373" s="10"/>
      <c r="Y373" s="10"/>
      <c r="Z373" s="10"/>
    </row>
    <row r="374" spans="1:26" ht="15">
      <c r="A374" s="11"/>
      <c r="B374" s="10" t="s">
        <v>686</v>
      </c>
      <c r="C374" s="10" t="s">
        <v>1362</v>
      </c>
      <c r="D374" s="10" t="s">
        <v>688</v>
      </c>
      <c r="E374" s="10" t="s">
        <v>688</v>
      </c>
      <c r="F374" s="10" t="s">
        <v>688</v>
      </c>
      <c r="G374" s="10" t="s">
        <v>1363</v>
      </c>
      <c r="H374" s="10" t="s">
        <v>688</v>
      </c>
      <c r="I374" s="10" t="s">
        <v>688</v>
      </c>
      <c r="J374" s="10" t="s">
        <v>688</v>
      </c>
      <c r="K374" s="10" t="s">
        <v>688</v>
      </c>
      <c r="L374" s="10" t="s">
        <v>1364</v>
      </c>
      <c r="M374" s="10" t="s">
        <v>688</v>
      </c>
      <c r="N374" s="10">
        <v>1.03</v>
      </c>
      <c r="O374" s="10" t="s">
        <v>707</v>
      </c>
      <c r="P374" s="10"/>
      <c r="Q374" s="10"/>
      <c r="R374" s="10"/>
      <c r="S374" s="10"/>
      <c r="T374" s="10"/>
      <c r="U374" s="10"/>
      <c r="V374" s="10"/>
      <c r="W374" s="10"/>
      <c r="X374" s="10"/>
      <c r="Y374" s="10"/>
      <c r="Z374" s="10"/>
    </row>
    <row r="375" spans="1:26" ht="15">
      <c r="A375" s="9">
        <v>186</v>
      </c>
      <c r="B375" s="10" t="str">
        <f ca="1">IFERROR(__xludf.DUMMYFUNCTION((TRANSPOSE(ImportHTML("http://spending.data.al/sq/moneypower/view/id/186/year/2013",  "table", 0)))),"*Kategoria*")</f>
        <v>*Kategoria*</v>
      </c>
      <c r="C375" s="10" t="s">
        <v>673</v>
      </c>
      <c r="D375" s="10" t="s">
        <v>674</v>
      </c>
      <c r="E375" s="10" t="s">
        <v>675</v>
      </c>
      <c r="F375" s="10" t="s">
        <v>676</v>
      </c>
      <c r="G375" s="10" t="s">
        <v>677</v>
      </c>
      <c r="H375" s="10" t="s">
        <v>678</v>
      </c>
      <c r="I375" s="10" t="s">
        <v>679</v>
      </c>
      <c r="J375" s="10" t="s">
        <v>680</v>
      </c>
      <c r="K375" s="10" t="s">
        <v>681</v>
      </c>
      <c r="L375" s="10" t="s">
        <v>682</v>
      </c>
      <c r="M375" s="10" t="s">
        <v>683</v>
      </c>
      <c r="N375" s="10" t="s">
        <v>684</v>
      </c>
      <c r="O375" s="10" t="s">
        <v>685</v>
      </c>
      <c r="P375" s="10"/>
      <c r="Q375" s="10"/>
      <c r="R375" s="10"/>
      <c r="S375" s="10"/>
      <c r="T375" s="10"/>
      <c r="U375" s="10"/>
      <c r="V375" s="10"/>
      <c r="W375" s="10"/>
      <c r="X375" s="10"/>
      <c r="Y375" s="10"/>
      <c r="Z375" s="10"/>
    </row>
    <row r="376" spans="1:26" ht="15">
      <c r="A376" s="11"/>
      <c r="B376" s="10" t="s">
        <v>686</v>
      </c>
      <c r="C376" s="10" t="s">
        <v>1365</v>
      </c>
      <c r="D376" s="10" t="s">
        <v>688</v>
      </c>
      <c r="E376" s="10" t="s">
        <v>688</v>
      </c>
      <c r="F376" s="10" t="s">
        <v>688</v>
      </c>
      <c r="G376" s="10" t="s">
        <v>688</v>
      </c>
      <c r="H376" s="10" t="s">
        <v>688</v>
      </c>
      <c r="I376" s="10" t="s">
        <v>688</v>
      </c>
      <c r="J376" s="10" t="s">
        <v>688</v>
      </c>
      <c r="K376" s="10" t="s">
        <v>688</v>
      </c>
      <c r="L376" s="10" t="s">
        <v>1366</v>
      </c>
      <c r="M376" s="10" t="s">
        <v>688</v>
      </c>
      <c r="N376" s="10">
        <v>1</v>
      </c>
      <c r="O376" s="10" t="s">
        <v>688</v>
      </c>
      <c r="P376" s="10"/>
      <c r="Q376" s="10"/>
      <c r="R376" s="10"/>
      <c r="S376" s="10"/>
      <c r="T376" s="10"/>
      <c r="U376" s="10"/>
      <c r="V376" s="10"/>
      <c r="W376" s="10"/>
      <c r="X376" s="10"/>
      <c r="Y376" s="10"/>
      <c r="Z376" s="10"/>
    </row>
    <row r="377" spans="1:26" ht="15">
      <c r="A377" s="9">
        <v>187</v>
      </c>
      <c r="B377" s="10" t="str">
        <f ca="1">IFERROR(__xludf.DUMMYFUNCTION((TRANSPOSE(ImportHTML("http://spending.data.al/sq/moneypower/view/id/187/year/2013",  "table", 0)))),"*Kategoria*")</f>
        <v>*Kategoria*</v>
      </c>
      <c r="C377" s="10" t="s">
        <v>673</v>
      </c>
      <c r="D377" s="10" t="s">
        <v>674</v>
      </c>
      <c r="E377" s="10" t="s">
        <v>675</v>
      </c>
      <c r="F377" s="10" t="s">
        <v>676</v>
      </c>
      <c r="G377" s="10" t="s">
        <v>677</v>
      </c>
      <c r="H377" s="10" t="s">
        <v>678</v>
      </c>
      <c r="I377" s="10" t="s">
        <v>679</v>
      </c>
      <c r="J377" s="10" t="s">
        <v>680</v>
      </c>
      <c r="K377" s="10" t="s">
        <v>681</v>
      </c>
      <c r="L377" s="10" t="s">
        <v>682</v>
      </c>
      <c r="M377" s="10" t="s">
        <v>683</v>
      </c>
      <c r="N377" s="10" t="s">
        <v>684</v>
      </c>
      <c r="O377" s="10" t="s">
        <v>685</v>
      </c>
      <c r="P377" s="10"/>
      <c r="Q377" s="10"/>
      <c r="R377" s="10"/>
      <c r="S377" s="10"/>
      <c r="T377" s="10"/>
      <c r="U377" s="10"/>
      <c r="V377" s="10"/>
      <c r="W377" s="10"/>
      <c r="X377" s="10"/>
      <c r="Y377" s="10"/>
      <c r="Z377" s="10"/>
    </row>
    <row r="378" spans="1:26" ht="15">
      <c r="A378" s="11"/>
      <c r="B378" s="10" t="s">
        <v>686</v>
      </c>
      <c r="C378" s="10" t="s">
        <v>1367</v>
      </c>
      <c r="D378" s="10" t="s">
        <v>688</v>
      </c>
      <c r="E378" s="10" t="s">
        <v>688</v>
      </c>
      <c r="F378" s="10" t="s">
        <v>1368</v>
      </c>
      <c r="G378" s="10" t="s">
        <v>1369</v>
      </c>
      <c r="H378" s="10" t="s">
        <v>688</v>
      </c>
      <c r="I378" s="10" t="s">
        <v>688</v>
      </c>
      <c r="J378" s="10" t="s">
        <v>688</v>
      </c>
      <c r="K378" s="10" t="s">
        <v>688</v>
      </c>
      <c r="L378" s="10" t="s">
        <v>688</v>
      </c>
      <c r="M378" s="10" t="s">
        <v>688</v>
      </c>
      <c r="N378" s="10">
        <v>1.43</v>
      </c>
      <c r="O378" s="10" t="s">
        <v>688</v>
      </c>
      <c r="P378" s="10"/>
      <c r="Q378" s="10"/>
      <c r="R378" s="10"/>
      <c r="S378" s="10"/>
      <c r="T378" s="10"/>
      <c r="U378" s="10"/>
      <c r="V378" s="10"/>
      <c r="W378" s="10"/>
      <c r="X378" s="10"/>
      <c r="Y378" s="10"/>
      <c r="Z378" s="10"/>
    </row>
    <row r="379" spans="1:26" ht="15">
      <c r="A379" s="9">
        <v>188</v>
      </c>
      <c r="B379" s="10" t="str">
        <f ca="1">IFERROR(__xludf.DUMMYFUNCTION((TRANSPOSE(ImportHTML("http://spending.data.al/sq/moneypower/view/id/188/year/2013",  "table", 0)))),"*Kategoria*")</f>
        <v>*Kategoria*</v>
      </c>
      <c r="C379" s="10" t="s">
        <v>673</v>
      </c>
      <c r="D379" s="10" t="s">
        <v>674</v>
      </c>
      <c r="E379" s="10" t="s">
        <v>675</v>
      </c>
      <c r="F379" s="10" t="s">
        <v>676</v>
      </c>
      <c r="G379" s="10" t="s">
        <v>677</v>
      </c>
      <c r="H379" s="10" t="s">
        <v>678</v>
      </c>
      <c r="I379" s="10" t="s">
        <v>679</v>
      </c>
      <c r="J379" s="10" t="s">
        <v>680</v>
      </c>
      <c r="K379" s="10" t="s">
        <v>681</v>
      </c>
      <c r="L379" s="10" t="s">
        <v>682</v>
      </c>
      <c r="M379" s="10" t="s">
        <v>683</v>
      </c>
      <c r="N379" s="10" t="s">
        <v>684</v>
      </c>
      <c r="O379" s="10" t="s">
        <v>685</v>
      </c>
      <c r="P379" s="10"/>
      <c r="Q379" s="10"/>
      <c r="R379" s="10"/>
      <c r="S379" s="10"/>
      <c r="T379" s="10"/>
      <c r="U379" s="10"/>
      <c r="V379" s="10"/>
      <c r="W379" s="10"/>
      <c r="X379" s="10"/>
      <c r="Y379" s="10"/>
      <c r="Z379" s="10"/>
    </row>
    <row r="380" spans="1:26" ht="15">
      <c r="A380" s="11"/>
      <c r="B380" s="10" t="s">
        <v>686</v>
      </c>
      <c r="C380" s="10" t="s">
        <v>1370</v>
      </c>
      <c r="D380" s="10" t="s">
        <v>688</v>
      </c>
      <c r="E380" s="10" t="s">
        <v>688</v>
      </c>
      <c r="F380" s="10" t="s">
        <v>1371</v>
      </c>
      <c r="G380" s="10" t="s">
        <v>688</v>
      </c>
      <c r="H380" s="10" t="s">
        <v>688</v>
      </c>
      <c r="I380" s="10" t="s">
        <v>688</v>
      </c>
      <c r="J380" s="10" t="s">
        <v>688</v>
      </c>
      <c r="K380" s="10" t="s">
        <v>688</v>
      </c>
      <c r="L380" s="10" t="s">
        <v>1372</v>
      </c>
      <c r="M380" s="10" t="s">
        <v>688</v>
      </c>
      <c r="N380" s="10">
        <v>1.1499999999999999</v>
      </c>
      <c r="O380" s="10" t="s">
        <v>1373</v>
      </c>
      <c r="P380" s="10"/>
      <c r="Q380" s="10"/>
      <c r="R380" s="10"/>
      <c r="S380" s="10"/>
      <c r="T380" s="10"/>
      <c r="U380" s="10"/>
      <c r="V380" s="10"/>
      <c r="W380" s="10"/>
      <c r="X380" s="10"/>
      <c r="Y380" s="10"/>
      <c r="Z380" s="10"/>
    </row>
    <row r="381" spans="1:26" ht="15">
      <c r="A381" s="9">
        <v>189</v>
      </c>
      <c r="B381" s="10" t="str">
        <f ca="1">IFERROR(__xludf.DUMMYFUNCTION((TRANSPOSE(ImportHTML("http://spending.data.al/sq/moneypower/view/id/189/year/2013",  "table", 0)))),"Loading...")</f>
        <v>Loading...</v>
      </c>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c r="A382" s="11"/>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c r="A383" s="11"/>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c r="A384" s="9">
        <v>190</v>
      </c>
      <c r="B384" s="10" t="str">
        <f ca="1">IFERROR(__xludf.DUMMYFUNCTION((TRANSPOSE(ImportHTML("http://spending.data.al/sq/moneypower/view/id/190/year/2013",  "table", 0)))),"Loading...")</f>
        <v>Loading...</v>
      </c>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c r="A385" s="11"/>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c r="A386" s="9">
        <v>191</v>
      </c>
      <c r="B386" s="10" t="str">
        <f ca="1">IFERROR(__xludf.DUMMYFUNCTION((TRANSPOSE(ImportHTML("http://spending.data.al/sq/moneypower/view/id/191/year/2013",  "table", 0)))),"*Kategoria*")</f>
        <v>*Kategoria*</v>
      </c>
      <c r="C386" s="10" t="s">
        <v>673</v>
      </c>
      <c r="D386" s="10" t="s">
        <v>674</v>
      </c>
      <c r="E386" s="10" t="s">
        <v>675</v>
      </c>
      <c r="F386" s="10" t="s">
        <v>676</v>
      </c>
      <c r="G386" s="10" t="s">
        <v>677</v>
      </c>
      <c r="H386" s="10" t="s">
        <v>678</v>
      </c>
      <c r="I386" s="10" t="s">
        <v>679</v>
      </c>
      <c r="J386" s="10" t="s">
        <v>680</v>
      </c>
      <c r="K386" s="10" t="s">
        <v>681</v>
      </c>
      <c r="L386" s="10" t="s">
        <v>682</v>
      </c>
      <c r="M386" s="10" t="s">
        <v>683</v>
      </c>
      <c r="N386" s="10" t="s">
        <v>684</v>
      </c>
      <c r="O386" s="10" t="s">
        <v>685</v>
      </c>
      <c r="P386" s="10"/>
      <c r="Q386" s="10"/>
      <c r="R386" s="10"/>
      <c r="S386" s="10"/>
      <c r="T386" s="10"/>
      <c r="U386" s="10"/>
      <c r="V386" s="10"/>
      <c r="W386" s="10"/>
      <c r="X386" s="10"/>
      <c r="Y386" s="10"/>
      <c r="Z386" s="10"/>
    </row>
    <row r="387" spans="1:26" ht="15">
      <c r="A387" s="11"/>
      <c r="B387" s="10" t="s">
        <v>686</v>
      </c>
      <c r="C387" s="10" t="s">
        <v>1379</v>
      </c>
      <c r="D387" s="10" t="s">
        <v>688</v>
      </c>
      <c r="E387" s="10" t="s">
        <v>688</v>
      </c>
      <c r="F387" s="10" t="s">
        <v>688</v>
      </c>
      <c r="G387" s="10" t="s">
        <v>688</v>
      </c>
      <c r="H387" s="10" t="s">
        <v>688</v>
      </c>
      <c r="I387" s="10" t="s">
        <v>688</v>
      </c>
      <c r="J387" s="10" t="s">
        <v>688</v>
      </c>
      <c r="K387" s="10" t="s">
        <v>688</v>
      </c>
      <c r="L387" s="10" t="s">
        <v>688</v>
      </c>
      <c r="M387" s="10" t="s">
        <v>1380</v>
      </c>
      <c r="N387" s="10">
        <v>1.01</v>
      </c>
      <c r="O387" s="10" t="s">
        <v>688</v>
      </c>
      <c r="P387" s="10"/>
      <c r="Q387" s="10"/>
      <c r="R387" s="10"/>
      <c r="S387" s="10"/>
      <c r="T387" s="10"/>
      <c r="U387" s="10"/>
      <c r="V387" s="10"/>
      <c r="W387" s="10"/>
      <c r="X387" s="10"/>
      <c r="Y387" s="10"/>
      <c r="Z387" s="10"/>
    </row>
    <row r="388" spans="1:26" ht="15">
      <c r="A388" s="9">
        <v>192</v>
      </c>
      <c r="B388" s="10" t="str">
        <f ca="1">IFERROR(__xludf.DUMMYFUNCTION((TRANSPOSE(ImportHTML("http://spending.data.al/sq/moneypower/view/id/192/year/2013",  "table", 0)))),"*Kategoria*")</f>
        <v>*Kategoria*</v>
      </c>
      <c r="C388" s="10" t="s">
        <v>673</v>
      </c>
      <c r="D388" s="10" t="s">
        <v>674</v>
      </c>
      <c r="E388" s="10" t="s">
        <v>675</v>
      </c>
      <c r="F388" s="10" t="s">
        <v>676</v>
      </c>
      <c r="G388" s="10" t="s">
        <v>677</v>
      </c>
      <c r="H388" s="10" t="s">
        <v>678</v>
      </c>
      <c r="I388" s="10" t="s">
        <v>679</v>
      </c>
      <c r="J388" s="10" t="s">
        <v>680</v>
      </c>
      <c r="K388" s="10" t="s">
        <v>681</v>
      </c>
      <c r="L388" s="10" t="s">
        <v>682</v>
      </c>
      <c r="M388" s="10" t="s">
        <v>683</v>
      </c>
      <c r="N388" s="10" t="s">
        <v>684</v>
      </c>
      <c r="O388" s="10" t="s">
        <v>685</v>
      </c>
      <c r="P388" s="10"/>
      <c r="Q388" s="10"/>
      <c r="R388" s="10"/>
      <c r="S388" s="10"/>
      <c r="T388" s="10"/>
      <c r="U388" s="10"/>
      <c r="V388" s="10"/>
      <c r="W388" s="10"/>
      <c r="X388" s="10"/>
      <c r="Y388" s="10"/>
      <c r="Z388" s="10"/>
    </row>
    <row r="389" spans="1:26" ht="15">
      <c r="A389" s="11"/>
      <c r="B389" s="10" t="s">
        <v>686</v>
      </c>
      <c r="C389" s="10" t="s">
        <v>4056</v>
      </c>
      <c r="D389" s="10" t="s">
        <v>688</v>
      </c>
      <c r="E389" s="10" t="s">
        <v>688</v>
      </c>
      <c r="F389" s="10" t="s">
        <v>688</v>
      </c>
      <c r="G389" s="10" t="s">
        <v>688</v>
      </c>
      <c r="H389" s="10" t="s">
        <v>688</v>
      </c>
      <c r="I389" s="10"/>
      <c r="J389" s="10" t="s">
        <v>688</v>
      </c>
      <c r="K389" s="10" t="s">
        <v>688</v>
      </c>
      <c r="L389" s="10" t="s">
        <v>4057</v>
      </c>
      <c r="M389" s="10" t="s">
        <v>4058</v>
      </c>
      <c r="N389" s="10"/>
      <c r="O389" s="10"/>
      <c r="P389" s="10"/>
      <c r="Q389" s="10"/>
      <c r="R389" s="10"/>
      <c r="S389" s="10"/>
      <c r="T389" s="10"/>
      <c r="U389" s="10"/>
      <c r="V389" s="10"/>
      <c r="W389" s="10"/>
      <c r="X389" s="10"/>
      <c r="Y389" s="10"/>
      <c r="Z389" s="10"/>
    </row>
    <row r="390" spans="1:26" ht="15">
      <c r="A390" s="9">
        <v>193</v>
      </c>
      <c r="B390" s="10" t="str">
        <f ca="1">IFERROR(__xludf.DUMMYFUNCTION((TRANSPOSE(ImportHTML("http://spending.data.al/sq/moneypower/view/id/193/year/2013",  "table", 0)))),"*Kategoria*")</f>
        <v>*Kategoria*</v>
      </c>
      <c r="C390" s="10" t="s">
        <v>673</v>
      </c>
      <c r="D390" s="10" t="s">
        <v>674</v>
      </c>
      <c r="E390" s="10" t="s">
        <v>675</v>
      </c>
      <c r="F390" s="10" t="s">
        <v>676</v>
      </c>
      <c r="G390" s="10" t="s">
        <v>677</v>
      </c>
      <c r="H390" s="10" t="s">
        <v>678</v>
      </c>
      <c r="I390" s="10" t="s">
        <v>679</v>
      </c>
      <c r="J390" s="10" t="s">
        <v>680</v>
      </c>
      <c r="K390" s="10" t="s">
        <v>681</v>
      </c>
      <c r="L390" s="10" t="s">
        <v>682</v>
      </c>
      <c r="M390" s="10" t="s">
        <v>683</v>
      </c>
      <c r="N390" s="10" t="s">
        <v>684</v>
      </c>
      <c r="O390" s="10" t="s">
        <v>685</v>
      </c>
      <c r="P390" s="10"/>
      <c r="Q390" s="10"/>
      <c r="R390" s="10"/>
      <c r="S390" s="10"/>
      <c r="T390" s="10"/>
      <c r="U390" s="10"/>
      <c r="V390" s="10"/>
      <c r="W390" s="10"/>
      <c r="X390" s="10"/>
      <c r="Y390" s="10"/>
      <c r="Z390" s="10"/>
    </row>
    <row r="391" spans="1:26" ht="15">
      <c r="A391" s="11"/>
      <c r="B391" s="10" t="s">
        <v>686</v>
      </c>
      <c r="C391" s="10" t="s">
        <v>4059</v>
      </c>
      <c r="D391" s="10" t="s">
        <v>688</v>
      </c>
      <c r="E391" s="10" t="s">
        <v>688</v>
      </c>
      <c r="F391" s="10" t="s">
        <v>688</v>
      </c>
      <c r="G391" s="10" t="s">
        <v>688</v>
      </c>
      <c r="H391" s="10" t="s">
        <v>688</v>
      </c>
      <c r="I391" s="10" t="s">
        <v>4060</v>
      </c>
      <c r="J391" s="10" t="s">
        <v>688</v>
      </c>
      <c r="K391" s="10" t="s">
        <v>688</v>
      </c>
      <c r="L391" s="10" t="s">
        <v>4061</v>
      </c>
      <c r="M391" s="10" t="s">
        <v>688</v>
      </c>
      <c r="N391" s="10" t="s">
        <v>688</v>
      </c>
      <c r="O391" s="10" t="s">
        <v>4062</v>
      </c>
      <c r="P391" s="10"/>
      <c r="Q391" s="10"/>
      <c r="R391" s="10"/>
      <c r="S391" s="10"/>
      <c r="T391" s="10"/>
      <c r="U391" s="10"/>
      <c r="V391" s="10"/>
      <c r="W391" s="10"/>
      <c r="X391" s="10"/>
      <c r="Y391" s="10"/>
      <c r="Z391" s="10"/>
    </row>
    <row r="392" spans="1:26" ht="15">
      <c r="A392" s="9">
        <v>194</v>
      </c>
      <c r="B392" s="10" t="str">
        <f ca="1">IFERROR(__xludf.DUMMYFUNCTION((TRANSPOSE(ImportHTML("http://spending.data.al/sq/moneypower/view/id/194/year/2013",  "table", 0)))),"*Kategoria*")</f>
        <v>*Kategoria*</v>
      </c>
      <c r="C392" s="10" t="s">
        <v>673</v>
      </c>
      <c r="D392" s="10" t="s">
        <v>674</v>
      </c>
      <c r="E392" s="10" t="s">
        <v>675</v>
      </c>
      <c r="F392" s="10" t="s">
        <v>676</v>
      </c>
      <c r="G392" s="10" t="s">
        <v>677</v>
      </c>
      <c r="H392" s="10" t="s">
        <v>678</v>
      </c>
      <c r="I392" s="10" t="s">
        <v>679</v>
      </c>
      <c r="J392" s="10" t="s">
        <v>680</v>
      </c>
      <c r="K392" s="10" t="s">
        <v>681</v>
      </c>
      <c r="L392" s="10" t="s">
        <v>682</v>
      </c>
      <c r="M392" s="10" t="s">
        <v>683</v>
      </c>
      <c r="N392" s="10" t="s">
        <v>684</v>
      </c>
      <c r="O392" s="10" t="s">
        <v>685</v>
      </c>
      <c r="P392" s="10"/>
      <c r="Q392" s="10"/>
      <c r="R392" s="10"/>
      <c r="S392" s="10"/>
      <c r="T392" s="10"/>
      <c r="U392" s="10"/>
      <c r="V392" s="10"/>
      <c r="W392" s="10"/>
      <c r="X392" s="10"/>
      <c r="Y392" s="10"/>
      <c r="Z392" s="10"/>
    </row>
    <row r="393" spans="1:26" ht="15">
      <c r="A393" s="11"/>
      <c r="B393" s="10" t="s">
        <v>686</v>
      </c>
      <c r="C393" s="10" t="s">
        <v>4063</v>
      </c>
      <c r="D393" s="10" t="s">
        <v>688</v>
      </c>
      <c r="E393" s="10" t="s">
        <v>688</v>
      </c>
      <c r="F393" s="10" t="s">
        <v>688</v>
      </c>
      <c r="G393" s="10" t="s">
        <v>688</v>
      </c>
      <c r="H393" s="10" t="s">
        <v>688</v>
      </c>
      <c r="I393" s="10" t="s">
        <v>4064</v>
      </c>
      <c r="J393" s="10" t="s">
        <v>688</v>
      </c>
      <c r="K393" s="10" t="s">
        <v>688</v>
      </c>
      <c r="L393" s="10" t="s">
        <v>4065</v>
      </c>
      <c r="M393" s="10" t="s">
        <v>688</v>
      </c>
      <c r="N393" s="10" t="s">
        <v>707</v>
      </c>
      <c r="O393" s="10" t="s">
        <v>688</v>
      </c>
      <c r="P393" s="10"/>
      <c r="Q393" s="10"/>
      <c r="R393" s="10"/>
      <c r="S393" s="10"/>
      <c r="T393" s="10"/>
      <c r="U393" s="10"/>
      <c r="V393" s="10"/>
      <c r="W393" s="10"/>
      <c r="X393" s="10"/>
      <c r="Y393" s="10"/>
      <c r="Z393" s="10"/>
    </row>
    <row r="394" spans="1:26" ht="15">
      <c r="A394" s="9">
        <v>195</v>
      </c>
      <c r="B394" s="10" t="str">
        <f ca="1">IFERROR(__xludf.DUMMYFUNCTION((TRANSPOSE(ImportHTML("http://spending.data.al/sq/moneypower/view/id/195/year/2013",  "table", 0)))),"*Kategoria*")</f>
        <v>*Kategoria*</v>
      </c>
      <c r="C394" s="10" t="s">
        <v>673</v>
      </c>
      <c r="D394" s="10" t="s">
        <v>674</v>
      </c>
      <c r="E394" s="10" t="s">
        <v>675</v>
      </c>
      <c r="F394" s="10" t="s">
        <v>676</v>
      </c>
      <c r="G394" s="10" t="s">
        <v>677</v>
      </c>
      <c r="H394" s="10" t="s">
        <v>678</v>
      </c>
      <c r="I394" s="10" t="s">
        <v>679</v>
      </c>
      <c r="J394" s="10" t="s">
        <v>680</v>
      </c>
      <c r="K394" s="10" t="s">
        <v>681</v>
      </c>
      <c r="L394" s="10" t="s">
        <v>682</v>
      </c>
      <c r="M394" s="10" t="s">
        <v>683</v>
      </c>
      <c r="N394" s="10" t="s">
        <v>684</v>
      </c>
      <c r="O394" s="10" t="s">
        <v>685</v>
      </c>
      <c r="P394" s="10"/>
      <c r="Q394" s="10"/>
      <c r="R394" s="10"/>
      <c r="S394" s="10"/>
      <c r="T394" s="10"/>
      <c r="U394" s="10"/>
      <c r="V394" s="10"/>
      <c r="W394" s="10"/>
      <c r="X394" s="10"/>
      <c r="Y394" s="10"/>
      <c r="Z394" s="10"/>
    </row>
    <row r="395" spans="1:26" ht="15">
      <c r="A395" s="11"/>
      <c r="B395" s="10" t="s">
        <v>686</v>
      </c>
      <c r="C395" s="10" t="s">
        <v>4066</v>
      </c>
      <c r="D395" s="10" t="s">
        <v>688</v>
      </c>
      <c r="E395" s="10" t="s">
        <v>688</v>
      </c>
      <c r="F395" s="10" t="s">
        <v>688</v>
      </c>
      <c r="G395" s="10" t="s">
        <v>688</v>
      </c>
      <c r="H395" s="10" t="s">
        <v>688</v>
      </c>
      <c r="I395" s="10" t="s">
        <v>688</v>
      </c>
      <c r="J395" s="10" t="s">
        <v>688</v>
      </c>
      <c r="K395" s="10" t="s">
        <v>688</v>
      </c>
      <c r="L395" s="10" t="s">
        <v>688</v>
      </c>
      <c r="M395" s="10" t="s">
        <v>688</v>
      </c>
      <c r="N395" s="10" t="s">
        <v>707</v>
      </c>
      <c r="O395" s="10" t="s">
        <v>688</v>
      </c>
      <c r="P395" s="10"/>
      <c r="Q395" s="10"/>
      <c r="R395" s="10"/>
      <c r="S395" s="10"/>
      <c r="T395" s="10"/>
      <c r="U395" s="10"/>
      <c r="V395" s="10"/>
      <c r="W395" s="10"/>
      <c r="X395" s="10"/>
      <c r="Y395" s="10"/>
      <c r="Z395" s="10"/>
    </row>
    <row r="396" spans="1:26" ht="15">
      <c r="A396" s="9">
        <v>196</v>
      </c>
      <c r="B396" s="10" t="str">
        <f ca="1">IFERROR(__xludf.DUMMYFUNCTION((TRANSPOSE(ImportHTML("http://spending.data.al/sq/moneypower/view/id/196/year/2013",  "table", 0)))),"*Kategoria*")</f>
        <v>*Kategoria*</v>
      </c>
      <c r="C396" s="10" t="s">
        <v>673</v>
      </c>
      <c r="D396" s="10" t="s">
        <v>674</v>
      </c>
      <c r="E396" s="10" t="s">
        <v>675</v>
      </c>
      <c r="F396" s="10" t="s">
        <v>676</v>
      </c>
      <c r="G396" s="10" t="s">
        <v>677</v>
      </c>
      <c r="H396" s="10" t="s">
        <v>678</v>
      </c>
      <c r="I396" s="10" t="s">
        <v>679</v>
      </c>
      <c r="J396" s="10" t="s">
        <v>680</v>
      </c>
      <c r="K396" s="10" t="s">
        <v>681</v>
      </c>
      <c r="L396" s="10" t="s">
        <v>682</v>
      </c>
      <c r="M396" s="10" t="s">
        <v>683</v>
      </c>
      <c r="N396" s="10" t="s">
        <v>684</v>
      </c>
      <c r="O396" s="10" t="s">
        <v>685</v>
      </c>
      <c r="P396" s="10"/>
      <c r="Q396" s="10"/>
      <c r="R396" s="10"/>
      <c r="S396" s="10"/>
      <c r="T396" s="10"/>
      <c r="U396" s="10"/>
      <c r="V396" s="10"/>
      <c r="W396" s="10"/>
      <c r="X396" s="10"/>
      <c r="Y396" s="10"/>
      <c r="Z396" s="10"/>
    </row>
    <row r="397" spans="1:26" ht="15">
      <c r="A397" s="11"/>
      <c r="B397" s="10" t="s">
        <v>686</v>
      </c>
      <c r="C397" s="10" t="s">
        <v>4067</v>
      </c>
      <c r="D397" s="10" t="s">
        <v>688</v>
      </c>
      <c r="E397" s="10" t="s">
        <v>688</v>
      </c>
      <c r="F397" s="10" t="s">
        <v>688</v>
      </c>
      <c r="G397" s="10" t="s">
        <v>688</v>
      </c>
      <c r="H397" s="10" t="s">
        <v>688</v>
      </c>
      <c r="I397" s="10" t="s">
        <v>688</v>
      </c>
      <c r="J397" s="10" t="s">
        <v>688</v>
      </c>
      <c r="K397" s="10" t="s">
        <v>688</v>
      </c>
      <c r="L397" s="10" t="s">
        <v>4068</v>
      </c>
      <c r="M397" s="10" t="s">
        <v>688</v>
      </c>
      <c r="N397" s="10" t="s">
        <v>707</v>
      </c>
      <c r="O397" s="10" t="s">
        <v>4069</v>
      </c>
      <c r="P397" s="10"/>
      <c r="Q397" s="10"/>
      <c r="R397" s="10"/>
      <c r="S397" s="10"/>
      <c r="T397" s="10"/>
      <c r="U397" s="10"/>
      <c r="V397" s="10"/>
      <c r="W397" s="10"/>
      <c r="X397" s="10"/>
      <c r="Y397" s="10"/>
      <c r="Z397" s="10"/>
    </row>
    <row r="398" spans="1:26" ht="15">
      <c r="A398" s="9">
        <v>197</v>
      </c>
      <c r="B398" s="10" t="str">
        <f ca="1">IFERROR(__xludf.DUMMYFUNCTION((TRANSPOSE(ImportHTML("http://spending.data.al/sq/moneypower/view/id/197/year/2013",  "table", 0)))),"*Kategoria*")</f>
        <v>*Kategoria*</v>
      </c>
      <c r="C398" s="10" t="s">
        <v>673</v>
      </c>
      <c r="D398" s="10" t="s">
        <v>674</v>
      </c>
      <c r="E398" s="10" t="s">
        <v>675</v>
      </c>
      <c r="F398" s="10" t="s">
        <v>676</v>
      </c>
      <c r="G398" s="10" t="s">
        <v>677</v>
      </c>
      <c r="H398" s="10" t="s">
        <v>678</v>
      </c>
      <c r="I398" s="10" t="s">
        <v>679</v>
      </c>
      <c r="J398" s="10" t="s">
        <v>680</v>
      </c>
      <c r="K398" s="10" t="s">
        <v>681</v>
      </c>
      <c r="L398" s="10" t="s">
        <v>682</v>
      </c>
      <c r="M398" s="10" t="s">
        <v>683</v>
      </c>
      <c r="N398" s="10" t="s">
        <v>684</v>
      </c>
      <c r="O398" s="10" t="s">
        <v>685</v>
      </c>
      <c r="P398" s="10"/>
      <c r="Q398" s="10"/>
      <c r="R398" s="10"/>
      <c r="S398" s="10"/>
      <c r="T398" s="10"/>
      <c r="U398" s="10"/>
      <c r="V398" s="10"/>
      <c r="W398" s="10"/>
      <c r="X398" s="10"/>
      <c r="Y398" s="10"/>
      <c r="Z398" s="10"/>
    </row>
    <row r="399" spans="1:26" ht="15">
      <c r="A399" s="11"/>
      <c r="B399" s="10" t="s">
        <v>686</v>
      </c>
      <c r="C399" s="10" t="s">
        <v>4070</v>
      </c>
      <c r="D399" s="10" t="s">
        <v>688</v>
      </c>
      <c r="E399" s="10" t="s">
        <v>688</v>
      </c>
      <c r="F399" s="10" t="s">
        <v>688</v>
      </c>
      <c r="G399" s="10" t="s">
        <v>688</v>
      </c>
      <c r="H399" s="10" t="s">
        <v>688</v>
      </c>
      <c r="I399" s="10" t="s">
        <v>688</v>
      </c>
      <c r="J399" s="10" t="s">
        <v>688</v>
      </c>
      <c r="K399" s="10" t="s">
        <v>688</v>
      </c>
      <c r="L399" s="10" t="s">
        <v>4071</v>
      </c>
      <c r="M399" s="10" t="s">
        <v>688</v>
      </c>
      <c r="N399" s="10" t="s">
        <v>707</v>
      </c>
      <c r="O399" s="10" t="s">
        <v>688</v>
      </c>
      <c r="P399" s="10"/>
      <c r="Q399" s="10"/>
      <c r="R399" s="10"/>
      <c r="S399" s="10"/>
      <c r="T399" s="10"/>
      <c r="U399" s="10"/>
      <c r="V399" s="10"/>
      <c r="W399" s="10"/>
      <c r="X399" s="10"/>
      <c r="Y399" s="10"/>
      <c r="Z399" s="10"/>
    </row>
    <row r="400" spans="1:26" ht="15">
      <c r="A400" s="9">
        <v>198</v>
      </c>
      <c r="B400" s="10" t="str">
        <f ca="1">IFERROR(__xludf.DUMMYFUNCTION((TRANSPOSE(ImportHTML("http://spending.data.al/sq/moneypower/view/id/198/year/2013",  "table", 0)))),"*Kategoria*")</f>
        <v>*Kategoria*</v>
      </c>
      <c r="C400" s="10" t="s">
        <v>673</v>
      </c>
      <c r="D400" s="10" t="s">
        <v>674</v>
      </c>
      <c r="E400" s="10" t="s">
        <v>675</v>
      </c>
      <c r="F400" s="10" t="s">
        <v>676</v>
      </c>
      <c r="G400" s="10" t="s">
        <v>677</v>
      </c>
      <c r="H400" s="10" t="s">
        <v>678</v>
      </c>
      <c r="I400" s="10" t="s">
        <v>679</v>
      </c>
      <c r="J400" s="10" t="s">
        <v>680</v>
      </c>
      <c r="K400" s="10" t="s">
        <v>681</v>
      </c>
      <c r="L400" s="10" t="s">
        <v>682</v>
      </c>
      <c r="M400" s="10" t="s">
        <v>683</v>
      </c>
      <c r="N400" s="10" t="s">
        <v>684</v>
      </c>
      <c r="O400" s="10" t="s">
        <v>685</v>
      </c>
      <c r="P400" s="10"/>
      <c r="Q400" s="10"/>
      <c r="R400" s="10"/>
      <c r="S400" s="10"/>
      <c r="T400" s="10"/>
      <c r="U400" s="10"/>
      <c r="V400" s="10"/>
      <c r="W400" s="10"/>
      <c r="X400" s="10"/>
      <c r="Y400" s="10"/>
      <c r="Z400" s="10"/>
    </row>
    <row r="401" spans="1:26" ht="15">
      <c r="A401" s="11"/>
      <c r="B401" s="10" t="s">
        <v>686</v>
      </c>
      <c r="C401" s="10" t="s">
        <v>4072</v>
      </c>
      <c r="D401" s="10" t="s">
        <v>688</v>
      </c>
      <c r="E401" s="10" t="s">
        <v>688</v>
      </c>
      <c r="F401" s="10" t="s">
        <v>688</v>
      </c>
      <c r="G401" s="10" t="s">
        <v>688</v>
      </c>
      <c r="H401" s="10" t="s">
        <v>688</v>
      </c>
      <c r="I401" s="10" t="s">
        <v>688</v>
      </c>
      <c r="J401" s="10" t="s">
        <v>688</v>
      </c>
      <c r="K401" s="10" t="s">
        <v>688</v>
      </c>
      <c r="L401" s="10" t="s">
        <v>4073</v>
      </c>
      <c r="M401" s="10" t="s">
        <v>688</v>
      </c>
      <c r="N401" s="10" t="s">
        <v>707</v>
      </c>
      <c r="O401" s="10" t="s">
        <v>4074</v>
      </c>
      <c r="P401" s="10"/>
      <c r="Q401" s="10"/>
      <c r="R401" s="10"/>
      <c r="S401" s="10"/>
      <c r="T401" s="10"/>
      <c r="U401" s="10"/>
      <c r="V401" s="10"/>
      <c r="W401" s="10"/>
      <c r="X401" s="10"/>
      <c r="Y401" s="10"/>
      <c r="Z401" s="10"/>
    </row>
    <row r="402" spans="1:26" ht="15">
      <c r="A402" s="9">
        <v>199</v>
      </c>
      <c r="B402" s="10" t="str">
        <f ca="1">IFERROR(__xludf.DUMMYFUNCTION((TRANSPOSE(ImportHTML("http://spending.data.al/sq/moneypower/view/id/199/year/2013",  "table", 0)))),"*Kategoria*")</f>
        <v>*Kategoria*</v>
      </c>
      <c r="C402" s="10" t="s">
        <v>673</v>
      </c>
      <c r="D402" s="10" t="s">
        <v>674</v>
      </c>
      <c r="E402" s="10" t="s">
        <v>675</v>
      </c>
      <c r="F402" s="10" t="s">
        <v>676</v>
      </c>
      <c r="G402" s="10" t="s">
        <v>677</v>
      </c>
      <c r="H402" s="10" t="s">
        <v>678</v>
      </c>
      <c r="I402" s="10" t="s">
        <v>679</v>
      </c>
      <c r="J402" s="10" t="s">
        <v>680</v>
      </c>
      <c r="K402" s="10" t="s">
        <v>681</v>
      </c>
      <c r="L402" s="10" t="s">
        <v>682</v>
      </c>
      <c r="M402" s="10" t="s">
        <v>683</v>
      </c>
      <c r="N402" s="10" t="s">
        <v>684</v>
      </c>
      <c r="O402" s="10" t="s">
        <v>685</v>
      </c>
      <c r="P402" s="10"/>
      <c r="Q402" s="10"/>
      <c r="R402" s="10"/>
      <c r="S402" s="10"/>
      <c r="T402" s="10"/>
      <c r="U402" s="10"/>
      <c r="V402" s="10"/>
      <c r="W402" s="10"/>
      <c r="X402" s="10"/>
      <c r="Y402" s="10"/>
      <c r="Z402" s="10"/>
    </row>
    <row r="403" spans="1:26" ht="15">
      <c r="A403" s="11"/>
      <c r="B403" s="10" t="s">
        <v>686</v>
      </c>
      <c r="C403" s="10" t="s">
        <v>1403</v>
      </c>
      <c r="D403" s="10" t="s">
        <v>688</v>
      </c>
      <c r="E403" s="10" t="s">
        <v>688</v>
      </c>
      <c r="F403" s="10" t="s">
        <v>688</v>
      </c>
      <c r="G403" s="10" t="s">
        <v>688</v>
      </c>
      <c r="H403" s="10" t="s">
        <v>688</v>
      </c>
      <c r="I403" s="10" t="s">
        <v>688</v>
      </c>
      <c r="J403" s="10" t="s">
        <v>688</v>
      </c>
      <c r="K403" s="10" t="s">
        <v>688</v>
      </c>
      <c r="L403" s="10" t="s">
        <v>688</v>
      </c>
      <c r="M403" s="10" t="s">
        <v>688</v>
      </c>
      <c r="N403" s="10" t="s">
        <v>707</v>
      </c>
      <c r="O403" s="10" t="s">
        <v>1404</v>
      </c>
      <c r="P403" s="10"/>
      <c r="Q403" s="10"/>
      <c r="R403" s="10"/>
      <c r="S403" s="10"/>
      <c r="T403" s="10"/>
      <c r="U403" s="10"/>
      <c r="V403" s="10"/>
      <c r="W403" s="10"/>
      <c r="X403" s="10"/>
      <c r="Y403" s="10"/>
      <c r="Z403" s="10"/>
    </row>
    <row r="404" spans="1:26" ht="15">
      <c r="A404" s="9">
        <v>200</v>
      </c>
      <c r="B404" s="10" t="str">
        <f ca="1">IFERROR(__xludf.DUMMYFUNCTION((TRANSPOSE(ImportHTML("http://spending.data.al/sq/moneypower/view/id/200/year/2013",  "table", 0)))),"*Kategoria*")</f>
        <v>*Kategoria*</v>
      </c>
      <c r="C404" s="10" t="s">
        <v>673</v>
      </c>
      <c r="D404" s="10" t="s">
        <v>674</v>
      </c>
      <c r="E404" s="10" t="s">
        <v>675</v>
      </c>
      <c r="F404" s="10" t="s">
        <v>676</v>
      </c>
      <c r="G404" s="10" t="s">
        <v>677</v>
      </c>
      <c r="H404" s="10" t="s">
        <v>678</v>
      </c>
      <c r="I404" s="10" t="s">
        <v>679</v>
      </c>
      <c r="J404" s="10" t="s">
        <v>680</v>
      </c>
      <c r="K404" s="10" t="s">
        <v>681</v>
      </c>
      <c r="L404" s="10" t="s">
        <v>682</v>
      </c>
      <c r="M404" s="10" t="s">
        <v>683</v>
      </c>
      <c r="N404" s="10" t="s">
        <v>684</v>
      </c>
      <c r="O404" s="10" t="s">
        <v>685</v>
      </c>
      <c r="P404" s="10"/>
      <c r="Q404" s="10"/>
      <c r="R404" s="10"/>
      <c r="S404" s="10"/>
      <c r="T404" s="10"/>
      <c r="U404" s="10"/>
      <c r="V404" s="10"/>
      <c r="W404" s="10"/>
      <c r="X404" s="10"/>
      <c r="Y404" s="10"/>
      <c r="Z404" s="10"/>
    </row>
    <row r="405" spans="1:26" ht="15">
      <c r="A405" s="11"/>
      <c r="B405" s="10" t="s">
        <v>686</v>
      </c>
      <c r="C405" s="10" t="s">
        <v>4075</v>
      </c>
      <c r="D405" s="10" t="s">
        <v>688</v>
      </c>
      <c r="E405" s="10" t="s">
        <v>688</v>
      </c>
      <c r="F405" s="10" t="s">
        <v>688</v>
      </c>
      <c r="G405" s="10" t="s">
        <v>688</v>
      </c>
      <c r="H405" s="10" t="s">
        <v>688</v>
      </c>
      <c r="I405" s="10" t="s">
        <v>688</v>
      </c>
      <c r="J405" s="10" t="s">
        <v>688</v>
      </c>
      <c r="K405" s="10" t="s">
        <v>688</v>
      </c>
      <c r="L405" s="10" t="s">
        <v>688</v>
      </c>
      <c r="M405" s="10" t="s">
        <v>4076</v>
      </c>
      <c r="N405" s="10" t="s">
        <v>707</v>
      </c>
      <c r="O405" s="10" t="s">
        <v>4077</v>
      </c>
      <c r="P405" s="10"/>
      <c r="Q405" s="10"/>
      <c r="R405" s="10"/>
      <c r="S405" s="10"/>
      <c r="T405" s="10"/>
      <c r="U405" s="10"/>
      <c r="V405" s="10"/>
      <c r="W405" s="10"/>
      <c r="X405" s="10"/>
      <c r="Y405" s="10"/>
      <c r="Z405" s="10"/>
    </row>
    <row r="406" spans="1:26" ht="15">
      <c r="A406" s="9">
        <v>201</v>
      </c>
      <c r="B406" s="10" t="str">
        <f ca="1">IFERROR(__xludf.DUMMYFUNCTION((TRANSPOSE(ImportHTML("http://spending.data.al/sq/moneypower/view/id/201/year/2013",  "table", 0)))),"*Kategoria*")</f>
        <v>*Kategoria*</v>
      </c>
      <c r="C406" s="10" t="s">
        <v>673</v>
      </c>
      <c r="D406" s="10" t="s">
        <v>674</v>
      </c>
      <c r="E406" s="10" t="s">
        <v>675</v>
      </c>
      <c r="F406" s="10" t="s">
        <v>676</v>
      </c>
      <c r="G406" s="10" t="s">
        <v>677</v>
      </c>
      <c r="H406" s="10" t="s">
        <v>678</v>
      </c>
      <c r="I406" s="10" t="s">
        <v>679</v>
      </c>
      <c r="J406" s="10" t="s">
        <v>680</v>
      </c>
      <c r="K406" s="10" t="s">
        <v>681</v>
      </c>
      <c r="L406" s="10" t="s">
        <v>682</v>
      </c>
      <c r="M406" s="10" t="s">
        <v>683</v>
      </c>
      <c r="N406" s="10" t="s">
        <v>684</v>
      </c>
      <c r="O406" s="10" t="s">
        <v>685</v>
      </c>
      <c r="P406" s="10"/>
      <c r="Q406" s="10"/>
      <c r="R406" s="10"/>
      <c r="S406" s="10"/>
      <c r="T406" s="10"/>
      <c r="U406" s="10"/>
      <c r="V406" s="10"/>
      <c r="W406" s="10"/>
      <c r="X406" s="10"/>
      <c r="Y406" s="10"/>
      <c r="Z406" s="10"/>
    </row>
    <row r="407" spans="1:26" ht="15">
      <c r="A407" s="11"/>
      <c r="B407" s="10" t="s">
        <v>686</v>
      </c>
      <c r="C407" s="10" t="s">
        <v>4078</v>
      </c>
      <c r="D407" s="10" t="s">
        <v>688</v>
      </c>
      <c r="E407" s="10" t="s">
        <v>688</v>
      </c>
      <c r="F407" s="10" t="s">
        <v>688</v>
      </c>
      <c r="G407" s="10" t="s">
        <v>688</v>
      </c>
      <c r="H407" s="10" t="s">
        <v>688</v>
      </c>
      <c r="I407" s="10" t="s">
        <v>688</v>
      </c>
      <c r="J407" s="10" t="s">
        <v>688</v>
      </c>
      <c r="K407" s="10" t="s">
        <v>688</v>
      </c>
      <c r="L407" s="10" t="s">
        <v>3427</v>
      </c>
      <c r="M407" s="10" t="s">
        <v>688</v>
      </c>
      <c r="N407" s="10" t="s">
        <v>707</v>
      </c>
      <c r="O407" s="10" t="s">
        <v>688</v>
      </c>
      <c r="P407" s="10"/>
      <c r="Q407" s="10"/>
      <c r="R407" s="10"/>
      <c r="S407" s="10"/>
      <c r="T407" s="10"/>
      <c r="U407" s="10"/>
      <c r="V407" s="10"/>
      <c r="W407" s="10"/>
      <c r="X407" s="10"/>
      <c r="Y407" s="10"/>
      <c r="Z407" s="10"/>
    </row>
    <row r="408" spans="1:26" ht="15">
      <c r="A408" s="9">
        <v>202</v>
      </c>
      <c r="B408" s="10" t="str">
        <f ca="1">IFERROR(__xludf.DUMMYFUNCTION((TRANSPOSE(ImportHTML("http://spending.data.al/sq/moneypower/view/id/202/year/2013",  "table", 0)))),"*Kategoria*")</f>
        <v>*Kategoria*</v>
      </c>
      <c r="C408" s="10" t="s">
        <v>673</v>
      </c>
      <c r="D408" s="10" t="s">
        <v>674</v>
      </c>
      <c r="E408" s="10" t="s">
        <v>675</v>
      </c>
      <c r="F408" s="10" t="s">
        <v>676</v>
      </c>
      <c r="G408" s="10" t="s">
        <v>677</v>
      </c>
      <c r="H408" s="10" t="s">
        <v>678</v>
      </c>
      <c r="I408" s="10" t="s">
        <v>679</v>
      </c>
      <c r="J408" s="10" t="s">
        <v>680</v>
      </c>
      <c r="K408" s="10" t="s">
        <v>681</v>
      </c>
      <c r="L408" s="10" t="s">
        <v>682</v>
      </c>
      <c r="M408" s="10" t="s">
        <v>683</v>
      </c>
      <c r="N408" s="10" t="s">
        <v>684</v>
      </c>
      <c r="O408" s="10" t="s">
        <v>685</v>
      </c>
      <c r="P408" s="10"/>
      <c r="Q408" s="10"/>
      <c r="R408" s="10"/>
      <c r="S408" s="10"/>
      <c r="T408" s="10"/>
      <c r="U408" s="10"/>
      <c r="V408" s="10"/>
      <c r="W408" s="10"/>
      <c r="X408" s="10"/>
      <c r="Y408" s="10"/>
      <c r="Z408" s="10"/>
    </row>
    <row r="409" spans="1:26" ht="15">
      <c r="A409" s="11"/>
      <c r="B409" s="10" t="s">
        <v>686</v>
      </c>
      <c r="C409" s="10" t="s">
        <v>4079</v>
      </c>
      <c r="D409" s="10" t="s">
        <v>688</v>
      </c>
      <c r="E409" s="10" t="s">
        <v>688</v>
      </c>
      <c r="F409" s="10" t="s">
        <v>688</v>
      </c>
      <c r="G409" s="10" t="s">
        <v>688</v>
      </c>
      <c r="H409" s="10" t="s">
        <v>688</v>
      </c>
      <c r="I409" s="10" t="s">
        <v>688</v>
      </c>
      <c r="J409" s="10" t="s">
        <v>688</v>
      </c>
      <c r="K409" s="10" t="s">
        <v>688</v>
      </c>
      <c r="L409" s="10" t="s">
        <v>4080</v>
      </c>
      <c r="M409" s="10" t="s">
        <v>688</v>
      </c>
      <c r="N409" s="10" t="s">
        <v>707</v>
      </c>
      <c r="O409" s="10" t="s">
        <v>688</v>
      </c>
      <c r="P409" s="10"/>
      <c r="Q409" s="10"/>
      <c r="R409" s="10"/>
      <c r="S409" s="10"/>
      <c r="T409" s="10"/>
      <c r="U409" s="10"/>
      <c r="V409" s="10"/>
      <c r="W409" s="10"/>
      <c r="X409" s="10"/>
      <c r="Y409" s="10"/>
      <c r="Z409" s="10"/>
    </row>
    <row r="410" spans="1:26" ht="15">
      <c r="A410" s="9">
        <v>203</v>
      </c>
      <c r="B410" s="10" t="str">
        <f ca="1">IFERROR(__xludf.DUMMYFUNCTION((TRANSPOSE(ImportHTML("http://spending.data.al/sq/moneypower/view/id/203/year/2013",  "table", 0)))),"Loading...")</f>
        <v>Loading...</v>
      </c>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c r="A411" s="11"/>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c r="A412" s="11"/>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c r="A413" s="9">
        <v>204</v>
      </c>
      <c r="B413" s="10" t="str">
        <f ca="1">IFERROR(__xludf.DUMMYFUNCTION((TRANSPOSE(ImportHTML("http://spending.data.al/sq/moneypower/view/id/204/year/2013",  "table", 0)))),"Loading...")</f>
        <v>Loading...</v>
      </c>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c r="A414" s="11"/>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c r="A415" s="9">
        <v>205</v>
      </c>
      <c r="B415" s="10" t="str">
        <f ca="1">IFERROR(__xludf.DUMMYFUNCTION((TRANSPOSE(ImportHTML("http://spending.data.al/sq/moneypower/view/id/205/year/2013",  "table", 0)))),"*Kategoria*")</f>
        <v>*Kategoria*</v>
      </c>
      <c r="C415" s="10" t="s">
        <v>673</v>
      </c>
      <c r="D415" s="10" t="s">
        <v>674</v>
      </c>
      <c r="E415" s="10" t="s">
        <v>675</v>
      </c>
      <c r="F415" s="10" t="s">
        <v>676</v>
      </c>
      <c r="G415" s="10" t="s">
        <v>677</v>
      </c>
      <c r="H415" s="10" t="s">
        <v>678</v>
      </c>
      <c r="I415" s="10" t="s">
        <v>679</v>
      </c>
      <c r="J415" s="10" t="s">
        <v>680</v>
      </c>
      <c r="K415" s="10" t="s">
        <v>681</v>
      </c>
      <c r="L415" s="10" t="s">
        <v>682</v>
      </c>
      <c r="M415" s="10" t="s">
        <v>683</v>
      </c>
      <c r="N415" s="10" t="s">
        <v>684</v>
      </c>
      <c r="O415" s="10" t="s">
        <v>685</v>
      </c>
      <c r="P415" s="10"/>
      <c r="Q415" s="10"/>
      <c r="R415" s="10"/>
      <c r="S415" s="10"/>
      <c r="T415" s="10"/>
      <c r="U415" s="10"/>
      <c r="V415" s="10"/>
      <c r="W415" s="10"/>
      <c r="X415" s="10"/>
      <c r="Y415" s="10"/>
      <c r="Z415" s="10"/>
    </row>
    <row r="416" spans="1:26" ht="15">
      <c r="A416" s="11"/>
      <c r="B416" s="10" t="s">
        <v>686</v>
      </c>
      <c r="C416" s="10" t="s">
        <v>4081</v>
      </c>
      <c r="D416" s="10" t="s">
        <v>688</v>
      </c>
      <c r="E416" s="10" t="s">
        <v>688</v>
      </c>
      <c r="F416" s="10" t="s">
        <v>688</v>
      </c>
      <c r="G416" s="10" t="s">
        <v>688</v>
      </c>
      <c r="H416" s="10" t="s">
        <v>688</v>
      </c>
      <c r="I416" s="10" t="s">
        <v>688</v>
      </c>
      <c r="J416" s="10" t="s">
        <v>688</v>
      </c>
      <c r="K416" s="10" t="s">
        <v>688</v>
      </c>
      <c r="L416" s="10" t="s">
        <v>4082</v>
      </c>
      <c r="M416" s="10" t="s">
        <v>688</v>
      </c>
      <c r="N416" s="10">
        <v>1.69</v>
      </c>
      <c r="O416" s="10" t="s">
        <v>4083</v>
      </c>
      <c r="P416" s="10"/>
      <c r="Q416" s="10"/>
      <c r="R416" s="10"/>
      <c r="S416" s="10"/>
      <c r="T416" s="10"/>
      <c r="U416" s="10"/>
      <c r="V416" s="10"/>
      <c r="W416" s="10"/>
      <c r="X416" s="10"/>
      <c r="Y416" s="10"/>
      <c r="Z416" s="10"/>
    </row>
    <row r="417" spans="1:26" ht="15">
      <c r="A417" s="9">
        <v>206</v>
      </c>
      <c r="B417" s="10" t="str">
        <f ca="1">IFERROR(__xludf.DUMMYFUNCTION((TRANSPOSE(ImportHTML("http://spending.data.al/sq/moneypower/view/id/206/year/2013",  "table", 0)))),"*Kategoria*")</f>
        <v>*Kategoria*</v>
      </c>
      <c r="C417" s="10" t="s">
        <v>673</v>
      </c>
      <c r="D417" s="10" t="s">
        <v>674</v>
      </c>
      <c r="E417" s="10" t="s">
        <v>675</v>
      </c>
      <c r="F417" s="10" t="s">
        <v>676</v>
      </c>
      <c r="G417" s="10" t="s">
        <v>677</v>
      </c>
      <c r="H417" s="10" t="s">
        <v>678</v>
      </c>
      <c r="I417" s="10" t="s">
        <v>679</v>
      </c>
      <c r="J417" s="10" t="s">
        <v>680</v>
      </c>
      <c r="K417" s="10" t="s">
        <v>681</v>
      </c>
      <c r="L417" s="10" t="s">
        <v>682</v>
      </c>
      <c r="M417" s="10" t="s">
        <v>683</v>
      </c>
      <c r="N417" s="10" t="s">
        <v>684</v>
      </c>
      <c r="O417" s="10" t="s">
        <v>685</v>
      </c>
      <c r="P417" s="10"/>
      <c r="Q417" s="10"/>
      <c r="R417" s="10"/>
      <c r="S417" s="10"/>
      <c r="T417" s="10"/>
      <c r="U417" s="10"/>
      <c r="V417" s="10"/>
      <c r="W417" s="10"/>
      <c r="X417" s="10"/>
      <c r="Y417" s="10"/>
      <c r="Z417" s="10"/>
    </row>
    <row r="418" spans="1:26" ht="15">
      <c r="A418" s="11"/>
      <c r="B418" s="10" t="s">
        <v>686</v>
      </c>
      <c r="C418" s="10" t="s">
        <v>4084</v>
      </c>
      <c r="D418" s="10" t="s">
        <v>688</v>
      </c>
      <c r="E418" s="10" t="s">
        <v>688</v>
      </c>
      <c r="F418" s="10" t="s">
        <v>688</v>
      </c>
      <c r="G418" s="10" t="s">
        <v>4085</v>
      </c>
      <c r="H418" s="10" t="s">
        <v>688</v>
      </c>
      <c r="I418" s="10" t="s">
        <v>688</v>
      </c>
      <c r="J418" s="10" t="s">
        <v>688</v>
      </c>
      <c r="K418" s="10" t="s">
        <v>688</v>
      </c>
      <c r="L418" s="10" t="s">
        <v>4086</v>
      </c>
      <c r="M418" s="10" t="s">
        <v>688</v>
      </c>
      <c r="N418" s="10">
        <v>1.17</v>
      </c>
      <c r="O418" s="10" t="s">
        <v>3434</v>
      </c>
      <c r="P418" s="10"/>
      <c r="Q418" s="10"/>
      <c r="R418" s="10"/>
      <c r="S418" s="10"/>
      <c r="T418" s="10"/>
      <c r="U418" s="10"/>
      <c r="V418" s="10"/>
      <c r="W418" s="10"/>
      <c r="X418" s="10"/>
      <c r="Y418" s="10"/>
      <c r="Z418" s="10"/>
    </row>
    <row r="419" spans="1:26" ht="15">
      <c r="A419" s="9">
        <v>207</v>
      </c>
      <c r="B419" s="10" t="str">
        <f ca="1">IFERROR(__xludf.DUMMYFUNCTION((TRANSPOSE(ImportHTML("http://spending.data.al/sq/moneypower/view/id/207/year/2013",  "table", 0)))),"*Kategoria*")</f>
        <v>*Kategoria*</v>
      </c>
      <c r="C419" s="10" t="s">
        <v>673</v>
      </c>
      <c r="D419" s="10" t="s">
        <v>674</v>
      </c>
      <c r="E419" s="10" t="s">
        <v>675</v>
      </c>
      <c r="F419" s="10" t="s">
        <v>676</v>
      </c>
      <c r="G419" s="10" t="s">
        <v>677</v>
      </c>
      <c r="H419" s="10" t="s">
        <v>678</v>
      </c>
      <c r="I419" s="10" t="s">
        <v>679</v>
      </c>
      <c r="J419" s="10" t="s">
        <v>680</v>
      </c>
      <c r="K419" s="10" t="s">
        <v>681</v>
      </c>
      <c r="L419" s="10" t="s">
        <v>682</v>
      </c>
      <c r="M419" s="10" t="s">
        <v>683</v>
      </c>
      <c r="N419" s="10" t="s">
        <v>684</v>
      </c>
      <c r="O419" s="10" t="s">
        <v>685</v>
      </c>
      <c r="P419" s="10"/>
      <c r="Q419" s="10"/>
      <c r="R419" s="10"/>
      <c r="S419" s="10"/>
      <c r="T419" s="10"/>
      <c r="U419" s="10"/>
      <c r="V419" s="10"/>
      <c r="W419" s="10"/>
      <c r="X419" s="10"/>
      <c r="Y419" s="10"/>
      <c r="Z419" s="10"/>
    </row>
    <row r="420" spans="1:26" ht="15">
      <c r="A420" s="11"/>
      <c r="B420" s="10" t="s">
        <v>686</v>
      </c>
      <c r="C420" s="10" t="s">
        <v>4087</v>
      </c>
      <c r="D420" s="10" t="s">
        <v>688</v>
      </c>
      <c r="E420" s="10" t="s">
        <v>688</v>
      </c>
      <c r="F420" s="10" t="s">
        <v>688</v>
      </c>
      <c r="G420" s="10" t="s">
        <v>4088</v>
      </c>
      <c r="H420" s="10" t="s">
        <v>688</v>
      </c>
      <c r="I420" s="10" t="s">
        <v>688</v>
      </c>
      <c r="J420" s="10" t="s">
        <v>688</v>
      </c>
      <c r="K420" s="10" t="s">
        <v>688</v>
      </c>
      <c r="L420" s="10" t="s">
        <v>4089</v>
      </c>
      <c r="M420" s="10" t="s">
        <v>688</v>
      </c>
      <c r="N420" s="10">
        <v>2.72</v>
      </c>
      <c r="O420" s="10" t="s">
        <v>4090</v>
      </c>
      <c r="P420" s="10"/>
      <c r="Q420" s="10"/>
      <c r="R420" s="10"/>
      <c r="S420" s="10"/>
      <c r="T420" s="10"/>
      <c r="U420" s="10"/>
      <c r="V420" s="10"/>
      <c r="W420" s="10"/>
      <c r="X420" s="10"/>
      <c r="Y420" s="10"/>
      <c r="Z420" s="10"/>
    </row>
    <row r="421" spans="1:26" ht="15">
      <c r="A421" s="9">
        <v>208</v>
      </c>
      <c r="B421" s="10" t="str">
        <f ca="1">IFERROR(__xludf.DUMMYFUNCTION((TRANSPOSE(ImportHTML("http://spending.data.al/sq/moneypower/view/id/208/year/2013",  "table", 0)))),"Loading...")</f>
        <v>Loading...</v>
      </c>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c r="A422" s="11"/>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c r="A423" s="11"/>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c r="A424" s="9">
        <v>209</v>
      </c>
      <c r="B424" s="10" t="str">
        <f ca="1">IFERROR(__xludf.DUMMYFUNCTION((TRANSPOSE(ImportHTML("http://spending.data.al/sq/moneypower/view/id/209/year/2013",  "table", 0)))),"Loading...")</f>
        <v>Loading...</v>
      </c>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c r="A425" s="11"/>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c r="A426" s="9">
        <v>210</v>
      </c>
      <c r="B426" s="10" t="str">
        <f ca="1">IFERROR(__xludf.DUMMYFUNCTION((TRANSPOSE(ImportHTML("http://spending.data.al/sq/moneypower/view/id/210/year/2013",  "table", 0)))),"*Kategoria*")</f>
        <v>*Kategoria*</v>
      </c>
      <c r="C426" s="10" t="s">
        <v>673</v>
      </c>
      <c r="D426" s="10" t="s">
        <v>674</v>
      </c>
      <c r="E426" s="10" t="s">
        <v>675</v>
      </c>
      <c r="F426" s="10" t="s">
        <v>676</v>
      </c>
      <c r="G426" s="10" t="s">
        <v>677</v>
      </c>
      <c r="H426" s="10" t="s">
        <v>678</v>
      </c>
      <c r="I426" s="10" t="s">
        <v>679</v>
      </c>
      <c r="J426" s="10" t="s">
        <v>680</v>
      </c>
      <c r="K426" s="10" t="s">
        <v>681</v>
      </c>
      <c r="L426" s="10" t="s">
        <v>682</v>
      </c>
      <c r="M426" s="10" t="s">
        <v>683</v>
      </c>
      <c r="N426" s="10" t="s">
        <v>684</v>
      </c>
      <c r="O426" s="10" t="s">
        <v>685</v>
      </c>
      <c r="P426" s="10"/>
      <c r="Q426" s="10"/>
      <c r="R426" s="10"/>
      <c r="S426" s="10"/>
      <c r="T426" s="10"/>
      <c r="U426" s="10"/>
      <c r="V426" s="10"/>
      <c r="W426" s="10"/>
      <c r="X426" s="10"/>
      <c r="Y426" s="10"/>
      <c r="Z426" s="10"/>
    </row>
    <row r="427" spans="1:26" ht="15">
      <c r="A427" s="11"/>
      <c r="B427" s="10" t="s">
        <v>686</v>
      </c>
      <c r="C427" s="10" t="s">
        <v>4091</v>
      </c>
      <c r="D427" s="10" t="s">
        <v>688</v>
      </c>
      <c r="E427" s="10" t="s">
        <v>688</v>
      </c>
      <c r="F427" s="10" t="s">
        <v>688</v>
      </c>
      <c r="G427" s="10" t="s">
        <v>688</v>
      </c>
      <c r="H427" s="10" t="s">
        <v>688</v>
      </c>
      <c r="I427" s="10" t="s">
        <v>688</v>
      </c>
      <c r="J427" s="10" t="s">
        <v>688</v>
      </c>
      <c r="K427" s="10" t="s">
        <v>688</v>
      </c>
      <c r="L427" s="10" t="s">
        <v>4092</v>
      </c>
      <c r="M427" s="10" t="s">
        <v>4093</v>
      </c>
      <c r="N427" s="10">
        <v>1.29</v>
      </c>
      <c r="O427" s="10" t="s">
        <v>4094</v>
      </c>
      <c r="P427" s="10"/>
      <c r="Q427" s="10"/>
      <c r="R427" s="10"/>
      <c r="S427" s="10"/>
      <c r="T427" s="10"/>
      <c r="U427" s="10"/>
      <c r="V427" s="10"/>
      <c r="W427" s="10"/>
      <c r="X427" s="10"/>
      <c r="Y427" s="10"/>
      <c r="Z427" s="10"/>
    </row>
    <row r="428" spans="1:26" ht="15">
      <c r="A428" s="9">
        <v>211</v>
      </c>
      <c r="B428" s="10" t="str">
        <f ca="1">IFERROR(__xludf.DUMMYFUNCTION((TRANSPOSE(ImportHTML("http://spending.data.al/sq/moneypower/view/id/211/year/2013",  "table", 0)))),"*Kategoria*")</f>
        <v>*Kategoria*</v>
      </c>
      <c r="C428" s="10" t="s">
        <v>673</v>
      </c>
      <c r="D428" s="10" t="s">
        <v>674</v>
      </c>
      <c r="E428" s="10" t="s">
        <v>675</v>
      </c>
      <c r="F428" s="10" t="s">
        <v>676</v>
      </c>
      <c r="G428" s="10" t="s">
        <v>677</v>
      </c>
      <c r="H428" s="10" t="s">
        <v>678</v>
      </c>
      <c r="I428" s="10" t="s">
        <v>679</v>
      </c>
      <c r="J428" s="10" t="s">
        <v>680</v>
      </c>
      <c r="K428" s="10" t="s">
        <v>681</v>
      </c>
      <c r="L428" s="10" t="s">
        <v>682</v>
      </c>
      <c r="M428" s="10" t="s">
        <v>683</v>
      </c>
      <c r="N428" s="10" t="s">
        <v>684</v>
      </c>
      <c r="O428" s="10" t="s">
        <v>685</v>
      </c>
      <c r="P428" s="10"/>
      <c r="Q428" s="10"/>
      <c r="R428" s="10"/>
      <c r="S428" s="10"/>
      <c r="T428" s="10"/>
      <c r="U428" s="10"/>
      <c r="V428" s="10"/>
      <c r="W428" s="10"/>
      <c r="X428" s="10"/>
      <c r="Y428" s="10"/>
      <c r="Z428" s="10"/>
    </row>
    <row r="429" spans="1:26" ht="15">
      <c r="A429" s="11"/>
      <c r="B429" s="10" t="s">
        <v>686</v>
      </c>
      <c r="C429" s="10" t="s">
        <v>4095</v>
      </c>
      <c r="D429" s="10" t="s">
        <v>688</v>
      </c>
      <c r="E429" s="10" t="s">
        <v>688</v>
      </c>
      <c r="F429" s="10" t="s">
        <v>4096</v>
      </c>
      <c r="G429" s="10" t="s">
        <v>4097</v>
      </c>
      <c r="H429" s="10" t="s">
        <v>688</v>
      </c>
      <c r="I429" s="10" t="s">
        <v>688</v>
      </c>
      <c r="J429" s="10" t="s">
        <v>688</v>
      </c>
      <c r="K429" s="10" t="s">
        <v>688</v>
      </c>
      <c r="L429" s="10" t="s">
        <v>4098</v>
      </c>
      <c r="M429" s="10" t="s">
        <v>4099</v>
      </c>
      <c r="N429" s="10">
        <v>1.55</v>
      </c>
      <c r="O429" s="10" t="s">
        <v>4100</v>
      </c>
      <c r="P429" s="10"/>
      <c r="Q429" s="10"/>
      <c r="R429" s="10"/>
      <c r="S429" s="10"/>
      <c r="T429" s="10"/>
      <c r="U429" s="10"/>
      <c r="V429" s="10"/>
      <c r="W429" s="10"/>
      <c r="X429" s="10"/>
      <c r="Y429" s="10"/>
      <c r="Z429" s="10"/>
    </row>
    <row r="430" spans="1:26" ht="15">
      <c r="A430" s="9">
        <v>212</v>
      </c>
      <c r="B430" s="10" t="str">
        <f ca="1">IFERROR(__xludf.DUMMYFUNCTION((TRANSPOSE(ImportHTML("http://spending.data.al/sq/moneypower/view/id/212/year/2013",  "table", 0)))),"Loading...")</f>
        <v>Loading...</v>
      </c>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c r="A431" s="11"/>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c r="A432" s="11"/>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c r="A433" s="9">
        <v>213</v>
      </c>
      <c r="B433" s="10" t="str">
        <f ca="1">IFERROR(__xludf.DUMMYFUNCTION((TRANSPOSE(ImportHTML("http://spending.data.al/sq/moneypower/view/id/213/year/2013",  "table", 0)))),"Loading...")</f>
        <v>Loading...</v>
      </c>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c r="A434" s="11"/>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c r="A435" s="9">
        <v>214</v>
      </c>
      <c r="B435" s="10" t="str">
        <f ca="1">IFERROR(__xludf.DUMMYFUNCTION((TRANSPOSE(ImportHTML("http://spending.data.al/sq/moneypower/view/id/214/year/2013",  "table", 0)))),"*Kategoria*")</f>
        <v>*Kategoria*</v>
      </c>
      <c r="C435" s="10" t="s">
        <v>673</v>
      </c>
      <c r="D435" s="10" t="s">
        <v>674</v>
      </c>
      <c r="E435" s="10" t="s">
        <v>675</v>
      </c>
      <c r="F435" s="10" t="s">
        <v>676</v>
      </c>
      <c r="G435" s="10" t="s">
        <v>677</v>
      </c>
      <c r="H435" s="10" t="s">
        <v>678</v>
      </c>
      <c r="I435" s="10" t="s">
        <v>679</v>
      </c>
      <c r="J435" s="10" t="s">
        <v>680</v>
      </c>
      <c r="K435" s="10" t="s">
        <v>681</v>
      </c>
      <c r="L435" s="10" t="s">
        <v>682</v>
      </c>
      <c r="M435" s="10" t="s">
        <v>683</v>
      </c>
      <c r="N435" s="10" t="s">
        <v>684</v>
      </c>
      <c r="O435" s="10" t="s">
        <v>685</v>
      </c>
      <c r="P435" s="10"/>
      <c r="Q435" s="10"/>
      <c r="R435" s="10"/>
      <c r="S435" s="10"/>
      <c r="T435" s="10"/>
      <c r="U435" s="10"/>
      <c r="V435" s="10"/>
      <c r="W435" s="10"/>
      <c r="X435" s="10"/>
      <c r="Y435" s="10"/>
      <c r="Z435" s="10"/>
    </row>
    <row r="436" spans="1:26" ht="15">
      <c r="A436" s="11"/>
      <c r="B436" s="10" t="s">
        <v>686</v>
      </c>
      <c r="C436" s="10" t="s">
        <v>1451</v>
      </c>
      <c r="D436" s="10" t="s">
        <v>688</v>
      </c>
      <c r="E436" s="10" t="s">
        <v>1452</v>
      </c>
      <c r="F436" s="10" t="s">
        <v>688</v>
      </c>
      <c r="G436" s="10" t="s">
        <v>688</v>
      </c>
      <c r="H436" s="10" t="s">
        <v>688</v>
      </c>
      <c r="I436" s="10" t="s">
        <v>688</v>
      </c>
      <c r="J436" s="10" t="s">
        <v>688</v>
      </c>
      <c r="K436" s="10" t="s">
        <v>688</v>
      </c>
      <c r="L436" s="10" t="s">
        <v>1453</v>
      </c>
      <c r="M436" s="10" t="s">
        <v>688</v>
      </c>
      <c r="N436" s="10">
        <v>1.17</v>
      </c>
      <c r="O436" s="10" t="s">
        <v>688</v>
      </c>
      <c r="P436" s="10"/>
      <c r="Q436" s="10"/>
      <c r="R436" s="10"/>
      <c r="S436" s="10"/>
      <c r="T436" s="10"/>
      <c r="U436" s="10"/>
      <c r="V436" s="10"/>
      <c r="W436" s="10"/>
      <c r="X436" s="10"/>
      <c r="Y436" s="10"/>
      <c r="Z436" s="10"/>
    </row>
    <row r="437" spans="1:26" ht="15">
      <c r="A437" s="9">
        <v>215</v>
      </c>
      <c r="B437" s="10" t="str">
        <f ca="1">IFERROR(__xludf.DUMMYFUNCTION((TRANSPOSE(ImportHTML("http://spending.data.al/sq/moneypower/view/id/215/year/2013",  "table", 0)))),"*Kategoria*")</f>
        <v>*Kategoria*</v>
      </c>
      <c r="C437" s="10" t="s">
        <v>673</v>
      </c>
      <c r="D437" s="10" t="s">
        <v>674</v>
      </c>
      <c r="E437" s="10" t="s">
        <v>675</v>
      </c>
      <c r="F437" s="10" t="s">
        <v>676</v>
      </c>
      <c r="G437" s="10" t="s">
        <v>677</v>
      </c>
      <c r="H437" s="10" t="s">
        <v>678</v>
      </c>
      <c r="I437" s="10" t="s">
        <v>679</v>
      </c>
      <c r="J437" s="10" t="s">
        <v>680</v>
      </c>
      <c r="K437" s="10" t="s">
        <v>681</v>
      </c>
      <c r="L437" s="10" t="s">
        <v>682</v>
      </c>
      <c r="M437" s="10" t="s">
        <v>683</v>
      </c>
      <c r="N437" s="10" t="s">
        <v>684</v>
      </c>
      <c r="O437" s="10" t="s">
        <v>685</v>
      </c>
      <c r="P437" s="10"/>
      <c r="Q437" s="10"/>
      <c r="R437" s="10"/>
      <c r="S437" s="10"/>
      <c r="T437" s="10"/>
      <c r="U437" s="10"/>
      <c r="V437" s="10"/>
      <c r="W437" s="10"/>
      <c r="X437" s="10"/>
      <c r="Y437" s="10"/>
      <c r="Z437" s="10"/>
    </row>
    <row r="438" spans="1:26" ht="15">
      <c r="A438" s="11"/>
      <c r="B438" s="10" t="s">
        <v>686</v>
      </c>
      <c r="C438" s="10" t="s">
        <v>1454</v>
      </c>
      <c r="D438" s="10" t="s">
        <v>1455</v>
      </c>
      <c r="E438" s="10" t="s">
        <v>1456</v>
      </c>
      <c r="F438" s="10" t="s">
        <v>688</v>
      </c>
      <c r="G438" s="10" t="s">
        <v>688</v>
      </c>
      <c r="H438" s="10" t="s">
        <v>688</v>
      </c>
      <c r="I438" s="10" t="s">
        <v>688</v>
      </c>
      <c r="J438" s="10" t="s">
        <v>688</v>
      </c>
      <c r="K438" s="10" t="s">
        <v>688</v>
      </c>
      <c r="L438" s="10" t="s">
        <v>1457</v>
      </c>
      <c r="M438" s="10" t="s">
        <v>688</v>
      </c>
      <c r="N438" s="10">
        <v>1.06</v>
      </c>
      <c r="O438" s="10" t="s">
        <v>688</v>
      </c>
      <c r="P438" s="10"/>
      <c r="Q438" s="10"/>
      <c r="R438" s="10"/>
      <c r="S438" s="10"/>
      <c r="T438" s="10"/>
      <c r="U438" s="10"/>
      <c r="V438" s="10"/>
      <c r="W438" s="10"/>
      <c r="X438" s="10"/>
      <c r="Y438" s="10"/>
      <c r="Z438" s="10"/>
    </row>
    <row r="439" spans="1:26" ht="15">
      <c r="A439" s="9">
        <v>216</v>
      </c>
      <c r="B439" s="10" t="str">
        <f ca="1">IFERROR(__xludf.DUMMYFUNCTION((TRANSPOSE(ImportHTML("http://spending.data.al/sq/moneypower/view/id/216/year/2013",  "table", 0)))),"Loading...")</f>
        <v>Loading...</v>
      </c>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c r="A440" s="11"/>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c r="A441" s="11"/>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c r="A442" s="9">
        <v>217</v>
      </c>
      <c r="B442" s="10" t="str">
        <f ca="1">IFERROR(__xludf.DUMMYFUNCTION((TRANSPOSE(ImportHTML("http://spending.data.al/sq/moneypower/view/id/217/year/2013",  "table", 0)))),"Loading...")</f>
        <v>Loading...</v>
      </c>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c r="A443" s="11"/>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c r="A444" s="9">
        <v>218</v>
      </c>
      <c r="B444" s="10" t="str">
        <f ca="1">IFERROR(__xludf.DUMMYFUNCTION((TRANSPOSE(ImportHTML("http://spending.data.al/sq/moneypower/view/id/218/year/2013",  "table", 0)))),"*Kategoria*")</f>
        <v>*Kategoria*</v>
      </c>
      <c r="C444" s="10" t="s">
        <v>673</v>
      </c>
      <c r="D444" s="10" t="s">
        <v>674</v>
      </c>
      <c r="E444" s="10" t="s">
        <v>675</v>
      </c>
      <c r="F444" s="10" t="s">
        <v>676</v>
      </c>
      <c r="G444" s="10" t="s">
        <v>677</v>
      </c>
      <c r="H444" s="10" t="s">
        <v>678</v>
      </c>
      <c r="I444" s="10" t="s">
        <v>679</v>
      </c>
      <c r="J444" s="10" t="s">
        <v>680</v>
      </c>
      <c r="K444" s="10" t="s">
        <v>681</v>
      </c>
      <c r="L444" s="10" t="s">
        <v>682</v>
      </c>
      <c r="M444" s="10" t="s">
        <v>683</v>
      </c>
      <c r="N444" s="10" t="s">
        <v>684</v>
      </c>
      <c r="O444" s="10" t="s">
        <v>685</v>
      </c>
      <c r="P444" s="10"/>
      <c r="Q444" s="10"/>
      <c r="R444" s="10"/>
      <c r="S444" s="10"/>
      <c r="T444" s="10"/>
      <c r="U444" s="10"/>
      <c r="V444" s="10"/>
      <c r="W444" s="10"/>
      <c r="X444" s="10"/>
      <c r="Y444" s="10"/>
      <c r="Z444" s="10"/>
    </row>
    <row r="445" spans="1:26" ht="15">
      <c r="A445" s="11"/>
      <c r="B445" s="10" t="s">
        <v>686</v>
      </c>
      <c r="C445" s="10" t="s">
        <v>1464</v>
      </c>
      <c r="D445" s="10" t="s">
        <v>688</v>
      </c>
      <c r="E445" s="10" t="s">
        <v>1465</v>
      </c>
      <c r="F445" s="10" t="s">
        <v>688</v>
      </c>
      <c r="G445" s="10" t="s">
        <v>1466</v>
      </c>
      <c r="H445" s="10" t="s">
        <v>688</v>
      </c>
      <c r="I445" s="10" t="s">
        <v>688</v>
      </c>
      <c r="J445" s="10" t="s">
        <v>688</v>
      </c>
      <c r="K445" s="10" t="s">
        <v>688</v>
      </c>
      <c r="L445" s="10" t="s">
        <v>1467</v>
      </c>
      <c r="M445" s="10" t="s">
        <v>688</v>
      </c>
      <c r="N445" s="10">
        <v>1.17</v>
      </c>
      <c r="O445" s="10" t="s">
        <v>688</v>
      </c>
      <c r="P445" s="10"/>
      <c r="Q445" s="10"/>
      <c r="R445" s="10"/>
      <c r="S445" s="10"/>
      <c r="T445" s="10"/>
      <c r="U445" s="10"/>
      <c r="V445" s="10"/>
      <c r="W445" s="10"/>
      <c r="X445" s="10"/>
      <c r="Y445" s="10"/>
      <c r="Z445" s="10"/>
    </row>
    <row r="446" spans="1:26" ht="15">
      <c r="A446" s="9">
        <v>219</v>
      </c>
      <c r="B446" s="10" t="str">
        <f ca="1">IFERROR(__xludf.DUMMYFUNCTION((TRANSPOSE(ImportHTML("http://spending.data.al/sq/moneypower/view/id/219/year/2013",  "table", 0)))),"*Kategoria*")</f>
        <v>*Kategoria*</v>
      </c>
      <c r="C446" s="10" t="s">
        <v>673</v>
      </c>
      <c r="D446" s="10" t="s">
        <v>674</v>
      </c>
      <c r="E446" s="10" t="s">
        <v>675</v>
      </c>
      <c r="F446" s="10" t="s">
        <v>676</v>
      </c>
      <c r="G446" s="10" t="s">
        <v>677</v>
      </c>
      <c r="H446" s="10" t="s">
        <v>678</v>
      </c>
      <c r="I446" s="10" t="s">
        <v>679</v>
      </c>
      <c r="J446" s="10" t="s">
        <v>680</v>
      </c>
      <c r="K446" s="10" t="s">
        <v>681</v>
      </c>
      <c r="L446" s="10" t="s">
        <v>682</v>
      </c>
      <c r="M446" s="10" t="s">
        <v>683</v>
      </c>
      <c r="N446" s="10" t="s">
        <v>684</v>
      </c>
      <c r="O446" s="10" t="s">
        <v>685</v>
      </c>
      <c r="P446" s="10"/>
      <c r="Q446" s="10"/>
      <c r="R446" s="10"/>
      <c r="S446" s="10"/>
      <c r="T446" s="10"/>
      <c r="U446" s="10"/>
      <c r="V446" s="10"/>
      <c r="W446" s="10"/>
      <c r="X446" s="10"/>
      <c r="Y446" s="10"/>
      <c r="Z446" s="10"/>
    </row>
    <row r="447" spans="1:26" ht="15">
      <c r="A447" s="11"/>
      <c r="B447" s="10" t="s">
        <v>686</v>
      </c>
      <c r="C447" s="10" t="s">
        <v>1468</v>
      </c>
      <c r="D447" s="10" t="s">
        <v>1469</v>
      </c>
      <c r="E447" s="10" t="s">
        <v>1470</v>
      </c>
      <c r="F447" s="10" t="s">
        <v>688</v>
      </c>
      <c r="G447" s="10" t="s">
        <v>688</v>
      </c>
      <c r="H447" s="10" t="s">
        <v>688</v>
      </c>
      <c r="I447" s="10" t="s">
        <v>688</v>
      </c>
      <c r="J447" s="10" t="s">
        <v>688</v>
      </c>
      <c r="K447" s="10" t="s">
        <v>688</v>
      </c>
      <c r="L447" s="10" t="s">
        <v>688</v>
      </c>
      <c r="M447" s="10" t="s">
        <v>688</v>
      </c>
      <c r="N447" s="10">
        <v>1.1499999999999999</v>
      </c>
      <c r="O447" s="10" t="s">
        <v>688</v>
      </c>
      <c r="P447" s="10"/>
      <c r="Q447" s="10"/>
      <c r="R447" s="10"/>
      <c r="S447" s="10"/>
      <c r="T447" s="10"/>
      <c r="U447" s="10"/>
      <c r="V447" s="10"/>
      <c r="W447" s="10"/>
      <c r="X447" s="10"/>
      <c r="Y447" s="10"/>
      <c r="Z447" s="10"/>
    </row>
    <row r="448" spans="1:26" ht="15">
      <c r="A448" s="9">
        <v>220</v>
      </c>
      <c r="B448" s="10" t="str">
        <f ca="1">IFERROR(__xludf.DUMMYFUNCTION((TRANSPOSE(ImportHTML("http://spending.data.al/sq/moneypower/view/id/220/year/2013",  "table", 0)))),"*Kategoria*")</f>
        <v>*Kategoria*</v>
      </c>
      <c r="C448" s="10" t="s">
        <v>673</v>
      </c>
      <c r="D448" s="10" t="s">
        <v>674</v>
      </c>
      <c r="E448" s="10" t="s">
        <v>675</v>
      </c>
      <c r="F448" s="10" t="s">
        <v>676</v>
      </c>
      <c r="G448" s="10" t="s">
        <v>677</v>
      </c>
      <c r="H448" s="10" t="s">
        <v>678</v>
      </c>
      <c r="I448" s="10" t="s">
        <v>679</v>
      </c>
      <c r="J448" s="10" t="s">
        <v>680</v>
      </c>
      <c r="K448" s="10" t="s">
        <v>681</v>
      </c>
      <c r="L448" s="10" t="s">
        <v>682</v>
      </c>
      <c r="M448" s="10" t="s">
        <v>683</v>
      </c>
      <c r="N448" s="10" t="s">
        <v>684</v>
      </c>
      <c r="O448" s="10" t="s">
        <v>685</v>
      </c>
      <c r="P448" s="10"/>
      <c r="Q448" s="10"/>
      <c r="R448" s="10"/>
      <c r="S448" s="10"/>
      <c r="T448" s="10"/>
      <c r="U448" s="10"/>
      <c r="V448" s="10"/>
      <c r="W448" s="10"/>
      <c r="X448" s="10"/>
      <c r="Y448" s="10"/>
      <c r="Z448" s="10"/>
    </row>
    <row r="449" spans="1:26" ht="15">
      <c r="A449" s="11"/>
      <c r="B449" s="10" t="s">
        <v>686</v>
      </c>
      <c r="C449" s="10" t="s">
        <v>1471</v>
      </c>
      <c r="D449" s="10" t="s">
        <v>688</v>
      </c>
      <c r="E449" s="10" t="s">
        <v>1472</v>
      </c>
      <c r="F449" s="10" t="s">
        <v>688</v>
      </c>
      <c r="G449" s="10" t="s">
        <v>688</v>
      </c>
      <c r="H449" s="10" t="s">
        <v>688</v>
      </c>
      <c r="I449" s="10" t="s">
        <v>688</v>
      </c>
      <c r="J449" s="10" t="s">
        <v>688</v>
      </c>
      <c r="K449" s="10" t="s">
        <v>688</v>
      </c>
      <c r="L449" s="10" t="s">
        <v>688</v>
      </c>
      <c r="M449" s="10" t="s">
        <v>688</v>
      </c>
      <c r="N449" s="10">
        <v>1.22</v>
      </c>
      <c r="O449" s="10" t="s">
        <v>1473</v>
      </c>
      <c r="P449" s="10"/>
      <c r="Q449" s="10"/>
      <c r="R449" s="10"/>
      <c r="S449" s="10"/>
      <c r="T449" s="10"/>
      <c r="U449" s="10"/>
      <c r="V449" s="10"/>
      <c r="W449" s="10"/>
      <c r="X449" s="10"/>
      <c r="Y449" s="10"/>
      <c r="Z449" s="10"/>
    </row>
    <row r="450" spans="1:26" ht="15">
      <c r="A450" s="9">
        <v>221</v>
      </c>
      <c r="B450" s="10" t="str">
        <f ca="1">IFERROR(__xludf.DUMMYFUNCTION((TRANSPOSE(ImportHTML("http://spending.data.al/sq/moneypower/view/id/221/year/2013",  "table", 0)))),"*Kategoria*")</f>
        <v>*Kategoria*</v>
      </c>
      <c r="C450" s="10" t="s">
        <v>673</v>
      </c>
      <c r="D450" s="10" t="s">
        <v>674</v>
      </c>
      <c r="E450" s="10" t="s">
        <v>675</v>
      </c>
      <c r="F450" s="10" t="s">
        <v>676</v>
      </c>
      <c r="G450" s="10" t="s">
        <v>677</v>
      </c>
      <c r="H450" s="10" t="s">
        <v>678</v>
      </c>
      <c r="I450" s="10" t="s">
        <v>679</v>
      </c>
      <c r="J450" s="10" t="s">
        <v>680</v>
      </c>
      <c r="K450" s="10" t="s">
        <v>681</v>
      </c>
      <c r="L450" s="10" t="s">
        <v>682</v>
      </c>
      <c r="M450" s="10" t="s">
        <v>683</v>
      </c>
      <c r="N450" s="10" t="s">
        <v>684</v>
      </c>
      <c r="O450" s="10" t="s">
        <v>685</v>
      </c>
      <c r="P450" s="10"/>
      <c r="Q450" s="10"/>
      <c r="R450" s="10"/>
      <c r="S450" s="10"/>
      <c r="T450" s="10"/>
      <c r="U450" s="10"/>
      <c r="V450" s="10"/>
      <c r="W450" s="10"/>
      <c r="X450" s="10"/>
      <c r="Y450" s="10"/>
      <c r="Z450" s="10"/>
    </row>
    <row r="451" spans="1:26" ht="15">
      <c r="A451" s="11"/>
      <c r="B451" s="10" t="s">
        <v>686</v>
      </c>
      <c r="C451" s="10" t="s">
        <v>1474</v>
      </c>
      <c r="D451" s="10" t="s">
        <v>688</v>
      </c>
      <c r="E451" s="10" t="s">
        <v>688</v>
      </c>
      <c r="F451" s="10" t="s">
        <v>688</v>
      </c>
      <c r="G451" s="10" t="s">
        <v>688</v>
      </c>
      <c r="H451" s="10" t="s">
        <v>688</v>
      </c>
      <c r="I451" s="10" t="s">
        <v>688</v>
      </c>
      <c r="J451" s="10" t="s">
        <v>688</v>
      </c>
      <c r="K451" s="10" t="s">
        <v>688</v>
      </c>
      <c r="L451" s="10" t="s">
        <v>1475</v>
      </c>
      <c r="M451" s="10" t="s">
        <v>688</v>
      </c>
      <c r="N451" s="10">
        <v>1</v>
      </c>
      <c r="O451" s="10" t="s">
        <v>1476</v>
      </c>
      <c r="P451" s="10"/>
      <c r="Q451" s="10"/>
      <c r="R451" s="10"/>
      <c r="S451" s="10"/>
      <c r="T451" s="10"/>
      <c r="U451" s="10"/>
      <c r="V451" s="10"/>
      <c r="W451" s="10"/>
      <c r="X451" s="10"/>
      <c r="Y451" s="10"/>
      <c r="Z451" s="10"/>
    </row>
    <row r="452" spans="1:26" ht="15">
      <c r="A452" s="9">
        <v>222</v>
      </c>
      <c r="B452" s="10" t="str">
        <f ca="1">IFERROR(__xludf.DUMMYFUNCTION((TRANSPOSE(ImportHTML("http://spending.data.al/sq/moneypower/view/id/222/year/2013",  "table", 0)))),"*Kategoria*")</f>
        <v>*Kategoria*</v>
      </c>
      <c r="C452" s="10" t="s">
        <v>673</v>
      </c>
      <c r="D452" s="10" t="s">
        <v>674</v>
      </c>
      <c r="E452" s="10" t="s">
        <v>675</v>
      </c>
      <c r="F452" s="10" t="s">
        <v>676</v>
      </c>
      <c r="G452" s="10" t="s">
        <v>677</v>
      </c>
      <c r="H452" s="10" t="s">
        <v>678</v>
      </c>
      <c r="I452" s="10" t="s">
        <v>679</v>
      </c>
      <c r="J452" s="10" t="s">
        <v>680</v>
      </c>
      <c r="K452" s="10" t="s">
        <v>681</v>
      </c>
      <c r="L452" s="10" t="s">
        <v>682</v>
      </c>
      <c r="M452" s="10" t="s">
        <v>683</v>
      </c>
      <c r="N452" s="10" t="s">
        <v>684</v>
      </c>
      <c r="O452" s="10" t="s">
        <v>685</v>
      </c>
      <c r="P452" s="10"/>
      <c r="Q452" s="10"/>
      <c r="R452" s="10"/>
      <c r="S452" s="10"/>
      <c r="T452" s="10"/>
      <c r="U452" s="10"/>
      <c r="V452" s="10"/>
      <c r="W452" s="10"/>
      <c r="X452" s="10"/>
      <c r="Y452" s="10"/>
      <c r="Z452" s="10"/>
    </row>
    <row r="453" spans="1:26" ht="15">
      <c r="A453" s="11"/>
      <c r="B453" s="10" t="s">
        <v>686</v>
      </c>
      <c r="C453" s="10" t="s">
        <v>1477</v>
      </c>
      <c r="D453" s="10" t="s">
        <v>688</v>
      </c>
      <c r="E453" s="10" t="s">
        <v>1478</v>
      </c>
      <c r="F453" s="10" t="s">
        <v>688</v>
      </c>
      <c r="G453" s="10" t="s">
        <v>688</v>
      </c>
      <c r="H453" s="10" t="s">
        <v>688</v>
      </c>
      <c r="I453" s="10" t="s">
        <v>688</v>
      </c>
      <c r="J453" s="10" t="s">
        <v>688</v>
      </c>
      <c r="K453" s="10" t="s">
        <v>688</v>
      </c>
      <c r="L453" s="10" t="s">
        <v>1479</v>
      </c>
      <c r="M453" s="10" t="s">
        <v>1480</v>
      </c>
      <c r="N453" s="10">
        <v>1.63</v>
      </c>
      <c r="O453" s="10" t="s">
        <v>1481</v>
      </c>
      <c r="P453" s="10"/>
      <c r="Q453" s="10"/>
      <c r="R453" s="10"/>
      <c r="S453" s="10"/>
      <c r="T453" s="10"/>
      <c r="U453" s="10"/>
      <c r="V453" s="10"/>
      <c r="W453" s="10"/>
      <c r="X453" s="10"/>
      <c r="Y453" s="10"/>
      <c r="Z453" s="10"/>
    </row>
    <row r="454" spans="1:26" ht="15">
      <c r="A454" s="9">
        <v>223</v>
      </c>
      <c r="B454" s="10" t="str">
        <f ca="1">IFERROR(__xludf.DUMMYFUNCTION((TRANSPOSE(ImportHTML("http://spending.data.al/sq/moneypower/view/id/223/year/2013",  "table", 0)))),"*Kategoria*")</f>
        <v>*Kategoria*</v>
      </c>
      <c r="C454" s="10" t="s">
        <v>673</v>
      </c>
      <c r="D454" s="10" t="s">
        <v>674</v>
      </c>
      <c r="E454" s="10" t="s">
        <v>675</v>
      </c>
      <c r="F454" s="10" t="s">
        <v>676</v>
      </c>
      <c r="G454" s="10" t="s">
        <v>677</v>
      </c>
      <c r="H454" s="10" t="s">
        <v>678</v>
      </c>
      <c r="I454" s="10" t="s">
        <v>679</v>
      </c>
      <c r="J454" s="10" t="s">
        <v>680</v>
      </c>
      <c r="K454" s="10" t="s">
        <v>681</v>
      </c>
      <c r="L454" s="10" t="s">
        <v>682</v>
      </c>
      <c r="M454" s="10" t="s">
        <v>683</v>
      </c>
      <c r="N454" s="10" t="s">
        <v>684</v>
      </c>
      <c r="O454" s="10" t="s">
        <v>685</v>
      </c>
      <c r="P454" s="10"/>
      <c r="Q454" s="10"/>
      <c r="R454" s="10"/>
      <c r="S454" s="10"/>
      <c r="T454" s="10"/>
      <c r="U454" s="10"/>
      <c r="V454" s="10"/>
      <c r="W454" s="10"/>
      <c r="X454" s="10"/>
      <c r="Y454" s="10"/>
      <c r="Z454" s="10"/>
    </row>
    <row r="455" spans="1:26" ht="15">
      <c r="A455" s="11"/>
      <c r="B455" s="10" t="s">
        <v>686</v>
      </c>
      <c r="C455" s="10" t="s">
        <v>1482</v>
      </c>
      <c r="D455" s="10" t="s">
        <v>688</v>
      </c>
      <c r="E455" s="10" t="s">
        <v>688</v>
      </c>
      <c r="F455" s="10" t="s">
        <v>688</v>
      </c>
      <c r="G455" s="10" t="s">
        <v>688</v>
      </c>
      <c r="H455" s="10" t="s">
        <v>688</v>
      </c>
      <c r="I455" s="10" t="s">
        <v>688</v>
      </c>
      <c r="J455" s="10" t="s">
        <v>688</v>
      </c>
      <c r="K455" s="10" t="s">
        <v>688</v>
      </c>
      <c r="L455" s="10" t="s">
        <v>1483</v>
      </c>
      <c r="M455" s="10" t="s">
        <v>688</v>
      </c>
      <c r="N455" s="10">
        <v>1</v>
      </c>
      <c r="O455" s="10" t="s">
        <v>1484</v>
      </c>
      <c r="P455" s="10"/>
      <c r="Q455" s="10"/>
      <c r="R455" s="10"/>
      <c r="S455" s="10"/>
      <c r="T455" s="10"/>
      <c r="U455" s="10"/>
      <c r="V455" s="10"/>
      <c r="W455" s="10"/>
      <c r="X455" s="10"/>
      <c r="Y455" s="10"/>
      <c r="Z455" s="10"/>
    </row>
    <row r="456" spans="1:26" ht="15">
      <c r="A456" s="9">
        <v>224</v>
      </c>
      <c r="B456" s="10" t="str">
        <f ca="1">IFERROR(__xludf.DUMMYFUNCTION((TRANSPOSE(ImportHTML("http://spending.data.al/sq/moneypower/view/id/224/year/2013",  "table", 0)))),"*Kategoria*")</f>
        <v>*Kategoria*</v>
      </c>
      <c r="C456" s="10" t="s">
        <v>673</v>
      </c>
      <c r="D456" s="10" t="s">
        <v>674</v>
      </c>
      <c r="E456" s="10" t="s">
        <v>675</v>
      </c>
      <c r="F456" s="10" t="s">
        <v>676</v>
      </c>
      <c r="G456" s="10" t="s">
        <v>677</v>
      </c>
      <c r="H456" s="10" t="s">
        <v>678</v>
      </c>
      <c r="I456" s="10" t="s">
        <v>679</v>
      </c>
      <c r="J456" s="10" t="s">
        <v>680</v>
      </c>
      <c r="K456" s="10" t="s">
        <v>681</v>
      </c>
      <c r="L456" s="10" t="s">
        <v>682</v>
      </c>
      <c r="M456" s="10" t="s">
        <v>683</v>
      </c>
      <c r="N456" s="10" t="s">
        <v>684</v>
      </c>
      <c r="O456" s="10" t="s">
        <v>685</v>
      </c>
      <c r="P456" s="10"/>
      <c r="Q456" s="10"/>
      <c r="R456" s="10"/>
      <c r="S456" s="10"/>
      <c r="T456" s="10"/>
      <c r="U456" s="10"/>
      <c r="V456" s="10"/>
      <c r="W456" s="10"/>
      <c r="X456" s="10"/>
      <c r="Y456" s="10"/>
      <c r="Z456" s="10"/>
    </row>
    <row r="457" spans="1:26" ht="15">
      <c r="A457" s="11"/>
      <c r="B457" s="10" t="s">
        <v>686</v>
      </c>
      <c r="C457" s="10" t="s">
        <v>1485</v>
      </c>
      <c r="D457" s="10" t="s">
        <v>1486</v>
      </c>
      <c r="E457" s="10" t="s">
        <v>1487</v>
      </c>
      <c r="F457" s="10" t="s">
        <v>688</v>
      </c>
      <c r="G457" s="10" t="s">
        <v>688</v>
      </c>
      <c r="H457" s="10" t="s">
        <v>688</v>
      </c>
      <c r="I457" s="10" t="s">
        <v>688</v>
      </c>
      <c r="J457" s="10" t="s">
        <v>688</v>
      </c>
      <c r="K457" s="10" t="s">
        <v>688</v>
      </c>
      <c r="L457" s="10" t="s">
        <v>1488</v>
      </c>
      <c r="M457" s="10" t="s">
        <v>688</v>
      </c>
      <c r="N457" s="10">
        <v>1.69</v>
      </c>
      <c r="O457" s="10" t="s">
        <v>688</v>
      </c>
      <c r="P457" s="10"/>
      <c r="Q457" s="10"/>
      <c r="R457" s="10"/>
      <c r="S457" s="10"/>
      <c r="T457" s="10"/>
      <c r="U457" s="10"/>
      <c r="V457" s="10"/>
      <c r="W457" s="10"/>
      <c r="X457" s="10"/>
      <c r="Y457" s="10"/>
      <c r="Z457" s="10"/>
    </row>
    <row r="458" spans="1:26" ht="15">
      <c r="A458" s="9">
        <v>225</v>
      </c>
      <c r="B458" s="10" t="str">
        <f ca="1">IFERROR(__xludf.DUMMYFUNCTION((TRANSPOSE(ImportHTML("http://spending.data.al/sq/moneypower/view/id/225/year/2013",  "table", 0)))),"*Kategoria*")</f>
        <v>*Kategoria*</v>
      </c>
      <c r="C458" s="10" t="s">
        <v>673</v>
      </c>
      <c r="D458" s="10" t="s">
        <v>674</v>
      </c>
      <c r="E458" s="10" t="s">
        <v>675</v>
      </c>
      <c r="F458" s="10" t="s">
        <v>676</v>
      </c>
      <c r="G458" s="10" t="s">
        <v>677</v>
      </c>
      <c r="H458" s="10" t="s">
        <v>678</v>
      </c>
      <c r="I458" s="10" t="s">
        <v>679</v>
      </c>
      <c r="J458" s="10" t="s">
        <v>680</v>
      </c>
      <c r="K458" s="10" t="s">
        <v>681</v>
      </c>
      <c r="L458" s="10" t="s">
        <v>682</v>
      </c>
      <c r="M458" s="10" t="s">
        <v>683</v>
      </c>
      <c r="N458" s="10" t="s">
        <v>684</v>
      </c>
      <c r="O458" s="10" t="s">
        <v>685</v>
      </c>
      <c r="P458" s="10"/>
      <c r="Q458" s="10"/>
      <c r="R458" s="10"/>
      <c r="S458" s="10"/>
      <c r="T458" s="10"/>
      <c r="U458" s="10"/>
      <c r="V458" s="10"/>
      <c r="W458" s="10"/>
      <c r="X458" s="10"/>
      <c r="Y458" s="10"/>
      <c r="Z458" s="10"/>
    </row>
    <row r="459" spans="1:26" ht="15">
      <c r="A459" s="11"/>
      <c r="B459" s="10" t="s">
        <v>686</v>
      </c>
      <c r="C459" s="10" t="s">
        <v>1489</v>
      </c>
      <c r="D459" s="10" t="s">
        <v>688</v>
      </c>
      <c r="E459" s="10" t="s">
        <v>688</v>
      </c>
      <c r="F459" s="10" t="s">
        <v>688</v>
      </c>
      <c r="G459" s="10" t="s">
        <v>688</v>
      </c>
      <c r="H459" s="10" t="s">
        <v>688</v>
      </c>
      <c r="I459" s="10" t="s">
        <v>688</v>
      </c>
      <c r="J459" s="10" t="s">
        <v>688</v>
      </c>
      <c r="K459" s="10" t="s">
        <v>688</v>
      </c>
      <c r="L459" s="10" t="s">
        <v>1490</v>
      </c>
      <c r="M459" s="10" t="s">
        <v>1491</v>
      </c>
      <c r="N459" s="10">
        <v>5.98</v>
      </c>
      <c r="O459" s="10" t="s">
        <v>688</v>
      </c>
      <c r="P459" s="10"/>
      <c r="Q459" s="10"/>
      <c r="R459" s="10"/>
      <c r="S459" s="10"/>
      <c r="T459" s="10"/>
      <c r="U459" s="10"/>
      <c r="V459" s="10"/>
      <c r="W459" s="10"/>
      <c r="X459" s="10"/>
      <c r="Y459" s="10"/>
      <c r="Z459" s="10"/>
    </row>
    <row r="460" spans="1:26" ht="15">
      <c r="A460" s="9">
        <v>226</v>
      </c>
      <c r="B460" s="10" t="str">
        <f ca="1">IFERROR(__xludf.DUMMYFUNCTION((TRANSPOSE(ImportHTML("http://spending.data.al/sq/moneypower/view/id/226/year/2013",  "table", 0)))),"*Kategoria*")</f>
        <v>*Kategoria*</v>
      </c>
      <c r="C460" s="10" t="s">
        <v>673</v>
      </c>
      <c r="D460" s="10" t="s">
        <v>674</v>
      </c>
      <c r="E460" s="10" t="s">
        <v>675</v>
      </c>
      <c r="F460" s="10" t="s">
        <v>676</v>
      </c>
      <c r="G460" s="10" t="s">
        <v>677</v>
      </c>
      <c r="H460" s="10" t="s">
        <v>678</v>
      </c>
      <c r="I460" s="10" t="s">
        <v>679</v>
      </c>
      <c r="J460" s="10" t="s">
        <v>680</v>
      </c>
      <c r="K460" s="10" t="s">
        <v>681</v>
      </c>
      <c r="L460" s="10" t="s">
        <v>682</v>
      </c>
      <c r="M460" s="10" t="s">
        <v>683</v>
      </c>
      <c r="N460" s="10" t="s">
        <v>684</v>
      </c>
      <c r="O460" s="10" t="s">
        <v>685</v>
      </c>
      <c r="P460" s="10"/>
      <c r="Q460" s="10"/>
      <c r="R460" s="10"/>
      <c r="S460" s="10"/>
      <c r="T460" s="10"/>
      <c r="U460" s="10"/>
      <c r="V460" s="10"/>
      <c r="W460" s="10"/>
      <c r="X460" s="10"/>
      <c r="Y460" s="10"/>
      <c r="Z460" s="10"/>
    </row>
    <row r="461" spans="1:26" ht="15">
      <c r="A461" s="11"/>
      <c r="B461" s="10" t="s">
        <v>686</v>
      </c>
      <c r="C461" s="10" t="s">
        <v>1492</v>
      </c>
      <c r="D461" s="10" t="s">
        <v>688</v>
      </c>
      <c r="E461" s="10" t="s">
        <v>1493</v>
      </c>
      <c r="F461" s="10" t="s">
        <v>1494</v>
      </c>
      <c r="G461" s="10" t="s">
        <v>688</v>
      </c>
      <c r="H461" s="10" t="s">
        <v>688</v>
      </c>
      <c r="I461" s="10" t="s">
        <v>688</v>
      </c>
      <c r="J461" s="10" t="s">
        <v>688</v>
      </c>
      <c r="K461" s="10" t="s">
        <v>688</v>
      </c>
      <c r="L461" s="10" t="s">
        <v>1495</v>
      </c>
      <c r="M461" s="10" t="s">
        <v>688</v>
      </c>
      <c r="N461" s="10">
        <v>1.32</v>
      </c>
      <c r="O461" s="10" t="s">
        <v>1496</v>
      </c>
      <c r="P461" s="10"/>
      <c r="Q461" s="10"/>
      <c r="R461" s="10"/>
      <c r="S461" s="10"/>
      <c r="T461" s="10"/>
      <c r="U461" s="10"/>
      <c r="V461" s="10"/>
      <c r="W461" s="10"/>
      <c r="X461" s="10"/>
      <c r="Y461" s="10"/>
      <c r="Z461" s="10"/>
    </row>
    <row r="462" spans="1:26" ht="15">
      <c r="A462" s="9">
        <v>227</v>
      </c>
      <c r="B462" s="10" t="str">
        <f ca="1">IFERROR(__xludf.DUMMYFUNCTION((TRANSPOSE(ImportHTML("http://spending.data.al/sq/moneypower/view/id/227/year/2013",  "table", 0)))),"*Kategoria*")</f>
        <v>*Kategoria*</v>
      </c>
      <c r="C462" s="10" t="s">
        <v>673</v>
      </c>
      <c r="D462" s="10" t="s">
        <v>674</v>
      </c>
      <c r="E462" s="10" t="s">
        <v>675</v>
      </c>
      <c r="F462" s="10" t="s">
        <v>676</v>
      </c>
      <c r="G462" s="10" t="s">
        <v>677</v>
      </c>
      <c r="H462" s="10" t="s">
        <v>678</v>
      </c>
      <c r="I462" s="10" t="s">
        <v>679</v>
      </c>
      <c r="J462" s="10" t="s">
        <v>680</v>
      </c>
      <c r="K462" s="10" t="s">
        <v>681</v>
      </c>
      <c r="L462" s="10" t="s">
        <v>682</v>
      </c>
      <c r="M462" s="10" t="s">
        <v>683</v>
      </c>
      <c r="N462" s="10" t="s">
        <v>684</v>
      </c>
      <c r="O462" s="10" t="s">
        <v>685</v>
      </c>
      <c r="P462" s="10"/>
      <c r="Q462" s="10"/>
      <c r="R462" s="10"/>
      <c r="S462" s="10"/>
      <c r="T462" s="10"/>
      <c r="U462" s="10"/>
      <c r="V462" s="10"/>
      <c r="W462" s="10"/>
      <c r="X462" s="10"/>
      <c r="Y462" s="10"/>
      <c r="Z462" s="10"/>
    </row>
    <row r="463" spans="1:26" ht="15">
      <c r="A463" s="11"/>
      <c r="B463" s="10" t="s">
        <v>686</v>
      </c>
      <c r="C463" s="10" t="s">
        <v>1497</v>
      </c>
      <c r="D463" s="10" t="s">
        <v>688</v>
      </c>
      <c r="E463" s="10" t="s">
        <v>688</v>
      </c>
      <c r="F463" s="10" t="s">
        <v>688</v>
      </c>
      <c r="G463" s="10" t="s">
        <v>688</v>
      </c>
      <c r="H463" s="10" t="s">
        <v>688</v>
      </c>
      <c r="I463" s="10" t="s">
        <v>688</v>
      </c>
      <c r="J463" s="10" t="s">
        <v>688</v>
      </c>
      <c r="K463" s="10" t="s">
        <v>688</v>
      </c>
      <c r="L463" s="10" t="s">
        <v>1498</v>
      </c>
      <c r="M463" s="10" t="s">
        <v>688</v>
      </c>
      <c r="N463" s="10">
        <v>1</v>
      </c>
      <c r="O463" s="10" t="s">
        <v>707</v>
      </c>
      <c r="P463" s="10"/>
      <c r="Q463" s="10"/>
      <c r="R463" s="10"/>
      <c r="S463" s="10"/>
      <c r="T463" s="10"/>
      <c r="U463" s="10"/>
      <c r="V463" s="10"/>
      <c r="W463" s="10"/>
      <c r="X463" s="10"/>
      <c r="Y463" s="10"/>
      <c r="Z463" s="10"/>
    </row>
    <row r="464" spans="1:26" ht="15">
      <c r="A464" s="9">
        <v>228</v>
      </c>
      <c r="B464" s="10" t="str">
        <f ca="1">IFERROR(__xludf.DUMMYFUNCTION((TRANSPOSE(ImportHTML("http://spending.data.al/sq/moneypower/view/id/228/year/2013",  "table", 0)))),"*Kategoria*")</f>
        <v>*Kategoria*</v>
      </c>
      <c r="C464" s="10" t="s">
        <v>673</v>
      </c>
      <c r="D464" s="10" t="s">
        <v>674</v>
      </c>
      <c r="E464" s="10" t="s">
        <v>675</v>
      </c>
      <c r="F464" s="10" t="s">
        <v>676</v>
      </c>
      <c r="G464" s="10" t="s">
        <v>677</v>
      </c>
      <c r="H464" s="10" t="s">
        <v>678</v>
      </c>
      <c r="I464" s="10" t="s">
        <v>679</v>
      </c>
      <c r="J464" s="10" t="s">
        <v>680</v>
      </c>
      <c r="K464" s="10" t="s">
        <v>681</v>
      </c>
      <c r="L464" s="10" t="s">
        <v>682</v>
      </c>
      <c r="M464" s="10" t="s">
        <v>683</v>
      </c>
      <c r="N464" s="10" t="s">
        <v>684</v>
      </c>
      <c r="O464" s="10" t="s">
        <v>685</v>
      </c>
      <c r="P464" s="10"/>
      <c r="Q464" s="10"/>
      <c r="R464" s="10"/>
      <c r="S464" s="10"/>
      <c r="T464" s="10"/>
      <c r="U464" s="10"/>
      <c r="V464" s="10"/>
      <c r="W464" s="10"/>
      <c r="X464" s="10"/>
      <c r="Y464" s="10"/>
      <c r="Z464" s="10"/>
    </row>
    <row r="465" spans="1:26" ht="15">
      <c r="A465" s="11"/>
      <c r="B465" s="10" t="s">
        <v>686</v>
      </c>
      <c r="C465" s="10" t="s">
        <v>1499</v>
      </c>
      <c r="D465" s="10" t="s">
        <v>1486</v>
      </c>
      <c r="E465" s="10" t="s">
        <v>1500</v>
      </c>
      <c r="F465" s="10" t="s">
        <v>688</v>
      </c>
      <c r="G465" s="10" t="s">
        <v>688</v>
      </c>
      <c r="H465" s="10" t="s">
        <v>688</v>
      </c>
      <c r="I465" s="10" t="s">
        <v>688</v>
      </c>
      <c r="J465" s="10" t="s">
        <v>688</v>
      </c>
      <c r="K465" s="10" t="s">
        <v>688</v>
      </c>
      <c r="L465" s="10" t="s">
        <v>1501</v>
      </c>
      <c r="M465" s="10" t="s">
        <v>688</v>
      </c>
      <c r="N465" s="10">
        <v>1.43</v>
      </c>
      <c r="O465" s="10" t="s">
        <v>1502</v>
      </c>
      <c r="P465" s="10"/>
      <c r="Q465" s="10"/>
      <c r="R465" s="10"/>
      <c r="S465" s="10"/>
      <c r="T465" s="10"/>
      <c r="U465" s="10"/>
      <c r="V465" s="10"/>
      <c r="W465" s="10"/>
      <c r="X465" s="10"/>
      <c r="Y465" s="10"/>
      <c r="Z465" s="10"/>
    </row>
    <row r="466" spans="1:26" ht="15">
      <c r="A466" s="9">
        <v>229</v>
      </c>
      <c r="B466" s="10" t="str">
        <f ca="1">IFERROR(__xludf.DUMMYFUNCTION((TRANSPOSE(ImportHTML("http://spending.data.al/sq/moneypower/view/id/229/year/2013",  "table", 0)))),"*Kategoria*")</f>
        <v>*Kategoria*</v>
      </c>
      <c r="C466" s="10" t="s">
        <v>673</v>
      </c>
      <c r="D466" s="10" t="s">
        <v>674</v>
      </c>
      <c r="E466" s="10" t="s">
        <v>675</v>
      </c>
      <c r="F466" s="10" t="s">
        <v>676</v>
      </c>
      <c r="G466" s="10" t="s">
        <v>677</v>
      </c>
      <c r="H466" s="10" t="s">
        <v>678</v>
      </c>
      <c r="I466" s="10" t="s">
        <v>679</v>
      </c>
      <c r="J466" s="10" t="s">
        <v>680</v>
      </c>
      <c r="K466" s="10" t="s">
        <v>681</v>
      </c>
      <c r="L466" s="10" t="s">
        <v>682</v>
      </c>
      <c r="M466" s="10" t="s">
        <v>683</v>
      </c>
      <c r="N466" s="10" t="s">
        <v>684</v>
      </c>
      <c r="O466" s="10" t="s">
        <v>685</v>
      </c>
      <c r="P466" s="10"/>
      <c r="Q466" s="10"/>
      <c r="R466" s="10"/>
      <c r="S466" s="10"/>
      <c r="T466" s="10"/>
      <c r="U466" s="10"/>
      <c r="V466" s="10"/>
      <c r="W466" s="10"/>
      <c r="X466" s="10"/>
      <c r="Y466" s="10"/>
      <c r="Z466" s="10"/>
    </row>
    <row r="467" spans="1:26" ht="15">
      <c r="A467" s="11"/>
      <c r="B467" s="10" t="s">
        <v>686</v>
      </c>
      <c r="C467" s="10" t="s">
        <v>1503</v>
      </c>
      <c r="D467" s="10" t="s">
        <v>688</v>
      </c>
      <c r="E467" s="10" t="s">
        <v>688</v>
      </c>
      <c r="F467" s="10" t="s">
        <v>688</v>
      </c>
      <c r="G467" s="10" t="s">
        <v>688</v>
      </c>
      <c r="H467" s="10" t="s">
        <v>688</v>
      </c>
      <c r="I467" s="10" t="s">
        <v>688</v>
      </c>
      <c r="J467" s="10" t="s">
        <v>688</v>
      </c>
      <c r="K467" s="10" t="s">
        <v>688</v>
      </c>
      <c r="L467" s="10" t="s">
        <v>688</v>
      </c>
      <c r="M467" s="10" t="s">
        <v>688</v>
      </c>
      <c r="N467" s="10">
        <v>1</v>
      </c>
      <c r="O467" s="10" t="s">
        <v>688</v>
      </c>
      <c r="P467" s="10"/>
      <c r="Q467" s="10"/>
      <c r="R467" s="10"/>
      <c r="S467" s="10"/>
      <c r="T467" s="10"/>
      <c r="U467" s="10"/>
      <c r="V467" s="10"/>
      <c r="W467" s="10"/>
      <c r="X467" s="10"/>
      <c r="Y467" s="10"/>
      <c r="Z467" s="10"/>
    </row>
    <row r="468" spans="1:26" ht="15">
      <c r="A468" s="9">
        <v>230</v>
      </c>
      <c r="B468" s="10" t="str">
        <f ca="1">IFERROR(__xludf.DUMMYFUNCTION((TRANSPOSE(ImportHTML("http://spending.data.al/sq/moneypower/view/id/230/year/2013",  "table", 0)))),"*Kategoria*")</f>
        <v>*Kategoria*</v>
      </c>
      <c r="C468" s="10" t="s">
        <v>673</v>
      </c>
      <c r="D468" s="10" t="s">
        <v>674</v>
      </c>
      <c r="E468" s="10" t="s">
        <v>675</v>
      </c>
      <c r="F468" s="10" t="s">
        <v>676</v>
      </c>
      <c r="G468" s="10" t="s">
        <v>677</v>
      </c>
      <c r="H468" s="10" t="s">
        <v>678</v>
      </c>
      <c r="I468" s="10" t="s">
        <v>679</v>
      </c>
      <c r="J468" s="10" t="s">
        <v>680</v>
      </c>
      <c r="K468" s="10" t="s">
        <v>681</v>
      </c>
      <c r="L468" s="10" t="s">
        <v>682</v>
      </c>
      <c r="M468" s="10" t="s">
        <v>683</v>
      </c>
      <c r="N468" s="10" t="s">
        <v>684</v>
      </c>
      <c r="O468" s="10" t="s">
        <v>685</v>
      </c>
      <c r="P468" s="10"/>
      <c r="Q468" s="10"/>
      <c r="R468" s="10"/>
      <c r="S468" s="10"/>
      <c r="T468" s="10"/>
      <c r="U468" s="10"/>
      <c r="V468" s="10"/>
      <c r="W468" s="10"/>
      <c r="X468" s="10"/>
      <c r="Y468" s="10"/>
      <c r="Z468" s="10"/>
    </row>
    <row r="469" spans="1:26" ht="15">
      <c r="A469" s="11"/>
      <c r="B469" s="10" t="s">
        <v>686</v>
      </c>
      <c r="C469" s="10" t="s">
        <v>1504</v>
      </c>
      <c r="D469" s="10" t="s">
        <v>688</v>
      </c>
      <c r="E469" s="10" t="s">
        <v>688</v>
      </c>
      <c r="F469" s="10" t="s">
        <v>688</v>
      </c>
      <c r="G469" s="10" t="s">
        <v>688</v>
      </c>
      <c r="H469" s="10" t="s">
        <v>688</v>
      </c>
      <c r="I469" s="10" t="s">
        <v>688</v>
      </c>
      <c r="J469" s="10" t="s">
        <v>688</v>
      </c>
      <c r="K469" s="10" t="s">
        <v>688</v>
      </c>
      <c r="L469" s="10" t="s">
        <v>1505</v>
      </c>
      <c r="M469" s="10" t="s">
        <v>688</v>
      </c>
      <c r="N469" s="10">
        <v>1</v>
      </c>
      <c r="O469" s="10" t="s">
        <v>688</v>
      </c>
      <c r="P469" s="10"/>
      <c r="Q469" s="10"/>
      <c r="R469" s="10"/>
      <c r="S469" s="10"/>
      <c r="T469" s="10"/>
      <c r="U469" s="10"/>
      <c r="V469" s="10"/>
      <c r="W469" s="10"/>
      <c r="X469" s="10"/>
      <c r="Y469" s="10"/>
      <c r="Z469" s="10"/>
    </row>
    <row r="470" spans="1:26" ht="15">
      <c r="A470" s="9">
        <v>231</v>
      </c>
      <c r="B470" s="10" t="str">
        <f ca="1">IFERROR(__xludf.DUMMYFUNCTION((TRANSPOSE(ImportHTML("http://spending.data.al/sq/moneypower/view/id/231/year/2013",  "table", 0)))),"*Kategoria*")</f>
        <v>*Kategoria*</v>
      </c>
      <c r="C470" s="10" t="s">
        <v>673</v>
      </c>
      <c r="D470" s="10" t="s">
        <v>674</v>
      </c>
      <c r="E470" s="10" t="s">
        <v>675</v>
      </c>
      <c r="F470" s="10" t="s">
        <v>676</v>
      </c>
      <c r="G470" s="10" t="s">
        <v>677</v>
      </c>
      <c r="H470" s="10" t="s">
        <v>678</v>
      </c>
      <c r="I470" s="10" t="s">
        <v>679</v>
      </c>
      <c r="J470" s="10" t="s">
        <v>680</v>
      </c>
      <c r="K470" s="10" t="s">
        <v>681</v>
      </c>
      <c r="L470" s="10" t="s">
        <v>682</v>
      </c>
      <c r="M470" s="10" t="s">
        <v>683</v>
      </c>
      <c r="N470" s="10" t="s">
        <v>684</v>
      </c>
      <c r="O470" s="10" t="s">
        <v>685</v>
      </c>
      <c r="P470" s="10"/>
      <c r="Q470" s="10"/>
      <c r="R470" s="10"/>
      <c r="S470" s="10"/>
      <c r="T470" s="10"/>
      <c r="U470" s="10"/>
      <c r="V470" s="10"/>
      <c r="W470" s="10"/>
      <c r="X470" s="10"/>
      <c r="Y470" s="10"/>
      <c r="Z470" s="10"/>
    </row>
    <row r="471" spans="1:26" ht="15">
      <c r="A471" s="11"/>
      <c r="B471" s="10" t="s">
        <v>686</v>
      </c>
      <c r="C471" s="10" t="s">
        <v>1506</v>
      </c>
      <c r="D471" s="10" t="s">
        <v>1486</v>
      </c>
      <c r="E471" s="10" t="s">
        <v>1507</v>
      </c>
      <c r="F471" s="10" t="s">
        <v>688</v>
      </c>
      <c r="G471" s="10" t="s">
        <v>688</v>
      </c>
      <c r="H471" s="10" t="s">
        <v>688</v>
      </c>
      <c r="I471" s="10" t="s">
        <v>688</v>
      </c>
      <c r="J471" s="10" t="s">
        <v>688</v>
      </c>
      <c r="K471" s="10" t="s">
        <v>688</v>
      </c>
      <c r="L471" s="10" t="s">
        <v>688</v>
      </c>
      <c r="M471" s="10" t="s">
        <v>688</v>
      </c>
      <c r="N471" s="10">
        <v>1.1299999999999999</v>
      </c>
      <c r="O471" s="10" t="s">
        <v>688</v>
      </c>
      <c r="P471" s="10"/>
      <c r="Q471" s="10"/>
      <c r="R471" s="10"/>
      <c r="S471" s="10"/>
      <c r="T471" s="10"/>
      <c r="U471" s="10"/>
      <c r="V471" s="10"/>
      <c r="W471" s="10"/>
      <c r="X471" s="10"/>
      <c r="Y471" s="10"/>
      <c r="Z471" s="10"/>
    </row>
    <row r="472" spans="1:26" ht="15">
      <c r="A472" s="9">
        <v>232</v>
      </c>
      <c r="B472" s="10" t="str">
        <f ca="1">IFERROR(__xludf.DUMMYFUNCTION((TRANSPOSE(ImportHTML("http://spending.data.al/sq/moneypower/view/id/232/year/2013",  "table", 0)))),"*Kategoria*")</f>
        <v>*Kategoria*</v>
      </c>
      <c r="C472" s="10" t="s">
        <v>673</v>
      </c>
      <c r="D472" s="10" t="s">
        <v>674</v>
      </c>
      <c r="E472" s="10" t="s">
        <v>675</v>
      </c>
      <c r="F472" s="10" t="s">
        <v>676</v>
      </c>
      <c r="G472" s="10" t="s">
        <v>677</v>
      </c>
      <c r="H472" s="10" t="s">
        <v>678</v>
      </c>
      <c r="I472" s="10" t="s">
        <v>679</v>
      </c>
      <c r="J472" s="10" t="s">
        <v>680</v>
      </c>
      <c r="K472" s="10" t="s">
        <v>681</v>
      </c>
      <c r="L472" s="10" t="s">
        <v>682</v>
      </c>
      <c r="M472" s="10" t="s">
        <v>683</v>
      </c>
      <c r="N472" s="10" t="s">
        <v>684</v>
      </c>
      <c r="O472" s="10" t="s">
        <v>685</v>
      </c>
      <c r="P472" s="10"/>
      <c r="Q472" s="10"/>
      <c r="R472" s="10"/>
      <c r="S472" s="10"/>
      <c r="T472" s="10"/>
      <c r="U472" s="10"/>
      <c r="V472" s="10"/>
      <c r="W472" s="10"/>
      <c r="X472" s="10"/>
      <c r="Y472" s="10"/>
      <c r="Z472" s="10"/>
    </row>
    <row r="473" spans="1:26" ht="15">
      <c r="A473" s="11"/>
      <c r="B473" s="10" t="s">
        <v>686</v>
      </c>
      <c r="C473" s="10" t="s">
        <v>4101</v>
      </c>
      <c r="D473" s="10" t="s">
        <v>4102</v>
      </c>
      <c r="E473" s="10" t="s">
        <v>4103</v>
      </c>
      <c r="F473" s="10" t="s">
        <v>688</v>
      </c>
      <c r="G473" s="10" t="s">
        <v>688</v>
      </c>
      <c r="H473" s="10" t="s">
        <v>688</v>
      </c>
      <c r="I473" s="10" t="s">
        <v>688</v>
      </c>
      <c r="J473" s="10" t="s">
        <v>688</v>
      </c>
      <c r="K473" s="10" t="s">
        <v>688</v>
      </c>
      <c r="L473" s="10" t="s">
        <v>4104</v>
      </c>
      <c r="M473" s="10" t="s">
        <v>688</v>
      </c>
      <c r="N473" s="10">
        <v>2.4900000000000002</v>
      </c>
      <c r="O473" s="10" t="s">
        <v>688</v>
      </c>
      <c r="P473" s="10"/>
      <c r="Q473" s="10"/>
      <c r="R473" s="10"/>
      <c r="S473" s="10"/>
      <c r="T473" s="10"/>
      <c r="U473" s="10"/>
      <c r="V473" s="10"/>
      <c r="W473" s="10"/>
      <c r="X473" s="10"/>
      <c r="Y473" s="10"/>
      <c r="Z473" s="10"/>
    </row>
    <row r="474" spans="1:26" ht="15">
      <c r="A474" s="9">
        <v>233</v>
      </c>
      <c r="B474" s="10" t="str">
        <f ca="1">IFERROR(__xludf.DUMMYFUNCTION((TRANSPOSE(ImportHTML("http://spending.data.al/sq/moneypower/view/id/233/year/2013",  "table", 0)))),"*Kategoria*")</f>
        <v>*Kategoria*</v>
      </c>
      <c r="C474" s="10" t="s">
        <v>673</v>
      </c>
      <c r="D474" s="10" t="s">
        <v>674</v>
      </c>
      <c r="E474" s="10" t="s">
        <v>675</v>
      </c>
      <c r="F474" s="10" t="s">
        <v>676</v>
      </c>
      <c r="G474" s="10" t="s">
        <v>677</v>
      </c>
      <c r="H474" s="10" t="s">
        <v>678</v>
      </c>
      <c r="I474" s="10" t="s">
        <v>679</v>
      </c>
      <c r="J474" s="10" t="s">
        <v>680</v>
      </c>
      <c r="K474" s="10" t="s">
        <v>681</v>
      </c>
      <c r="L474" s="10" t="s">
        <v>682</v>
      </c>
      <c r="M474" s="10" t="s">
        <v>683</v>
      </c>
      <c r="N474" s="10" t="s">
        <v>684</v>
      </c>
      <c r="O474" s="10" t="s">
        <v>685</v>
      </c>
      <c r="P474" s="10"/>
      <c r="Q474" s="10"/>
      <c r="R474" s="10"/>
      <c r="S474" s="10"/>
      <c r="T474" s="10"/>
      <c r="U474" s="10"/>
      <c r="V474" s="10"/>
      <c r="W474" s="10"/>
      <c r="X474" s="10"/>
      <c r="Y474" s="10"/>
      <c r="Z474" s="10"/>
    </row>
    <row r="475" spans="1:26" ht="15">
      <c r="A475" s="11"/>
      <c r="B475" s="10" t="s">
        <v>686</v>
      </c>
      <c r="C475" s="10" t="s">
        <v>1511</v>
      </c>
      <c r="D475" s="10" t="s">
        <v>1486</v>
      </c>
      <c r="E475" s="10" t="s">
        <v>1512</v>
      </c>
      <c r="F475" s="10" t="s">
        <v>1513</v>
      </c>
      <c r="G475" s="10" t="s">
        <v>688</v>
      </c>
      <c r="H475" s="10" t="s">
        <v>688</v>
      </c>
      <c r="I475" s="10" t="s">
        <v>688</v>
      </c>
      <c r="J475" s="10" t="s">
        <v>688</v>
      </c>
      <c r="K475" s="10" t="s">
        <v>688</v>
      </c>
      <c r="L475" s="10" t="s">
        <v>1514</v>
      </c>
      <c r="M475" s="10" t="s">
        <v>688</v>
      </c>
      <c r="N475" s="10">
        <v>1.1399999999999999</v>
      </c>
      <c r="O475" s="10" t="s">
        <v>688</v>
      </c>
      <c r="P475" s="10"/>
      <c r="Q475" s="10"/>
      <c r="R475" s="10"/>
      <c r="S475" s="10"/>
      <c r="T475" s="10"/>
      <c r="U475" s="10"/>
      <c r="V475" s="10"/>
      <c r="W475" s="10"/>
      <c r="X475" s="10"/>
      <c r="Y475" s="10"/>
      <c r="Z475" s="10"/>
    </row>
    <row r="476" spans="1:26" ht="15">
      <c r="A476" s="9">
        <v>234</v>
      </c>
      <c r="B476" s="10" t="str">
        <f ca="1">IFERROR(__xludf.DUMMYFUNCTION((TRANSPOSE(ImportHTML("http://spending.data.al/sq/moneypower/view/id/234/year/2013",  "table", 0)))),"*Kategoria*")</f>
        <v>*Kategoria*</v>
      </c>
      <c r="C476" s="10" t="s">
        <v>673</v>
      </c>
      <c r="D476" s="10" t="s">
        <v>674</v>
      </c>
      <c r="E476" s="10" t="s">
        <v>675</v>
      </c>
      <c r="F476" s="10" t="s">
        <v>676</v>
      </c>
      <c r="G476" s="10" t="s">
        <v>677</v>
      </c>
      <c r="H476" s="10" t="s">
        <v>678</v>
      </c>
      <c r="I476" s="10" t="s">
        <v>679</v>
      </c>
      <c r="J476" s="10" t="s">
        <v>680</v>
      </c>
      <c r="K476" s="10" t="s">
        <v>681</v>
      </c>
      <c r="L476" s="10" t="s">
        <v>682</v>
      </c>
      <c r="M476" s="10" t="s">
        <v>683</v>
      </c>
      <c r="N476" s="10" t="s">
        <v>684</v>
      </c>
      <c r="O476" s="10" t="s">
        <v>685</v>
      </c>
      <c r="P476" s="10"/>
      <c r="Q476" s="10"/>
      <c r="R476" s="10"/>
      <c r="S476" s="10"/>
      <c r="T476" s="10"/>
      <c r="U476" s="10"/>
      <c r="V476" s="10"/>
      <c r="W476" s="10"/>
      <c r="X476" s="10"/>
      <c r="Y476" s="10"/>
      <c r="Z476" s="10"/>
    </row>
    <row r="477" spans="1:26" ht="15">
      <c r="A477" s="11"/>
      <c r="B477" s="10" t="s">
        <v>686</v>
      </c>
      <c r="C477" s="10" t="s">
        <v>688</v>
      </c>
      <c r="D477" s="10" t="s">
        <v>688</v>
      </c>
      <c r="E477" s="10" t="s">
        <v>688</v>
      </c>
      <c r="F477" s="10" t="s">
        <v>688</v>
      </c>
      <c r="G477" s="10" t="s">
        <v>688</v>
      </c>
      <c r="H477" s="10" t="s">
        <v>688</v>
      </c>
      <c r="I477" s="10" t="s">
        <v>688</v>
      </c>
      <c r="J477" s="10" t="s">
        <v>688</v>
      </c>
      <c r="K477" s="10" t="s">
        <v>688</v>
      </c>
      <c r="L477" s="10" t="s">
        <v>688</v>
      </c>
      <c r="M477" s="10" t="s">
        <v>688</v>
      </c>
      <c r="N477" s="10" t="s">
        <v>707</v>
      </c>
      <c r="O477" s="10" t="s">
        <v>688</v>
      </c>
      <c r="P477" s="10"/>
      <c r="Q477" s="10"/>
      <c r="R477" s="10"/>
      <c r="S477" s="10"/>
      <c r="T477" s="10"/>
      <c r="U477" s="10"/>
      <c r="V477" s="10"/>
      <c r="W477" s="10"/>
      <c r="X477" s="10"/>
      <c r="Y477" s="10"/>
      <c r="Z477" s="10"/>
    </row>
    <row r="478" spans="1:26" ht="15">
      <c r="A478" s="9">
        <v>235</v>
      </c>
      <c r="B478" s="10" t="str">
        <f ca="1">IFERROR(__xludf.DUMMYFUNCTION((TRANSPOSE(ImportHTML("http://spending.data.al/sq/moneypower/view/id/235/year/2013",  "table", 0)))),"*Kategoria*")</f>
        <v>*Kategoria*</v>
      </c>
      <c r="C478" s="10" t="s">
        <v>673</v>
      </c>
      <c r="D478" s="10" t="s">
        <v>674</v>
      </c>
      <c r="E478" s="10" t="s">
        <v>675</v>
      </c>
      <c r="F478" s="10" t="s">
        <v>676</v>
      </c>
      <c r="G478" s="10" t="s">
        <v>677</v>
      </c>
      <c r="H478" s="10" t="s">
        <v>678</v>
      </c>
      <c r="I478" s="10" t="s">
        <v>679</v>
      </c>
      <c r="J478" s="10" t="s">
        <v>680</v>
      </c>
      <c r="K478" s="10" t="s">
        <v>681</v>
      </c>
      <c r="L478" s="10" t="s">
        <v>682</v>
      </c>
      <c r="M478" s="10" t="s">
        <v>683</v>
      </c>
      <c r="N478" s="10" t="s">
        <v>684</v>
      </c>
      <c r="O478" s="10" t="s">
        <v>685</v>
      </c>
      <c r="P478" s="10"/>
      <c r="Q478" s="10"/>
      <c r="R478" s="10"/>
      <c r="S478" s="10"/>
      <c r="T478" s="10"/>
      <c r="U478" s="10"/>
      <c r="V478" s="10"/>
      <c r="W478" s="10"/>
      <c r="X478" s="10"/>
      <c r="Y478" s="10"/>
      <c r="Z478" s="10"/>
    </row>
    <row r="479" spans="1:26" ht="15">
      <c r="A479" s="11"/>
      <c r="B479" s="10" t="s">
        <v>686</v>
      </c>
      <c r="C479" s="10" t="s">
        <v>1515</v>
      </c>
      <c r="D479" s="10" t="s">
        <v>688</v>
      </c>
      <c r="E479" s="10" t="s">
        <v>1516</v>
      </c>
      <c r="F479" s="10" t="s">
        <v>1517</v>
      </c>
      <c r="G479" s="10" t="s">
        <v>688</v>
      </c>
      <c r="H479" s="10" t="s">
        <v>688</v>
      </c>
      <c r="I479" s="10" t="s">
        <v>688</v>
      </c>
      <c r="J479" s="10" t="s">
        <v>688</v>
      </c>
      <c r="K479" s="10" t="s">
        <v>688</v>
      </c>
      <c r="L479" s="10" t="s">
        <v>1518</v>
      </c>
      <c r="M479" s="10" t="s">
        <v>688</v>
      </c>
      <c r="N479" s="10">
        <v>1.36</v>
      </c>
      <c r="O479" s="10" t="s">
        <v>688</v>
      </c>
      <c r="P479" s="10"/>
      <c r="Q479" s="10"/>
      <c r="R479" s="10"/>
      <c r="S479" s="10"/>
      <c r="T479" s="10"/>
      <c r="U479" s="10"/>
      <c r="V479" s="10"/>
      <c r="W479" s="10"/>
      <c r="X479" s="10"/>
      <c r="Y479" s="10"/>
      <c r="Z479" s="10"/>
    </row>
    <row r="480" spans="1:26" ht="15">
      <c r="A480" s="9">
        <v>236</v>
      </c>
      <c r="B480" s="10" t="str">
        <f ca="1">IFERROR(__xludf.DUMMYFUNCTION((TRANSPOSE(ImportHTML("http://spending.data.al/sq/moneypower/view/id/236/year/2013",  "table", 0)))),"*Kategoria*")</f>
        <v>*Kategoria*</v>
      </c>
      <c r="C480" s="10" t="s">
        <v>673</v>
      </c>
      <c r="D480" s="10" t="s">
        <v>674</v>
      </c>
      <c r="E480" s="10" t="s">
        <v>675</v>
      </c>
      <c r="F480" s="10" t="s">
        <v>676</v>
      </c>
      <c r="G480" s="10" t="s">
        <v>677</v>
      </c>
      <c r="H480" s="10" t="s">
        <v>678</v>
      </c>
      <c r="I480" s="10" t="s">
        <v>679</v>
      </c>
      <c r="J480" s="10" t="s">
        <v>680</v>
      </c>
      <c r="K480" s="10" t="s">
        <v>681</v>
      </c>
      <c r="L480" s="10" t="s">
        <v>682</v>
      </c>
      <c r="M480" s="10" t="s">
        <v>683</v>
      </c>
      <c r="N480" s="10" t="s">
        <v>684</v>
      </c>
      <c r="O480" s="10" t="s">
        <v>685</v>
      </c>
      <c r="P480" s="10"/>
      <c r="Q480" s="10"/>
      <c r="R480" s="10"/>
      <c r="S480" s="10"/>
      <c r="T480" s="10"/>
      <c r="U480" s="10"/>
      <c r="V480" s="10"/>
      <c r="W480" s="10"/>
      <c r="X480" s="10"/>
      <c r="Y480" s="10"/>
      <c r="Z480" s="10"/>
    </row>
    <row r="481" spans="1:26" ht="15">
      <c r="A481" s="11"/>
      <c r="B481" s="10" t="s">
        <v>686</v>
      </c>
      <c r="C481" s="10" t="s">
        <v>4105</v>
      </c>
      <c r="D481" s="10" t="s">
        <v>688</v>
      </c>
      <c r="E481" s="10" t="s">
        <v>688</v>
      </c>
      <c r="F481" s="10" t="s">
        <v>688</v>
      </c>
      <c r="G481" s="10" t="s">
        <v>688</v>
      </c>
      <c r="H481" s="10" t="s">
        <v>688</v>
      </c>
      <c r="I481" s="10" t="s">
        <v>688</v>
      </c>
      <c r="J481" s="10" t="s">
        <v>688</v>
      </c>
      <c r="K481" s="10" t="s">
        <v>688</v>
      </c>
      <c r="L481" s="10" t="s">
        <v>4106</v>
      </c>
      <c r="M481" s="10" t="s">
        <v>688</v>
      </c>
      <c r="N481" s="10"/>
      <c r="O481" s="10" t="s">
        <v>4107</v>
      </c>
      <c r="P481" s="10"/>
      <c r="Q481" s="10"/>
      <c r="R481" s="10"/>
      <c r="S481" s="10"/>
      <c r="T481" s="10"/>
      <c r="U481" s="10"/>
      <c r="V481" s="10"/>
      <c r="W481" s="10"/>
      <c r="X481" s="10"/>
      <c r="Y481" s="10"/>
      <c r="Z481" s="10"/>
    </row>
    <row r="482" spans="1:26" ht="15">
      <c r="A482" s="9">
        <v>237</v>
      </c>
      <c r="B482" s="10" t="str">
        <f ca="1">IFERROR(__xludf.DUMMYFUNCTION((TRANSPOSE(ImportHTML("http://spending.data.al/sq/moneypower/view/id/237/year/2013",  "table", 0)))),"*Kategoria*")</f>
        <v>*Kategoria*</v>
      </c>
      <c r="C482" s="10" t="s">
        <v>673</v>
      </c>
      <c r="D482" s="10" t="s">
        <v>674</v>
      </c>
      <c r="E482" s="10" t="s">
        <v>675</v>
      </c>
      <c r="F482" s="10" t="s">
        <v>676</v>
      </c>
      <c r="G482" s="10" t="s">
        <v>677</v>
      </c>
      <c r="H482" s="10" t="s">
        <v>678</v>
      </c>
      <c r="I482" s="10" t="s">
        <v>679</v>
      </c>
      <c r="J482" s="10" t="s">
        <v>680</v>
      </c>
      <c r="K482" s="10" t="s">
        <v>681</v>
      </c>
      <c r="L482" s="10" t="s">
        <v>682</v>
      </c>
      <c r="M482" s="10" t="s">
        <v>683</v>
      </c>
      <c r="N482" s="10" t="s">
        <v>684</v>
      </c>
      <c r="O482" s="10" t="s">
        <v>685</v>
      </c>
      <c r="P482" s="10"/>
      <c r="Q482" s="10"/>
      <c r="R482" s="10"/>
      <c r="S482" s="10"/>
      <c r="T482" s="10"/>
      <c r="U482" s="10"/>
      <c r="V482" s="10"/>
      <c r="W482" s="10"/>
      <c r="X482" s="10"/>
      <c r="Y482" s="10"/>
      <c r="Z482" s="10"/>
    </row>
    <row r="483" spans="1:26" ht="15">
      <c r="A483" s="11"/>
      <c r="B483" s="10" t="s">
        <v>686</v>
      </c>
      <c r="C483" s="10" t="s">
        <v>4108</v>
      </c>
      <c r="D483" s="10" t="s">
        <v>688</v>
      </c>
      <c r="E483" s="10" t="s">
        <v>688</v>
      </c>
      <c r="F483" s="10" t="s">
        <v>688</v>
      </c>
      <c r="G483" s="10" t="s">
        <v>688</v>
      </c>
      <c r="H483" s="10" t="s">
        <v>688</v>
      </c>
      <c r="I483" s="10" t="s">
        <v>688</v>
      </c>
      <c r="J483" s="10" t="s">
        <v>688</v>
      </c>
      <c r="K483" s="10" t="s">
        <v>688</v>
      </c>
      <c r="L483" s="10" t="s">
        <v>4109</v>
      </c>
      <c r="M483" s="10" t="s">
        <v>688</v>
      </c>
      <c r="N483" s="10"/>
      <c r="O483" s="10" t="s">
        <v>4110</v>
      </c>
      <c r="P483" s="10"/>
      <c r="Q483" s="10"/>
      <c r="R483" s="10"/>
      <c r="S483" s="10"/>
      <c r="T483" s="10"/>
      <c r="U483" s="10"/>
      <c r="V483" s="10"/>
      <c r="W483" s="10"/>
      <c r="X483" s="10"/>
      <c r="Y483" s="10"/>
      <c r="Z483" s="10"/>
    </row>
    <row r="484" spans="1:26" ht="15">
      <c r="A484" s="9">
        <v>238</v>
      </c>
      <c r="B484" s="10" t="str">
        <f ca="1">IFERROR(__xludf.DUMMYFUNCTION((TRANSPOSE(ImportHTML("http://spending.data.al/sq/moneypower/view/id/238/year/2013",  "table", 0)))),"Loading...")</f>
        <v>Loading...</v>
      </c>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c r="A485" s="11"/>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c r="A486" s="11"/>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c r="A487" s="9">
        <v>239</v>
      </c>
      <c r="B487" s="10" t="str">
        <f ca="1">IFERROR(__xludf.DUMMYFUNCTION((TRANSPOSE(ImportHTML("http://spending.data.al/sq/moneypower/view/id/239/year/2013",  "table", 0)))),"Loading...")</f>
        <v>Loading...</v>
      </c>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c r="A488" s="11"/>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c r="A489" s="11"/>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c r="A490" s="9">
        <v>240</v>
      </c>
      <c r="B490" s="10" t="str">
        <f ca="1">IFERROR(__xludf.DUMMYFUNCTION((TRANSPOSE(ImportHTML("http://spending.data.al/sq/moneypower/view/id/240/year/2013",  "table", 0)))),"Loading...")</f>
        <v>Loading...</v>
      </c>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c r="A491" s="11"/>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c r="A492" s="11"/>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c r="A493" s="9">
        <v>241</v>
      </c>
      <c r="B493" s="10" t="str">
        <f ca="1">IFERROR(__xludf.DUMMYFUNCTION((TRANSPOSE(ImportHTML("http://spending.data.al/sq/moneypower/view/id/241/year/2013",  "table", 0)))),"Loading...")</f>
        <v>Loading...</v>
      </c>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c r="A494" s="11"/>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c r="A495" s="11"/>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c r="A496" s="9">
        <v>242</v>
      </c>
      <c r="B496" s="10" t="str">
        <f ca="1">IFERROR(__xludf.DUMMYFUNCTION((TRANSPOSE(ImportHTML("http://spending.data.al/sq/moneypower/view/id/242/year/2013",  "table", 0)))),"Loading...")</f>
        <v>Loading...</v>
      </c>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c r="A497" s="11"/>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c r="A498" s="11"/>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c r="A499" s="9">
        <v>243</v>
      </c>
      <c r="B499" s="10" t="str">
        <f ca="1">IFERROR(__xludf.DUMMYFUNCTION((TRANSPOSE(ImportHTML("http://spending.data.al/sq/moneypower/view/id/243/year/2013",  "table", 0)))),"Loading...")</f>
        <v>Loading...</v>
      </c>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c r="A500" s="11"/>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c r="A501" s="11"/>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c r="A502" s="11"/>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c r="A503" s="9">
        <v>244</v>
      </c>
      <c r="B503" s="10" t="str">
        <f ca="1">IFERROR(__xludf.DUMMYFUNCTION((TRANSPOSE(ImportHTML("http://spending.data.al/sq/moneypower/view/id/244/year/2013",  "table", 0)))),"*Emër Subjekti*")</f>
        <v>*Emër Subjekti*</v>
      </c>
      <c r="C503" s="10" t="s">
        <v>698</v>
      </c>
      <c r="D503" s="10" t="s">
        <v>699</v>
      </c>
      <c r="E503" s="10" t="s">
        <v>700</v>
      </c>
      <c r="F503" s="10" t="s">
        <v>701</v>
      </c>
      <c r="G503" s="10" t="s">
        <v>702</v>
      </c>
      <c r="H503" s="10"/>
      <c r="I503" s="10"/>
      <c r="J503" s="10"/>
      <c r="K503" s="10"/>
      <c r="L503" s="10"/>
      <c r="M503" s="10"/>
      <c r="N503" s="10"/>
      <c r="O503" s="10"/>
      <c r="P503" s="10"/>
      <c r="Q503" s="10"/>
      <c r="R503" s="10"/>
      <c r="S503" s="10"/>
      <c r="T503" s="10"/>
      <c r="U503" s="10"/>
      <c r="V503" s="10"/>
      <c r="W503" s="10"/>
      <c r="X503" s="10"/>
      <c r="Y503" s="10"/>
      <c r="Z503" s="10"/>
    </row>
    <row r="504" spans="1:26" ht="15">
      <c r="A504" s="11"/>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c r="A505" s="11"/>
      <c r="B505" s="10" t="s">
        <v>3528</v>
      </c>
      <c r="C505" s="10" t="s">
        <v>3513</v>
      </c>
      <c r="D505" s="10">
        <v>39197</v>
      </c>
      <c r="E505" s="10" t="s">
        <v>707</v>
      </c>
      <c r="F505" s="10" t="s">
        <v>3529</v>
      </c>
      <c r="G505" s="10" t="s">
        <v>3530</v>
      </c>
      <c r="H505" s="10"/>
      <c r="I505" s="10"/>
      <c r="J505" s="10"/>
      <c r="K505" s="10"/>
      <c r="L505" s="10"/>
      <c r="M505" s="10"/>
      <c r="N505" s="10"/>
      <c r="O505" s="10"/>
      <c r="P505" s="10"/>
      <c r="Q505" s="10"/>
      <c r="R505" s="10"/>
      <c r="S505" s="10"/>
      <c r="T505" s="10"/>
      <c r="U505" s="10"/>
      <c r="V505" s="10"/>
      <c r="W505" s="10"/>
      <c r="X505" s="10"/>
      <c r="Y505" s="10"/>
      <c r="Z505" s="10"/>
    </row>
    <row r="506" spans="1:26" ht="15">
      <c r="A506" s="9">
        <v>245</v>
      </c>
      <c r="B506" s="10" t="str">
        <f ca="1">IFERROR(__xludf.DUMMYFUNCTION((TRANSPOSE(ImportHTML("http://spending.data.al/sq/moneypower/view/id/245/year/2013",  "table", 0)))),"*Emër Subjekti*")</f>
        <v>*Emër Subjekti*</v>
      </c>
      <c r="C506" s="10" t="s">
        <v>698</v>
      </c>
      <c r="D506" s="10" t="s">
        <v>699</v>
      </c>
      <c r="E506" s="10" t="s">
        <v>700</v>
      </c>
      <c r="F506" s="10" t="s">
        <v>701</v>
      </c>
      <c r="G506" s="10" t="s">
        <v>702</v>
      </c>
      <c r="H506" s="10"/>
      <c r="I506" s="10"/>
      <c r="J506" s="10"/>
      <c r="K506" s="10"/>
      <c r="L506" s="10"/>
      <c r="M506" s="10"/>
      <c r="N506" s="10"/>
      <c r="O506" s="10"/>
      <c r="P506" s="10"/>
      <c r="Q506" s="10"/>
      <c r="R506" s="10"/>
      <c r="S506" s="10"/>
      <c r="T506" s="10"/>
      <c r="U506" s="10"/>
      <c r="V506" s="10"/>
      <c r="W506" s="10"/>
      <c r="X506" s="10"/>
      <c r="Y506" s="10"/>
      <c r="Z506" s="10"/>
    </row>
    <row r="507" spans="1:26" ht="15">
      <c r="A507" s="11"/>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c r="A508" s="11"/>
      <c r="B508" s="10" t="s">
        <v>3531</v>
      </c>
      <c r="C508" s="10" t="s">
        <v>3513</v>
      </c>
      <c r="D508" s="10" t="s">
        <v>3532</v>
      </c>
      <c r="E508" s="10" t="s">
        <v>707</v>
      </c>
      <c r="F508" s="10" t="s">
        <v>3533</v>
      </c>
      <c r="G508" s="10" t="s">
        <v>3534</v>
      </c>
      <c r="H508" s="10"/>
      <c r="I508" s="10"/>
      <c r="J508" s="10"/>
      <c r="K508" s="10"/>
      <c r="L508" s="10"/>
      <c r="M508" s="10"/>
      <c r="N508" s="10"/>
      <c r="O508" s="10"/>
      <c r="P508" s="10"/>
      <c r="Q508" s="10"/>
      <c r="R508" s="10"/>
      <c r="S508" s="10"/>
      <c r="T508" s="10"/>
      <c r="U508" s="10"/>
      <c r="V508" s="10"/>
      <c r="W508" s="10"/>
      <c r="X508" s="10"/>
      <c r="Y508" s="10"/>
      <c r="Z508" s="10"/>
    </row>
    <row r="509" spans="1:26" ht="15">
      <c r="A509" s="9">
        <v>246</v>
      </c>
      <c r="B509" s="10" t="str">
        <f ca="1">IFERROR(__xludf.DUMMYFUNCTION((TRANSPOSE(ImportHTML("http://spending.data.al/sq/moneypower/view/id/246/year/2013",  "table", 0)))),"*Emër Subjekti*")</f>
        <v>*Emër Subjekti*</v>
      </c>
      <c r="C509" s="10" t="s">
        <v>698</v>
      </c>
      <c r="D509" s="10" t="s">
        <v>699</v>
      </c>
      <c r="E509" s="10" t="s">
        <v>700</v>
      </c>
      <c r="F509" s="10" t="s">
        <v>701</v>
      </c>
      <c r="G509" s="10" t="s">
        <v>702</v>
      </c>
      <c r="H509" s="10"/>
      <c r="I509" s="10"/>
      <c r="J509" s="10"/>
      <c r="K509" s="10"/>
      <c r="L509" s="10"/>
      <c r="M509" s="10"/>
      <c r="N509" s="10"/>
      <c r="O509" s="10"/>
      <c r="P509" s="10"/>
      <c r="Q509" s="10"/>
      <c r="R509" s="10"/>
      <c r="S509" s="10"/>
      <c r="T509" s="10"/>
      <c r="U509" s="10"/>
      <c r="V509" s="10"/>
      <c r="W509" s="10"/>
      <c r="X509" s="10"/>
      <c r="Y509" s="10"/>
      <c r="Z509" s="10"/>
    </row>
    <row r="510" spans="1:26" ht="15">
      <c r="A510" s="11"/>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c r="A511" s="11"/>
      <c r="B511" s="10" t="s">
        <v>3535</v>
      </c>
      <c r="C511" s="10" t="s">
        <v>3513</v>
      </c>
      <c r="D511" s="10">
        <v>41335</v>
      </c>
      <c r="E511" s="10" t="s">
        <v>707</v>
      </c>
      <c r="F511" s="10" t="s">
        <v>3536</v>
      </c>
      <c r="G511" s="10" t="s">
        <v>3537</v>
      </c>
      <c r="H511" s="10"/>
      <c r="I511" s="10"/>
      <c r="J511" s="10"/>
      <c r="K511" s="10"/>
      <c r="L511" s="10"/>
      <c r="M511" s="10"/>
      <c r="N511" s="10"/>
      <c r="O511" s="10"/>
      <c r="P511" s="10"/>
      <c r="Q511" s="10"/>
      <c r="R511" s="10"/>
      <c r="S511" s="10"/>
      <c r="T511" s="10"/>
      <c r="U511" s="10"/>
      <c r="V511" s="10"/>
      <c r="W511" s="10"/>
      <c r="X511" s="10"/>
      <c r="Y511" s="10"/>
      <c r="Z511" s="10"/>
    </row>
    <row r="512" spans="1:26" ht="15">
      <c r="A512" s="9">
        <v>247</v>
      </c>
      <c r="B512" s="10" t="str">
        <f ca="1">IFERROR(__xludf.DUMMYFUNCTION((TRANSPOSE(ImportHTML("http://spending.data.al/sq/moneypower/view/id/247/year/2013",  "table", 0)))),"*Emër Subjekti*")</f>
        <v>*Emër Subjekti*</v>
      </c>
      <c r="C512" s="10" t="s">
        <v>698</v>
      </c>
      <c r="D512" s="10" t="s">
        <v>699</v>
      </c>
      <c r="E512" s="10" t="s">
        <v>700</v>
      </c>
      <c r="F512" s="10" t="s">
        <v>701</v>
      </c>
      <c r="G512" s="10" t="s">
        <v>702</v>
      </c>
      <c r="H512" s="10"/>
      <c r="I512" s="10"/>
      <c r="J512" s="10"/>
      <c r="K512" s="10"/>
      <c r="L512" s="10"/>
      <c r="M512" s="10"/>
      <c r="N512" s="10"/>
      <c r="O512" s="10"/>
      <c r="P512" s="10"/>
      <c r="Q512" s="10"/>
      <c r="R512" s="10"/>
      <c r="S512" s="10"/>
      <c r="T512" s="10"/>
      <c r="U512" s="10"/>
      <c r="V512" s="10"/>
      <c r="W512" s="10"/>
      <c r="X512" s="10"/>
      <c r="Y512" s="10"/>
      <c r="Z512" s="10"/>
    </row>
    <row r="513" spans="1:26" ht="15">
      <c r="A513" s="11"/>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c r="A514" s="11"/>
      <c r="B514" s="10" t="s">
        <v>3538</v>
      </c>
      <c r="C514" s="10" t="s">
        <v>3513</v>
      </c>
      <c r="D514" s="10">
        <v>39517</v>
      </c>
      <c r="E514" s="10" t="s">
        <v>707</v>
      </c>
      <c r="F514" s="10" t="s">
        <v>3539</v>
      </c>
      <c r="G514" s="10" t="s">
        <v>3540</v>
      </c>
      <c r="H514" s="10"/>
      <c r="I514" s="10"/>
      <c r="J514" s="10"/>
      <c r="K514" s="10"/>
      <c r="L514" s="10"/>
      <c r="M514" s="10"/>
      <c r="N514" s="10"/>
      <c r="O514" s="10"/>
      <c r="P514" s="10"/>
      <c r="Q514" s="10"/>
      <c r="R514" s="10"/>
      <c r="S514" s="10"/>
      <c r="T514" s="10"/>
      <c r="U514" s="10"/>
      <c r="V514" s="10"/>
      <c r="W514" s="10"/>
      <c r="X514" s="10"/>
      <c r="Y514" s="10"/>
      <c r="Z514" s="10"/>
    </row>
    <row r="515" spans="1:26" ht="15">
      <c r="A515" s="9">
        <v>248</v>
      </c>
      <c r="B515" s="10" t="str">
        <f ca="1">IFERROR(__xludf.DUMMYFUNCTION((TRANSPOSE(ImportHTML("http://spending.data.al/sq/moneypower/view/id/248/year/2013",  "table", 0)))),"*Kategoria*")</f>
        <v>*Kategoria*</v>
      </c>
      <c r="C515" s="10" t="s">
        <v>673</v>
      </c>
      <c r="D515" s="10" t="s">
        <v>674</v>
      </c>
      <c r="E515" s="10" t="s">
        <v>675</v>
      </c>
      <c r="F515" s="10" t="s">
        <v>676</v>
      </c>
      <c r="G515" s="10" t="s">
        <v>677</v>
      </c>
      <c r="H515" s="10" t="s">
        <v>678</v>
      </c>
      <c r="I515" s="10" t="s">
        <v>679</v>
      </c>
      <c r="J515" s="10" t="s">
        <v>680</v>
      </c>
      <c r="K515" s="10" t="s">
        <v>681</v>
      </c>
      <c r="L515" s="10" t="s">
        <v>682</v>
      </c>
      <c r="M515" s="10" t="s">
        <v>683</v>
      </c>
      <c r="N515" s="10" t="s">
        <v>684</v>
      </c>
      <c r="O515" s="10" t="s">
        <v>685</v>
      </c>
      <c r="P515" s="10"/>
      <c r="Q515" s="10"/>
      <c r="R515" s="10"/>
      <c r="S515" s="10"/>
      <c r="T515" s="10"/>
      <c r="U515" s="10"/>
      <c r="V515" s="10"/>
      <c r="W515" s="10"/>
      <c r="X515" s="10"/>
      <c r="Y515" s="10"/>
      <c r="Z515" s="10"/>
    </row>
    <row r="516" spans="1:26" ht="15">
      <c r="A516" s="11"/>
      <c r="B516" s="10" t="s">
        <v>686</v>
      </c>
      <c r="C516" s="10" t="s">
        <v>1561</v>
      </c>
      <c r="D516" s="10" t="s">
        <v>688</v>
      </c>
      <c r="E516" s="10" t="s">
        <v>1562</v>
      </c>
      <c r="F516" s="10" t="s">
        <v>688</v>
      </c>
      <c r="G516" s="10" t="s">
        <v>1563</v>
      </c>
      <c r="H516" s="10" t="s">
        <v>688</v>
      </c>
      <c r="I516" s="10" t="s">
        <v>688</v>
      </c>
      <c r="J516" s="10" t="s">
        <v>688</v>
      </c>
      <c r="K516" s="10" t="s">
        <v>688</v>
      </c>
      <c r="L516" s="10" t="s">
        <v>1564</v>
      </c>
      <c r="M516" s="10" t="s">
        <v>688</v>
      </c>
      <c r="N516" s="10">
        <v>1.43</v>
      </c>
      <c r="O516" s="10" t="s">
        <v>1565</v>
      </c>
      <c r="P516" s="10"/>
      <c r="Q516" s="10"/>
      <c r="R516" s="10"/>
      <c r="S516" s="10"/>
      <c r="T516" s="10"/>
      <c r="U516" s="10"/>
      <c r="V516" s="10"/>
      <c r="W516" s="10"/>
      <c r="X516" s="10"/>
      <c r="Y516" s="10"/>
      <c r="Z516" s="10"/>
    </row>
    <row r="517" spans="1:26" ht="15">
      <c r="A517" s="9">
        <v>249</v>
      </c>
      <c r="B517" s="10" t="str">
        <f ca="1">IFERROR(__xludf.DUMMYFUNCTION((TRANSPOSE(ImportHTML("http://spending.data.al/sq/moneypower/view/id/249/year/2013",  "table", 0)))),"*Kategoria*")</f>
        <v>*Kategoria*</v>
      </c>
      <c r="C517" s="10" t="s">
        <v>673</v>
      </c>
      <c r="D517" s="10" t="s">
        <v>674</v>
      </c>
      <c r="E517" s="10" t="s">
        <v>675</v>
      </c>
      <c r="F517" s="10" t="s">
        <v>676</v>
      </c>
      <c r="G517" s="10" t="s">
        <v>677</v>
      </c>
      <c r="H517" s="10" t="s">
        <v>678</v>
      </c>
      <c r="I517" s="10" t="s">
        <v>679</v>
      </c>
      <c r="J517" s="10" t="s">
        <v>680</v>
      </c>
      <c r="K517" s="10" t="s">
        <v>681</v>
      </c>
      <c r="L517" s="10" t="s">
        <v>682</v>
      </c>
      <c r="M517" s="10" t="s">
        <v>683</v>
      </c>
      <c r="N517" s="10" t="s">
        <v>684</v>
      </c>
      <c r="O517" s="10" t="s">
        <v>685</v>
      </c>
      <c r="P517" s="10"/>
      <c r="Q517" s="10"/>
      <c r="R517" s="10"/>
      <c r="S517" s="10"/>
      <c r="T517" s="10"/>
      <c r="U517" s="10"/>
      <c r="V517" s="10"/>
      <c r="W517" s="10"/>
      <c r="X517" s="10"/>
      <c r="Y517" s="10"/>
      <c r="Z517" s="10"/>
    </row>
    <row r="518" spans="1:26" ht="15">
      <c r="A518" s="11"/>
      <c r="B518" s="10" t="s">
        <v>686</v>
      </c>
      <c r="C518" s="10" t="s">
        <v>4111</v>
      </c>
      <c r="D518" s="10" t="s">
        <v>688</v>
      </c>
      <c r="E518" s="10" t="s">
        <v>688</v>
      </c>
      <c r="F518" s="10" t="s">
        <v>4112</v>
      </c>
      <c r="G518" s="10" t="s">
        <v>688</v>
      </c>
      <c r="H518" s="10" t="s">
        <v>688</v>
      </c>
      <c r="I518" s="10" t="s">
        <v>688</v>
      </c>
      <c r="J518" s="10" t="s">
        <v>688</v>
      </c>
      <c r="K518" s="10" t="s">
        <v>688</v>
      </c>
      <c r="L518" s="10" t="s">
        <v>4113</v>
      </c>
      <c r="M518" s="10" t="s">
        <v>688</v>
      </c>
      <c r="N518" s="10">
        <v>1</v>
      </c>
      <c r="O518" s="10" t="s">
        <v>4114</v>
      </c>
      <c r="P518" s="10"/>
      <c r="Q518" s="10"/>
      <c r="R518" s="10"/>
      <c r="S518" s="10"/>
      <c r="T518" s="10"/>
      <c r="U518" s="10"/>
      <c r="V518" s="10"/>
      <c r="W518" s="10"/>
      <c r="X518" s="10"/>
      <c r="Y518" s="10"/>
      <c r="Z518" s="10"/>
    </row>
    <row r="519" spans="1:26" ht="15">
      <c r="A519" s="9">
        <v>250</v>
      </c>
      <c r="B519" s="10" t="str">
        <f ca="1">IFERROR(__xludf.DUMMYFUNCTION((TRANSPOSE(ImportHTML("http://spending.data.al/sq/moneypower/view/id/250/year/2013",  "table", 0)))),"*Kategoria*")</f>
        <v>*Kategoria*</v>
      </c>
      <c r="C519" s="10" t="s">
        <v>673</v>
      </c>
      <c r="D519" s="10" t="s">
        <v>674</v>
      </c>
      <c r="E519" s="10" t="s">
        <v>675</v>
      </c>
      <c r="F519" s="10" t="s">
        <v>676</v>
      </c>
      <c r="G519" s="10" t="s">
        <v>677</v>
      </c>
      <c r="H519" s="10" t="s">
        <v>678</v>
      </c>
      <c r="I519" s="10" t="s">
        <v>679</v>
      </c>
      <c r="J519" s="10" t="s">
        <v>680</v>
      </c>
      <c r="K519" s="10" t="s">
        <v>681</v>
      </c>
      <c r="L519" s="10" t="s">
        <v>682</v>
      </c>
      <c r="M519" s="10" t="s">
        <v>683</v>
      </c>
      <c r="N519" s="10" t="s">
        <v>684</v>
      </c>
      <c r="O519" s="10" t="s">
        <v>685</v>
      </c>
      <c r="P519" s="10"/>
      <c r="Q519" s="10"/>
      <c r="R519" s="10"/>
      <c r="S519" s="10"/>
      <c r="T519" s="10"/>
      <c r="U519" s="10"/>
      <c r="V519" s="10"/>
      <c r="W519" s="10"/>
      <c r="X519" s="10"/>
      <c r="Y519" s="10"/>
      <c r="Z519" s="10"/>
    </row>
    <row r="520" spans="1:26" ht="15">
      <c r="A520" s="11"/>
      <c r="B520" s="10" t="s">
        <v>686</v>
      </c>
      <c r="C520" s="10" t="s">
        <v>4115</v>
      </c>
      <c r="D520" s="10" t="s">
        <v>688</v>
      </c>
      <c r="E520" s="10" t="s">
        <v>688</v>
      </c>
      <c r="F520" s="10" t="s">
        <v>688</v>
      </c>
      <c r="G520" s="10" t="s">
        <v>688</v>
      </c>
      <c r="H520" s="10" t="s">
        <v>688</v>
      </c>
      <c r="I520" s="10" t="s">
        <v>688</v>
      </c>
      <c r="J520" s="10" t="s">
        <v>688</v>
      </c>
      <c r="K520" s="10" t="s">
        <v>688</v>
      </c>
      <c r="L520" s="10" t="s">
        <v>4116</v>
      </c>
      <c r="M520" s="10" t="s">
        <v>688</v>
      </c>
      <c r="N520" s="10">
        <v>1</v>
      </c>
      <c r="O520" s="10" t="s">
        <v>4117</v>
      </c>
      <c r="P520" s="10"/>
      <c r="Q520" s="10"/>
      <c r="R520" s="10"/>
      <c r="S520" s="10"/>
      <c r="T520" s="10"/>
      <c r="U520" s="10"/>
      <c r="V520" s="10"/>
      <c r="W520" s="10"/>
      <c r="X520" s="10"/>
      <c r="Y520" s="10"/>
      <c r="Z520" s="10"/>
    </row>
    <row r="521" spans="1:26" ht="15">
      <c r="A521" s="9">
        <v>251</v>
      </c>
      <c r="B521" s="10" t="str">
        <f ca="1">IFERROR(__xludf.DUMMYFUNCTION((TRANSPOSE(ImportHTML("http://spending.data.al/sq/moneypower/view/id/251/year/2013",  "table", 0)))),"*Kategoria*")</f>
        <v>*Kategoria*</v>
      </c>
      <c r="C521" s="10" t="s">
        <v>673</v>
      </c>
      <c r="D521" s="10" t="s">
        <v>674</v>
      </c>
      <c r="E521" s="10" t="s">
        <v>675</v>
      </c>
      <c r="F521" s="10" t="s">
        <v>676</v>
      </c>
      <c r="G521" s="10" t="s">
        <v>677</v>
      </c>
      <c r="H521" s="10" t="s">
        <v>678</v>
      </c>
      <c r="I521" s="10" t="s">
        <v>679</v>
      </c>
      <c r="J521" s="10" t="s">
        <v>680</v>
      </c>
      <c r="K521" s="10" t="s">
        <v>681</v>
      </c>
      <c r="L521" s="10" t="s">
        <v>682</v>
      </c>
      <c r="M521" s="10" t="s">
        <v>683</v>
      </c>
      <c r="N521" s="10" t="s">
        <v>684</v>
      </c>
      <c r="O521" s="10" t="s">
        <v>685</v>
      </c>
      <c r="P521" s="10"/>
      <c r="Q521" s="10"/>
      <c r="R521" s="10"/>
      <c r="S521" s="10"/>
      <c r="T521" s="10"/>
      <c r="U521" s="10"/>
      <c r="V521" s="10"/>
      <c r="W521" s="10"/>
      <c r="X521" s="10"/>
      <c r="Y521" s="10"/>
      <c r="Z521" s="10"/>
    </row>
    <row r="522" spans="1:26" ht="15">
      <c r="A522" s="11"/>
      <c r="B522" s="10" t="s">
        <v>686</v>
      </c>
      <c r="C522" s="10" t="s">
        <v>4118</v>
      </c>
      <c r="D522" s="10" t="s">
        <v>688</v>
      </c>
      <c r="E522" s="10" t="s">
        <v>688</v>
      </c>
      <c r="F522" s="10" t="s">
        <v>688</v>
      </c>
      <c r="G522" s="10" t="s">
        <v>688</v>
      </c>
      <c r="H522" s="10" t="s">
        <v>688</v>
      </c>
      <c r="I522" s="10" t="s">
        <v>688</v>
      </c>
      <c r="J522" s="10" t="s">
        <v>688</v>
      </c>
      <c r="K522" s="10" t="s">
        <v>688</v>
      </c>
      <c r="L522" s="10" t="s">
        <v>4119</v>
      </c>
      <c r="M522" s="10" t="s">
        <v>688</v>
      </c>
      <c r="N522" s="10"/>
      <c r="O522" s="10" t="s">
        <v>4120</v>
      </c>
      <c r="P522" s="10"/>
      <c r="Q522" s="10"/>
      <c r="R522" s="10"/>
      <c r="S522" s="10"/>
      <c r="T522" s="10"/>
      <c r="U522" s="10"/>
      <c r="V522" s="10"/>
      <c r="W522" s="10"/>
      <c r="X522" s="10"/>
      <c r="Y522" s="10"/>
      <c r="Z522" s="10"/>
    </row>
    <row r="523" spans="1:26" ht="15">
      <c r="A523" s="9">
        <v>252</v>
      </c>
      <c r="B523" s="10" t="str">
        <f ca="1">IFERROR(__xludf.DUMMYFUNCTION((TRANSPOSE(ImportHTML("http://spending.data.al/sq/moneypower/view/id/252/year/2013",  "table", 0)))),"*Kategoria*")</f>
        <v>*Kategoria*</v>
      </c>
      <c r="C523" s="10" t="s">
        <v>673</v>
      </c>
      <c r="D523" s="10" t="s">
        <v>674</v>
      </c>
      <c r="E523" s="10" t="s">
        <v>675</v>
      </c>
      <c r="F523" s="10" t="s">
        <v>676</v>
      </c>
      <c r="G523" s="10" t="s">
        <v>677</v>
      </c>
      <c r="H523" s="10" t="s">
        <v>678</v>
      </c>
      <c r="I523" s="10" t="s">
        <v>679</v>
      </c>
      <c r="J523" s="10" t="s">
        <v>680</v>
      </c>
      <c r="K523" s="10" t="s">
        <v>681</v>
      </c>
      <c r="L523" s="10" t="s">
        <v>682</v>
      </c>
      <c r="M523" s="10" t="s">
        <v>683</v>
      </c>
      <c r="N523" s="10" t="s">
        <v>684</v>
      </c>
      <c r="O523" s="10" t="s">
        <v>685</v>
      </c>
      <c r="P523" s="10"/>
      <c r="Q523" s="10"/>
      <c r="R523" s="10"/>
      <c r="S523" s="10"/>
      <c r="T523" s="10"/>
      <c r="U523" s="10"/>
      <c r="V523" s="10"/>
      <c r="W523" s="10"/>
      <c r="X523" s="10"/>
      <c r="Y523" s="10"/>
      <c r="Z523" s="10"/>
    </row>
    <row r="524" spans="1:26" ht="15">
      <c r="A524" s="11"/>
      <c r="B524" s="10" t="s">
        <v>686</v>
      </c>
      <c r="C524" s="10" t="s">
        <v>4121</v>
      </c>
      <c r="D524" s="10" t="s">
        <v>688</v>
      </c>
      <c r="E524" s="10" t="s">
        <v>688</v>
      </c>
      <c r="F524" s="10" t="s">
        <v>688</v>
      </c>
      <c r="G524" s="10" t="s">
        <v>688</v>
      </c>
      <c r="H524" s="10" t="s">
        <v>688</v>
      </c>
      <c r="I524" s="10" t="s">
        <v>688</v>
      </c>
      <c r="J524" s="10" t="s">
        <v>688</v>
      </c>
      <c r="K524" s="10" t="s">
        <v>688</v>
      </c>
      <c r="L524" s="10" t="s">
        <v>4122</v>
      </c>
      <c r="M524" s="10" t="s">
        <v>688</v>
      </c>
      <c r="N524" s="10" t="s">
        <v>707</v>
      </c>
      <c r="O524" s="10" t="s">
        <v>688</v>
      </c>
      <c r="P524" s="10"/>
      <c r="Q524" s="10"/>
      <c r="R524" s="10"/>
      <c r="S524" s="10"/>
      <c r="T524" s="10"/>
      <c r="U524" s="10"/>
      <c r="V524" s="10"/>
      <c r="W524" s="10"/>
      <c r="X524" s="10"/>
      <c r="Y524" s="10"/>
      <c r="Z524" s="10"/>
    </row>
    <row r="525" spans="1:26" ht="15">
      <c r="A525" s="9">
        <v>253</v>
      </c>
      <c r="B525" s="10" t="str">
        <f ca="1">IFERROR(__xludf.DUMMYFUNCTION((TRANSPOSE(ImportHTML("http://spending.data.al/sq/moneypower/view/id/253/year/2013",  "table", 0)))),"*Kategoria*")</f>
        <v>*Kategoria*</v>
      </c>
      <c r="C525" s="10" t="s">
        <v>673</v>
      </c>
      <c r="D525" s="10" t="s">
        <v>674</v>
      </c>
      <c r="E525" s="10" t="s">
        <v>675</v>
      </c>
      <c r="F525" s="10" t="s">
        <v>676</v>
      </c>
      <c r="G525" s="10" t="s">
        <v>677</v>
      </c>
      <c r="H525" s="10" t="s">
        <v>678</v>
      </c>
      <c r="I525" s="10" t="s">
        <v>679</v>
      </c>
      <c r="J525" s="10" t="s">
        <v>680</v>
      </c>
      <c r="K525" s="10" t="s">
        <v>681</v>
      </c>
      <c r="L525" s="10" t="s">
        <v>682</v>
      </c>
      <c r="M525" s="10" t="s">
        <v>683</v>
      </c>
      <c r="N525" s="10" t="s">
        <v>684</v>
      </c>
      <c r="O525" s="10" t="s">
        <v>685</v>
      </c>
      <c r="P525" s="10"/>
      <c r="Q525" s="10"/>
      <c r="R525" s="10"/>
      <c r="S525" s="10"/>
      <c r="T525" s="10"/>
      <c r="U525" s="10"/>
      <c r="V525" s="10"/>
      <c r="W525" s="10"/>
      <c r="X525" s="10"/>
      <c r="Y525" s="10"/>
      <c r="Z525" s="10"/>
    </row>
    <row r="526" spans="1:26" ht="15">
      <c r="A526" s="11"/>
      <c r="B526" s="10" t="s">
        <v>686</v>
      </c>
      <c r="C526" s="10" t="s">
        <v>4123</v>
      </c>
      <c r="D526" s="10" t="s">
        <v>688</v>
      </c>
      <c r="E526" s="10" t="s">
        <v>688</v>
      </c>
      <c r="F526" s="10" t="s">
        <v>688</v>
      </c>
      <c r="G526" s="10" t="s">
        <v>688</v>
      </c>
      <c r="H526" s="10" t="s">
        <v>688</v>
      </c>
      <c r="I526" s="10" t="s">
        <v>688</v>
      </c>
      <c r="J526" s="10" t="s">
        <v>688</v>
      </c>
      <c r="K526" s="10" t="s">
        <v>688</v>
      </c>
      <c r="L526" s="10" t="s">
        <v>4124</v>
      </c>
      <c r="M526" s="10" t="s">
        <v>688</v>
      </c>
      <c r="N526" s="10" t="s">
        <v>707</v>
      </c>
      <c r="O526" s="10" t="s">
        <v>4125</v>
      </c>
      <c r="P526" s="10"/>
      <c r="Q526" s="10"/>
      <c r="R526" s="10"/>
      <c r="S526" s="10"/>
      <c r="T526" s="10"/>
      <c r="U526" s="10"/>
      <c r="V526" s="10"/>
      <c r="W526" s="10"/>
      <c r="X526" s="10"/>
      <c r="Y526" s="10"/>
      <c r="Z526" s="10"/>
    </row>
    <row r="527" spans="1:26" ht="15">
      <c r="A527" s="9">
        <v>254</v>
      </c>
      <c r="B527" s="10" t="str">
        <f ca="1">IFERROR(__xludf.DUMMYFUNCTION((TRANSPOSE(ImportHTML("http://spending.data.al/sq/moneypower/view/id/254/year/2013",  "table", 0)))),"*Kategoria*")</f>
        <v>*Kategoria*</v>
      </c>
      <c r="C527" s="10" t="s">
        <v>673</v>
      </c>
      <c r="D527" s="10" t="s">
        <v>674</v>
      </c>
      <c r="E527" s="10" t="s">
        <v>675</v>
      </c>
      <c r="F527" s="10" t="s">
        <v>676</v>
      </c>
      <c r="G527" s="10" t="s">
        <v>677</v>
      </c>
      <c r="H527" s="10" t="s">
        <v>678</v>
      </c>
      <c r="I527" s="10" t="s">
        <v>679</v>
      </c>
      <c r="J527" s="10" t="s">
        <v>680</v>
      </c>
      <c r="K527" s="10" t="s">
        <v>681</v>
      </c>
      <c r="L527" s="10" t="s">
        <v>682</v>
      </c>
      <c r="M527" s="10" t="s">
        <v>683</v>
      </c>
      <c r="N527" s="10" t="s">
        <v>684</v>
      </c>
      <c r="O527" s="10" t="s">
        <v>685</v>
      </c>
      <c r="P527" s="10"/>
      <c r="Q527" s="10"/>
      <c r="R527" s="10"/>
      <c r="S527" s="10"/>
      <c r="T527" s="10"/>
      <c r="U527" s="10"/>
      <c r="V527" s="10"/>
      <c r="W527" s="10"/>
      <c r="X527" s="10"/>
      <c r="Y527" s="10"/>
      <c r="Z527" s="10"/>
    </row>
    <row r="528" spans="1:26" ht="15">
      <c r="A528" s="11"/>
      <c r="B528" s="10" t="s">
        <v>686</v>
      </c>
      <c r="C528" s="10" t="s">
        <v>4126</v>
      </c>
      <c r="D528" s="10" t="s">
        <v>688</v>
      </c>
      <c r="E528" s="10" t="s">
        <v>688</v>
      </c>
      <c r="F528" s="10" t="s">
        <v>4127</v>
      </c>
      <c r="G528" s="10" t="s">
        <v>688</v>
      </c>
      <c r="H528" s="10" t="s">
        <v>688</v>
      </c>
      <c r="I528" s="10" t="s">
        <v>688</v>
      </c>
      <c r="J528" s="10" t="s">
        <v>688</v>
      </c>
      <c r="K528" s="10" t="s">
        <v>688</v>
      </c>
      <c r="L528" s="10" t="s">
        <v>4128</v>
      </c>
      <c r="M528" s="10" t="s">
        <v>688</v>
      </c>
      <c r="N528" s="10">
        <v>1.1100000000000001</v>
      </c>
      <c r="O528" s="10" t="s">
        <v>4129</v>
      </c>
      <c r="P528" s="10"/>
      <c r="Q528" s="10"/>
      <c r="R528" s="10"/>
      <c r="S528" s="10"/>
      <c r="T528" s="10"/>
      <c r="U528" s="10"/>
      <c r="V528" s="10"/>
      <c r="W528" s="10"/>
      <c r="X528" s="10"/>
      <c r="Y528" s="10"/>
      <c r="Z528" s="10"/>
    </row>
    <row r="529" spans="1:26" ht="15">
      <c r="A529" s="9">
        <v>255</v>
      </c>
      <c r="B529" s="10" t="str">
        <f ca="1">IFERROR(__xludf.DUMMYFUNCTION((TRANSPOSE(ImportHTML("http://spending.data.al/sq/moneypower/view/id/255/year/2013",  "table", 0)))),"*Kategoria*")</f>
        <v>*Kategoria*</v>
      </c>
      <c r="C529" s="10" t="s">
        <v>673</v>
      </c>
      <c r="D529" s="10" t="s">
        <v>674</v>
      </c>
      <c r="E529" s="10" t="s">
        <v>675</v>
      </c>
      <c r="F529" s="10" t="s">
        <v>676</v>
      </c>
      <c r="G529" s="10" t="s">
        <v>677</v>
      </c>
      <c r="H529" s="10" t="s">
        <v>678</v>
      </c>
      <c r="I529" s="10" t="s">
        <v>679</v>
      </c>
      <c r="J529" s="10" t="s">
        <v>680</v>
      </c>
      <c r="K529" s="10" t="s">
        <v>681</v>
      </c>
      <c r="L529" s="10" t="s">
        <v>682</v>
      </c>
      <c r="M529" s="10" t="s">
        <v>683</v>
      </c>
      <c r="N529" s="10" t="s">
        <v>684</v>
      </c>
      <c r="O529" s="10" t="s">
        <v>685</v>
      </c>
      <c r="P529" s="10"/>
      <c r="Q529" s="10"/>
      <c r="R529" s="10"/>
      <c r="S529" s="10"/>
      <c r="T529" s="10"/>
      <c r="U529" s="10"/>
      <c r="V529" s="10"/>
      <c r="W529" s="10"/>
      <c r="X529" s="10"/>
      <c r="Y529" s="10"/>
      <c r="Z529" s="10"/>
    </row>
    <row r="530" spans="1:26" ht="15">
      <c r="A530" s="11"/>
      <c r="B530" s="10" t="s">
        <v>686</v>
      </c>
      <c r="C530" s="10" t="s">
        <v>4130</v>
      </c>
      <c r="D530" s="10" t="s">
        <v>688</v>
      </c>
      <c r="E530" s="10" t="s">
        <v>688</v>
      </c>
      <c r="F530" s="10" t="s">
        <v>4131</v>
      </c>
      <c r="G530" s="10" t="s">
        <v>4132</v>
      </c>
      <c r="H530" s="10" t="s">
        <v>688</v>
      </c>
      <c r="I530" s="10" t="s">
        <v>688</v>
      </c>
      <c r="J530" s="10" t="s">
        <v>688</v>
      </c>
      <c r="K530" s="10" t="s">
        <v>688</v>
      </c>
      <c r="L530" s="10" t="s">
        <v>4133</v>
      </c>
      <c r="M530" s="10" t="s">
        <v>688</v>
      </c>
      <c r="N530" s="10">
        <v>3.01</v>
      </c>
      <c r="O530" s="10" t="s">
        <v>4134</v>
      </c>
      <c r="P530" s="10"/>
      <c r="Q530" s="10"/>
      <c r="R530" s="10"/>
      <c r="S530" s="10"/>
      <c r="T530" s="10"/>
      <c r="U530" s="10"/>
      <c r="V530" s="10"/>
      <c r="W530" s="10"/>
      <c r="X530" s="10"/>
      <c r="Y530" s="10"/>
      <c r="Z530" s="10"/>
    </row>
    <row r="531" spans="1:26" ht="15">
      <c r="A531" s="9">
        <v>256</v>
      </c>
      <c r="B531" s="10" t="str">
        <f ca="1">IFERROR(__xludf.DUMMYFUNCTION((TRANSPOSE(ImportHTML("http://spending.data.al/sq/moneypower/view/id/256/year/2013",  "table", 0)))),"*Kategoria*")</f>
        <v>*Kategoria*</v>
      </c>
      <c r="C531" s="10" t="s">
        <v>673</v>
      </c>
      <c r="D531" s="10" t="s">
        <v>674</v>
      </c>
      <c r="E531" s="10" t="s">
        <v>675</v>
      </c>
      <c r="F531" s="10" t="s">
        <v>676</v>
      </c>
      <c r="G531" s="10" t="s">
        <v>677</v>
      </c>
      <c r="H531" s="10" t="s">
        <v>678</v>
      </c>
      <c r="I531" s="10" t="s">
        <v>679</v>
      </c>
      <c r="J531" s="10" t="s">
        <v>680</v>
      </c>
      <c r="K531" s="10" t="s">
        <v>681</v>
      </c>
      <c r="L531" s="10" t="s">
        <v>682</v>
      </c>
      <c r="M531" s="10" t="s">
        <v>683</v>
      </c>
      <c r="N531" s="10" t="s">
        <v>684</v>
      </c>
      <c r="O531" s="10" t="s">
        <v>685</v>
      </c>
      <c r="P531" s="10"/>
      <c r="Q531" s="10"/>
      <c r="R531" s="10"/>
      <c r="S531" s="10"/>
      <c r="T531" s="10"/>
      <c r="U531" s="10"/>
      <c r="V531" s="10"/>
      <c r="W531" s="10"/>
      <c r="X531" s="10"/>
      <c r="Y531" s="10"/>
      <c r="Z531" s="10"/>
    </row>
    <row r="532" spans="1:26" ht="15">
      <c r="A532" s="11"/>
      <c r="B532" s="10" t="s">
        <v>686</v>
      </c>
      <c r="C532" s="10" t="s">
        <v>4135</v>
      </c>
      <c r="D532" s="10" t="s">
        <v>688</v>
      </c>
      <c r="E532" s="10" t="s">
        <v>688</v>
      </c>
      <c r="F532" s="10" t="s">
        <v>4136</v>
      </c>
      <c r="G532" s="10" t="s">
        <v>688</v>
      </c>
      <c r="H532" s="10" t="s">
        <v>688</v>
      </c>
      <c r="I532" s="10" t="s">
        <v>688</v>
      </c>
      <c r="J532" s="10" t="s">
        <v>688</v>
      </c>
      <c r="K532" s="10" t="s">
        <v>688</v>
      </c>
      <c r="L532" s="10" t="s">
        <v>4137</v>
      </c>
      <c r="M532" s="10" t="s">
        <v>4138</v>
      </c>
      <c r="N532" s="10">
        <v>2.21</v>
      </c>
      <c r="O532" s="10" t="s">
        <v>4139</v>
      </c>
      <c r="P532" s="10"/>
      <c r="Q532" s="10"/>
      <c r="R532" s="10"/>
      <c r="S532" s="10"/>
      <c r="T532" s="10"/>
      <c r="U532" s="10"/>
      <c r="V532" s="10"/>
      <c r="W532" s="10"/>
      <c r="X532" s="10"/>
      <c r="Y532" s="10"/>
      <c r="Z532" s="10"/>
    </row>
    <row r="533" spans="1:26" ht="15">
      <c r="A533" s="9">
        <v>257</v>
      </c>
      <c r="B533" s="10" t="str">
        <f ca="1">IFERROR(__xludf.DUMMYFUNCTION((TRANSPOSE(ImportHTML("http://spending.data.al/sq/moneypower/view/id/257/year/2013",  "table", 0)))),"*Kategoria*")</f>
        <v>*Kategoria*</v>
      </c>
      <c r="C533" s="10" t="s">
        <v>673</v>
      </c>
      <c r="D533" s="10" t="s">
        <v>674</v>
      </c>
      <c r="E533" s="10" t="s">
        <v>675</v>
      </c>
      <c r="F533" s="10" t="s">
        <v>676</v>
      </c>
      <c r="G533" s="10" t="s">
        <v>677</v>
      </c>
      <c r="H533" s="10" t="s">
        <v>678</v>
      </c>
      <c r="I533" s="10" t="s">
        <v>679</v>
      </c>
      <c r="J533" s="10" t="s">
        <v>680</v>
      </c>
      <c r="K533" s="10" t="s">
        <v>681</v>
      </c>
      <c r="L533" s="10" t="s">
        <v>682</v>
      </c>
      <c r="M533" s="10" t="s">
        <v>683</v>
      </c>
      <c r="N533" s="10" t="s">
        <v>684</v>
      </c>
      <c r="O533" s="10" t="s">
        <v>685</v>
      </c>
      <c r="P533" s="10"/>
      <c r="Q533" s="10"/>
      <c r="R533" s="10"/>
      <c r="S533" s="10"/>
      <c r="T533" s="10"/>
      <c r="U533" s="10"/>
      <c r="V533" s="10"/>
      <c r="W533" s="10"/>
      <c r="X533" s="10"/>
      <c r="Y533" s="10"/>
      <c r="Z533" s="10"/>
    </row>
    <row r="534" spans="1:26" ht="15">
      <c r="A534" s="11"/>
      <c r="B534" s="10" t="s">
        <v>686</v>
      </c>
      <c r="C534" s="10" t="s">
        <v>4140</v>
      </c>
      <c r="D534" s="10" t="s">
        <v>688</v>
      </c>
      <c r="E534" s="10" t="s">
        <v>688</v>
      </c>
      <c r="F534" s="10" t="s">
        <v>688</v>
      </c>
      <c r="G534" s="10" t="s">
        <v>688</v>
      </c>
      <c r="H534" s="10" t="s">
        <v>688</v>
      </c>
      <c r="I534" s="10" t="s">
        <v>688</v>
      </c>
      <c r="J534" s="10" t="s">
        <v>688</v>
      </c>
      <c r="K534" s="10" t="s">
        <v>688</v>
      </c>
      <c r="L534" s="10" t="s">
        <v>688</v>
      </c>
      <c r="M534" s="10" t="s">
        <v>4141</v>
      </c>
      <c r="N534" s="10">
        <v>1.46</v>
      </c>
      <c r="O534" s="10" t="s">
        <v>4142</v>
      </c>
      <c r="P534" s="10"/>
      <c r="Q534" s="10"/>
      <c r="R534" s="10"/>
      <c r="S534" s="10"/>
      <c r="T534" s="10"/>
      <c r="U534" s="10"/>
      <c r="V534" s="10"/>
      <c r="W534" s="10"/>
      <c r="X534" s="10"/>
      <c r="Y534" s="10"/>
      <c r="Z534" s="10"/>
    </row>
    <row r="535" spans="1:26" ht="15">
      <c r="A535" s="9">
        <v>258</v>
      </c>
      <c r="B535" s="10" t="str">
        <f ca="1">IFERROR(__xludf.DUMMYFUNCTION((TRANSPOSE(ImportHTML("http://spending.data.al/sq/moneypower/view/id/258/year/2013",  "table", 0)))),"*Kategoria*")</f>
        <v>*Kategoria*</v>
      </c>
      <c r="C535" s="10" t="s">
        <v>673</v>
      </c>
      <c r="D535" s="10" t="s">
        <v>674</v>
      </c>
      <c r="E535" s="10" t="s">
        <v>675</v>
      </c>
      <c r="F535" s="10" t="s">
        <v>676</v>
      </c>
      <c r="G535" s="10" t="s">
        <v>677</v>
      </c>
      <c r="H535" s="10" t="s">
        <v>678</v>
      </c>
      <c r="I535" s="10" t="s">
        <v>679</v>
      </c>
      <c r="J535" s="10" t="s">
        <v>680</v>
      </c>
      <c r="K535" s="10" t="s">
        <v>681</v>
      </c>
      <c r="L535" s="10" t="s">
        <v>682</v>
      </c>
      <c r="M535" s="10" t="s">
        <v>683</v>
      </c>
      <c r="N535" s="10" t="s">
        <v>684</v>
      </c>
      <c r="O535" s="10" t="s">
        <v>685</v>
      </c>
      <c r="P535" s="10"/>
      <c r="Q535" s="10"/>
      <c r="R535" s="10"/>
      <c r="S535" s="10"/>
      <c r="T535" s="10"/>
      <c r="U535" s="10"/>
      <c r="V535" s="10"/>
      <c r="W535" s="10"/>
      <c r="X535" s="10"/>
      <c r="Y535" s="10"/>
      <c r="Z535" s="10"/>
    </row>
    <row r="536" spans="1:26" ht="15">
      <c r="A536" s="11"/>
      <c r="B536" s="10" t="s">
        <v>686</v>
      </c>
      <c r="C536" s="10" t="s">
        <v>3572</v>
      </c>
      <c r="D536" s="10" t="s">
        <v>688</v>
      </c>
      <c r="E536" s="10" t="s">
        <v>688</v>
      </c>
      <c r="F536" s="10" t="s">
        <v>688</v>
      </c>
      <c r="G536" s="10" t="s">
        <v>688</v>
      </c>
      <c r="H536" s="10" t="s">
        <v>688</v>
      </c>
      <c r="I536" s="10" t="s">
        <v>688</v>
      </c>
      <c r="J536" s="10" t="s">
        <v>688</v>
      </c>
      <c r="K536" s="10" t="s">
        <v>688</v>
      </c>
      <c r="L536" s="10" t="s">
        <v>4143</v>
      </c>
      <c r="M536" s="10" t="s">
        <v>688</v>
      </c>
      <c r="N536" s="10">
        <v>1</v>
      </c>
      <c r="O536" s="10" t="s">
        <v>4144</v>
      </c>
      <c r="P536" s="10"/>
      <c r="Q536" s="10"/>
      <c r="R536" s="10"/>
      <c r="S536" s="10"/>
      <c r="T536" s="10"/>
      <c r="U536" s="10"/>
      <c r="V536" s="10"/>
      <c r="W536" s="10"/>
      <c r="X536" s="10"/>
      <c r="Y536" s="10"/>
      <c r="Z536" s="10"/>
    </row>
    <row r="537" spans="1:26" ht="15">
      <c r="A537" s="9">
        <v>259</v>
      </c>
      <c r="B537" s="10" t="str">
        <f ca="1">IFERROR(__xludf.DUMMYFUNCTION((TRANSPOSE(ImportHTML("http://spending.data.al/sq/moneypower/view/id/259/year/2013",  "table", 0)))),"*Emër Subjekti*")</f>
        <v>*Emër Subjekti*</v>
      </c>
      <c r="C537" s="10" t="s">
        <v>698</v>
      </c>
      <c r="D537" s="10" t="s">
        <v>699</v>
      </c>
      <c r="E537" s="10" t="s">
        <v>700</v>
      </c>
      <c r="F537" s="10" t="s">
        <v>701</v>
      </c>
      <c r="G537" s="10" t="s">
        <v>702</v>
      </c>
      <c r="H537" s="10"/>
      <c r="I537" s="10"/>
      <c r="J537" s="10"/>
      <c r="K537" s="10"/>
      <c r="L537" s="10"/>
      <c r="M537" s="10"/>
      <c r="N537" s="10"/>
      <c r="O537" s="10"/>
      <c r="P537" s="10"/>
      <c r="Q537" s="10"/>
      <c r="R537" s="10"/>
      <c r="S537" s="10"/>
      <c r="T537" s="10"/>
      <c r="U537" s="10"/>
      <c r="V537" s="10"/>
      <c r="W537" s="10"/>
      <c r="X537" s="10"/>
      <c r="Y537" s="10"/>
      <c r="Z537" s="10"/>
    </row>
    <row r="538" spans="1:26" ht="15">
      <c r="A538" s="11"/>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c r="A539" s="11"/>
      <c r="B539" s="10" t="s">
        <v>4418</v>
      </c>
      <c r="C539" s="10" t="s">
        <v>711</v>
      </c>
      <c r="D539" s="10" t="s">
        <v>2509</v>
      </c>
      <c r="E539" s="10" t="s">
        <v>2191</v>
      </c>
      <c r="F539" s="10" t="s">
        <v>4419</v>
      </c>
      <c r="G539" s="10" t="s">
        <v>707</v>
      </c>
      <c r="H539" s="10"/>
      <c r="I539" s="10"/>
      <c r="J539" s="10"/>
      <c r="K539" s="10"/>
      <c r="L539" s="10"/>
      <c r="M539" s="10"/>
      <c r="N539" s="10"/>
      <c r="O539" s="10"/>
      <c r="P539" s="10"/>
      <c r="Q539" s="10"/>
      <c r="R539" s="10"/>
      <c r="S539" s="10"/>
      <c r="T539" s="10"/>
      <c r="U539" s="10"/>
      <c r="V539" s="10"/>
      <c r="W539" s="10"/>
      <c r="X539" s="10"/>
      <c r="Y539" s="10"/>
      <c r="Z539" s="10"/>
    </row>
    <row r="540" spans="1:26" ht="15">
      <c r="A540" s="9">
        <v>260</v>
      </c>
      <c r="B540" s="10" t="str">
        <f ca="1">IFERROR(__xludf.DUMMYFUNCTION((TRANSPOSE(ImportHTML("http://spending.data.al/sq/moneypower/view/id/260/year/2013",  "table", 0)))),"")</f>
        <v/>
      </c>
      <c r="C540" s="10" t="s">
        <v>673</v>
      </c>
      <c r="D540" s="10" t="s">
        <v>674</v>
      </c>
      <c r="E540" s="10" t="s">
        <v>675</v>
      </c>
      <c r="F540" s="10" t="s">
        <v>676</v>
      </c>
      <c r="G540" s="10" t="s">
        <v>677</v>
      </c>
      <c r="H540" s="10" t="s">
        <v>678</v>
      </c>
      <c r="I540" s="10" t="s">
        <v>679</v>
      </c>
      <c r="J540" s="10" t="s">
        <v>680</v>
      </c>
      <c r="K540" s="10" t="s">
        <v>681</v>
      </c>
      <c r="L540" s="10" t="s">
        <v>682</v>
      </c>
      <c r="M540" s="10" t="s">
        <v>683</v>
      </c>
      <c r="N540" s="10" t="s">
        <v>684</v>
      </c>
      <c r="O540" s="10" t="s">
        <v>685</v>
      </c>
      <c r="P540" s="10"/>
      <c r="Q540" s="10"/>
      <c r="R540" s="10"/>
      <c r="S540" s="10"/>
      <c r="T540" s="10"/>
      <c r="U540" s="10"/>
      <c r="V540" s="10"/>
      <c r="W540" s="10"/>
      <c r="X540" s="10"/>
      <c r="Y540" s="10"/>
      <c r="Z540" s="10"/>
    </row>
    <row r="541" spans="1:26" ht="15">
      <c r="A541" s="11"/>
      <c r="B541" s="10" t="s">
        <v>686</v>
      </c>
      <c r="C541" s="10" t="s">
        <v>4145</v>
      </c>
      <c r="D541" s="10" t="s">
        <v>688</v>
      </c>
      <c r="E541" s="10" t="s">
        <v>688</v>
      </c>
      <c r="F541" s="10" t="s">
        <v>688</v>
      </c>
      <c r="G541" s="10" t="s">
        <v>688</v>
      </c>
      <c r="H541" s="10" t="s">
        <v>688</v>
      </c>
      <c r="I541" s="10" t="s">
        <v>688</v>
      </c>
      <c r="J541" s="10" t="s">
        <v>688</v>
      </c>
      <c r="K541" s="10" t="s">
        <v>688</v>
      </c>
      <c r="L541" s="10" t="s">
        <v>4146</v>
      </c>
      <c r="M541" s="10" t="s">
        <v>688</v>
      </c>
      <c r="N541" s="10">
        <v>1.05</v>
      </c>
      <c r="O541" s="10" t="s">
        <v>4147</v>
      </c>
      <c r="P541" s="10"/>
      <c r="Q541" s="10"/>
      <c r="R541" s="10"/>
      <c r="S541" s="10"/>
      <c r="T541" s="10"/>
      <c r="U541" s="10"/>
      <c r="V541" s="10"/>
      <c r="W541" s="10"/>
      <c r="X541" s="10"/>
      <c r="Y541" s="10"/>
      <c r="Z541" s="10"/>
    </row>
    <row r="542" spans="1:26" ht="15">
      <c r="A542" s="9">
        <v>261</v>
      </c>
      <c r="B542" s="10" t="str">
        <f ca="1">IFERROR(__xludf.DUMMYFUNCTION((TRANSPOSE(ImportHTML("http://spending.data.al/sq/moneypower/view/id/261/year/2013",  "table", 0)))),"*Kategoria*")</f>
        <v>*Kategoria*</v>
      </c>
      <c r="C542" s="10" t="s">
        <v>673</v>
      </c>
      <c r="D542" s="10" t="s">
        <v>674</v>
      </c>
      <c r="E542" s="10" t="s">
        <v>675</v>
      </c>
      <c r="F542" s="10" t="s">
        <v>676</v>
      </c>
      <c r="G542" s="10" t="s">
        <v>677</v>
      </c>
      <c r="H542" s="10" t="s">
        <v>678</v>
      </c>
      <c r="I542" s="10" t="s">
        <v>679</v>
      </c>
      <c r="J542" s="10" t="s">
        <v>680</v>
      </c>
      <c r="K542" s="10" t="s">
        <v>681</v>
      </c>
      <c r="L542" s="10" t="s">
        <v>682</v>
      </c>
      <c r="M542" s="10" t="s">
        <v>683</v>
      </c>
      <c r="N542" s="10" t="s">
        <v>684</v>
      </c>
      <c r="O542" s="10" t="s">
        <v>685</v>
      </c>
      <c r="P542" s="10"/>
      <c r="Q542" s="10"/>
      <c r="R542" s="10"/>
      <c r="S542" s="10"/>
      <c r="T542" s="10"/>
      <c r="U542" s="10"/>
      <c r="V542" s="10"/>
      <c r="W542" s="10"/>
      <c r="X542" s="10"/>
      <c r="Y542" s="10"/>
      <c r="Z542" s="10"/>
    </row>
    <row r="543" spans="1:26" ht="15">
      <c r="A543" s="11"/>
      <c r="B543" s="10" t="s">
        <v>686</v>
      </c>
      <c r="C543" s="10" t="s">
        <v>4148</v>
      </c>
      <c r="D543" s="10" t="s">
        <v>688</v>
      </c>
      <c r="E543" s="10" t="s">
        <v>688</v>
      </c>
      <c r="F543" s="10" t="s">
        <v>688</v>
      </c>
      <c r="G543" s="10" t="s">
        <v>4149</v>
      </c>
      <c r="H543" s="10" t="s">
        <v>688</v>
      </c>
      <c r="I543" s="10" t="s">
        <v>688</v>
      </c>
      <c r="J543" s="10" t="s">
        <v>688</v>
      </c>
      <c r="K543" s="10" t="s">
        <v>688</v>
      </c>
      <c r="L543" s="10" t="s">
        <v>688</v>
      </c>
      <c r="M543" s="10" t="s">
        <v>688</v>
      </c>
      <c r="N543" s="10">
        <v>1.32</v>
      </c>
      <c r="O543" s="10" t="s">
        <v>688</v>
      </c>
      <c r="P543" s="10"/>
      <c r="Q543" s="10"/>
      <c r="R543" s="10"/>
      <c r="S543" s="10"/>
      <c r="T543" s="10"/>
      <c r="U543" s="10"/>
      <c r="V543" s="10"/>
      <c r="W543" s="10"/>
      <c r="X543" s="10"/>
      <c r="Y543" s="10"/>
      <c r="Z543" s="10"/>
    </row>
    <row r="544" spans="1:26" ht="15">
      <c r="A544" s="9">
        <v>262</v>
      </c>
      <c r="B544" s="10" t="str">
        <f ca="1">IFERROR(__xludf.DUMMYFUNCTION((TRANSPOSE(ImportHTML("http://spending.data.al/sq/moneypower/view/id/262/year/2013",  "table", 0)))),"*Kategoria*")</f>
        <v>*Kategoria*</v>
      </c>
      <c r="C544" s="10" t="s">
        <v>673</v>
      </c>
      <c r="D544" s="10" t="s">
        <v>674</v>
      </c>
      <c r="E544" s="10" t="s">
        <v>675</v>
      </c>
      <c r="F544" s="10" t="s">
        <v>676</v>
      </c>
      <c r="G544" s="10" t="s">
        <v>677</v>
      </c>
      <c r="H544" s="10" t="s">
        <v>678</v>
      </c>
      <c r="I544" s="10" t="s">
        <v>679</v>
      </c>
      <c r="J544" s="10" t="s">
        <v>680</v>
      </c>
      <c r="K544" s="10" t="s">
        <v>681</v>
      </c>
      <c r="L544" s="10" t="s">
        <v>682</v>
      </c>
      <c r="M544" s="10" t="s">
        <v>683</v>
      </c>
      <c r="N544" s="10" t="s">
        <v>684</v>
      </c>
      <c r="O544" s="10" t="s">
        <v>685</v>
      </c>
      <c r="P544" s="10"/>
      <c r="Q544" s="10"/>
      <c r="R544" s="10"/>
      <c r="S544" s="10"/>
      <c r="T544" s="10"/>
      <c r="U544" s="10"/>
      <c r="V544" s="10"/>
      <c r="W544" s="10"/>
      <c r="X544" s="10"/>
      <c r="Y544" s="10"/>
      <c r="Z544" s="10"/>
    </row>
    <row r="545" spans="1:26" ht="15">
      <c r="A545" s="11"/>
      <c r="B545" s="10" t="s">
        <v>686</v>
      </c>
      <c r="C545" s="10" t="s">
        <v>4150</v>
      </c>
      <c r="D545" s="10" t="s">
        <v>688</v>
      </c>
      <c r="E545" s="10" t="s">
        <v>688</v>
      </c>
      <c r="F545" s="10" t="s">
        <v>688</v>
      </c>
      <c r="G545" s="10" t="s">
        <v>4151</v>
      </c>
      <c r="H545" s="10" t="s">
        <v>688</v>
      </c>
      <c r="I545" s="10" t="s">
        <v>688</v>
      </c>
      <c r="J545" s="10" t="s">
        <v>688</v>
      </c>
      <c r="K545" s="10" t="s">
        <v>688</v>
      </c>
      <c r="L545" s="10" t="s">
        <v>4152</v>
      </c>
      <c r="M545" s="10" t="s">
        <v>688</v>
      </c>
      <c r="N545" s="10">
        <v>1.38</v>
      </c>
      <c r="O545" s="10" t="s">
        <v>4153</v>
      </c>
      <c r="P545" s="10"/>
      <c r="Q545" s="10"/>
      <c r="R545" s="10"/>
      <c r="S545" s="10"/>
      <c r="T545" s="10"/>
      <c r="U545" s="10"/>
      <c r="V545" s="10"/>
      <c r="W545" s="10"/>
      <c r="X545" s="10"/>
      <c r="Y545" s="10"/>
      <c r="Z545" s="10"/>
    </row>
    <row r="546" spans="1:26" ht="15">
      <c r="A546" s="9">
        <v>263</v>
      </c>
      <c r="B546" s="10" t="str">
        <f ca="1">IFERROR(__xludf.DUMMYFUNCTION((TRANSPOSE(ImportHTML("http://spending.data.al/sq/moneypower/view/id/263/year/2013",  "table", 0)))),"*Kategoria*")</f>
        <v>*Kategoria*</v>
      </c>
      <c r="C546" s="10" t="s">
        <v>673</v>
      </c>
      <c r="D546" s="10" t="s">
        <v>674</v>
      </c>
      <c r="E546" s="10" t="s">
        <v>675</v>
      </c>
      <c r="F546" s="10" t="s">
        <v>676</v>
      </c>
      <c r="G546" s="10" t="s">
        <v>677</v>
      </c>
      <c r="H546" s="10" t="s">
        <v>678</v>
      </c>
      <c r="I546" s="10" t="s">
        <v>679</v>
      </c>
      <c r="J546" s="10" t="s">
        <v>680</v>
      </c>
      <c r="K546" s="10" t="s">
        <v>681</v>
      </c>
      <c r="L546" s="10" t="s">
        <v>682</v>
      </c>
      <c r="M546" s="10" t="s">
        <v>683</v>
      </c>
      <c r="N546" s="10" t="s">
        <v>684</v>
      </c>
      <c r="O546" s="10" t="s">
        <v>685</v>
      </c>
      <c r="P546" s="10"/>
      <c r="Q546" s="10"/>
      <c r="R546" s="10"/>
      <c r="S546" s="10"/>
      <c r="T546" s="10"/>
      <c r="U546" s="10"/>
      <c r="V546" s="10"/>
      <c r="W546" s="10"/>
      <c r="X546" s="10"/>
      <c r="Y546" s="10"/>
      <c r="Z546" s="10"/>
    </row>
    <row r="547" spans="1:26" ht="15">
      <c r="A547" s="11"/>
      <c r="B547" s="10" t="s">
        <v>686</v>
      </c>
      <c r="C547" s="10" t="s">
        <v>4154</v>
      </c>
      <c r="D547" s="10" t="s">
        <v>688</v>
      </c>
      <c r="E547" s="10" t="s">
        <v>688</v>
      </c>
      <c r="F547" s="10" t="s">
        <v>688</v>
      </c>
      <c r="G547" s="10" t="s">
        <v>688</v>
      </c>
      <c r="H547" s="10" t="s">
        <v>688</v>
      </c>
      <c r="I547" s="10" t="s">
        <v>688</v>
      </c>
      <c r="J547" s="10" t="s">
        <v>688</v>
      </c>
      <c r="K547" s="10" t="s">
        <v>688</v>
      </c>
      <c r="L547" s="10" t="s">
        <v>4155</v>
      </c>
      <c r="M547" s="10" t="s">
        <v>688</v>
      </c>
      <c r="N547" s="10">
        <v>1</v>
      </c>
      <c r="O547" s="10" t="s">
        <v>688</v>
      </c>
      <c r="P547" s="10"/>
      <c r="Q547" s="10"/>
      <c r="R547" s="10"/>
      <c r="S547" s="10"/>
      <c r="T547" s="10"/>
      <c r="U547" s="10"/>
      <c r="V547" s="10"/>
      <c r="W547" s="10"/>
      <c r="X547" s="10"/>
      <c r="Y547" s="10"/>
      <c r="Z547" s="10"/>
    </row>
    <row r="548" spans="1:26" ht="15">
      <c r="A548" s="9">
        <v>264</v>
      </c>
      <c r="B548" s="10" t="str">
        <f ca="1">IFERROR(__xludf.DUMMYFUNCTION((TRANSPOSE(ImportHTML("http://spending.data.al/sq/moneypower/view/id/264/year/2013",  "table", 0)))),"*Kategoria*")</f>
        <v>*Kategoria*</v>
      </c>
      <c r="C548" s="10" t="s">
        <v>673</v>
      </c>
      <c r="D548" s="10" t="s">
        <v>674</v>
      </c>
      <c r="E548" s="10" t="s">
        <v>675</v>
      </c>
      <c r="F548" s="10" t="s">
        <v>676</v>
      </c>
      <c r="G548" s="10" t="s">
        <v>677</v>
      </c>
      <c r="H548" s="10" t="s">
        <v>678</v>
      </c>
      <c r="I548" s="10" t="s">
        <v>679</v>
      </c>
      <c r="J548" s="10" t="s">
        <v>680</v>
      </c>
      <c r="K548" s="10" t="s">
        <v>681</v>
      </c>
      <c r="L548" s="10" t="s">
        <v>682</v>
      </c>
      <c r="M548" s="10" t="s">
        <v>683</v>
      </c>
      <c r="N548" s="10" t="s">
        <v>684</v>
      </c>
      <c r="O548" s="10" t="s">
        <v>685</v>
      </c>
      <c r="P548" s="10"/>
      <c r="Q548" s="10"/>
      <c r="R548" s="10"/>
      <c r="S548" s="10"/>
      <c r="T548" s="10"/>
      <c r="U548" s="10"/>
      <c r="V548" s="10"/>
      <c r="W548" s="10"/>
      <c r="X548" s="10"/>
      <c r="Y548" s="10"/>
      <c r="Z548" s="10"/>
    </row>
    <row r="549" spans="1:26" ht="15">
      <c r="A549" s="11"/>
      <c r="B549" s="10" t="s">
        <v>686</v>
      </c>
      <c r="C549" s="10" t="s">
        <v>4156</v>
      </c>
      <c r="D549" s="10" t="s">
        <v>688</v>
      </c>
      <c r="E549" s="10" t="s">
        <v>688</v>
      </c>
      <c r="F549" s="10" t="s">
        <v>688</v>
      </c>
      <c r="G549" s="10" t="s">
        <v>688</v>
      </c>
      <c r="H549" s="10" t="s">
        <v>688</v>
      </c>
      <c r="I549" s="10" t="s">
        <v>688</v>
      </c>
      <c r="J549" s="10" t="s">
        <v>688</v>
      </c>
      <c r="K549" s="10" t="s">
        <v>688</v>
      </c>
      <c r="L549" s="10" t="s">
        <v>4157</v>
      </c>
      <c r="M549" s="10" t="s">
        <v>688</v>
      </c>
      <c r="N549" s="10">
        <v>1</v>
      </c>
      <c r="O549" s="10" t="s">
        <v>4158</v>
      </c>
      <c r="P549" s="10"/>
      <c r="Q549" s="10"/>
      <c r="R549" s="10"/>
      <c r="S549" s="10"/>
      <c r="T549" s="10"/>
      <c r="U549" s="10"/>
      <c r="V549" s="10"/>
      <c r="W549" s="10"/>
      <c r="X549" s="10"/>
      <c r="Y549" s="10"/>
      <c r="Z549" s="10"/>
    </row>
    <row r="550" spans="1:26" ht="15">
      <c r="A550" s="9">
        <v>265</v>
      </c>
      <c r="B550" s="10" t="str">
        <f ca="1">IFERROR(__xludf.DUMMYFUNCTION((TRANSPOSE(ImportHTML("http://spending.data.al/sq/moneypower/view/id/265/year/2013",  "table", 0)))),"Loading...")</f>
        <v>Loading...</v>
      </c>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c r="A551" s="11"/>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c r="A552" s="11"/>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c r="A553" s="9">
        <v>266</v>
      </c>
      <c r="B553" s="10" t="str">
        <f ca="1">IFERROR(__xludf.DUMMYFUNCTION((TRANSPOSE(ImportHTML("http://spending.data.al/sq/moneypower/view/id/266/year/2013",  "table", 0)))),"Loading...")</f>
        <v>Loading...</v>
      </c>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c r="A554" s="11"/>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c r="A555" s="9">
        <v>267</v>
      </c>
      <c r="B555" s="10" t="str">
        <f ca="1">IFERROR(__xludf.DUMMYFUNCTION((TRANSPOSE(ImportHTML("http://spending.data.al/sq/moneypower/view/id/267/year/2013",  "table", 0)))),"*Kategoria*")</f>
        <v>*Kategoria*</v>
      </c>
      <c r="C555" s="10" t="s">
        <v>673</v>
      </c>
      <c r="D555" s="10" t="s">
        <v>674</v>
      </c>
      <c r="E555" s="10" t="s">
        <v>675</v>
      </c>
      <c r="F555" s="10" t="s">
        <v>676</v>
      </c>
      <c r="G555" s="10" t="s">
        <v>677</v>
      </c>
      <c r="H555" s="10" t="s">
        <v>678</v>
      </c>
      <c r="I555" s="10" t="s">
        <v>679</v>
      </c>
      <c r="J555" s="10" t="s">
        <v>680</v>
      </c>
      <c r="K555" s="10" t="s">
        <v>681</v>
      </c>
      <c r="L555" s="10" t="s">
        <v>682</v>
      </c>
      <c r="M555" s="10" t="s">
        <v>683</v>
      </c>
      <c r="N555" s="10" t="s">
        <v>684</v>
      </c>
      <c r="O555" s="10" t="s">
        <v>685</v>
      </c>
      <c r="P555" s="10"/>
      <c r="Q555" s="10"/>
      <c r="R555" s="10"/>
      <c r="S555" s="10"/>
      <c r="T555" s="10"/>
      <c r="U555" s="10"/>
      <c r="V555" s="10"/>
      <c r="W555" s="10"/>
      <c r="X555" s="10"/>
      <c r="Y555" s="10"/>
      <c r="Z555" s="10"/>
    </row>
    <row r="556" spans="1:26" ht="15">
      <c r="A556" s="11"/>
      <c r="B556" s="10" t="s">
        <v>686</v>
      </c>
      <c r="C556" s="10" t="s">
        <v>4159</v>
      </c>
      <c r="D556" s="10" t="s">
        <v>688</v>
      </c>
      <c r="E556" s="10" t="s">
        <v>688</v>
      </c>
      <c r="F556" s="10" t="s">
        <v>688</v>
      </c>
      <c r="G556" s="10" t="s">
        <v>688</v>
      </c>
      <c r="H556" s="10" t="s">
        <v>688</v>
      </c>
      <c r="I556" s="10" t="s">
        <v>688</v>
      </c>
      <c r="J556" s="10" t="s">
        <v>688</v>
      </c>
      <c r="K556" s="10" t="s">
        <v>688</v>
      </c>
      <c r="L556" s="10" t="s">
        <v>688</v>
      </c>
      <c r="M556" s="10" t="s">
        <v>688</v>
      </c>
      <c r="N556" s="10">
        <v>1</v>
      </c>
      <c r="O556" s="10" t="s">
        <v>688</v>
      </c>
      <c r="P556" s="10"/>
      <c r="Q556" s="10"/>
      <c r="R556" s="10"/>
      <c r="S556" s="10"/>
      <c r="T556" s="10"/>
      <c r="U556" s="10"/>
      <c r="V556" s="10"/>
      <c r="W556" s="10"/>
      <c r="X556" s="10"/>
      <c r="Y556" s="10"/>
      <c r="Z556" s="10"/>
    </row>
    <row r="557" spans="1:26" ht="15">
      <c r="A557" s="9">
        <v>268</v>
      </c>
      <c r="B557" s="10" t="str">
        <f ca="1">IFERROR(__xludf.DUMMYFUNCTION((TRANSPOSE(ImportHTML("http://spending.data.al/sq/moneypower/view/id/268/year/2013",  "table", 0)))),"*Kategoria*")</f>
        <v>*Kategoria*</v>
      </c>
      <c r="C557" s="10" t="s">
        <v>673</v>
      </c>
      <c r="D557" s="10" t="s">
        <v>674</v>
      </c>
      <c r="E557" s="10" t="s">
        <v>675</v>
      </c>
      <c r="F557" s="10" t="s">
        <v>676</v>
      </c>
      <c r="G557" s="10" t="s">
        <v>677</v>
      </c>
      <c r="H557" s="10" t="s">
        <v>678</v>
      </c>
      <c r="I557" s="10" t="s">
        <v>679</v>
      </c>
      <c r="J557" s="10" t="s">
        <v>680</v>
      </c>
      <c r="K557" s="10" t="s">
        <v>681</v>
      </c>
      <c r="L557" s="10" t="s">
        <v>682</v>
      </c>
      <c r="M557" s="10" t="s">
        <v>683</v>
      </c>
      <c r="N557" s="10" t="s">
        <v>684</v>
      </c>
      <c r="O557" s="10" t="s">
        <v>685</v>
      </c>
      <c r="P557" s="10"/>
      <c r="Q557" s="10"/>
      <c r="R557" s="10"/>
      <c r="S557" s="10"/>
      <c r="T557" s="10"/>
      <c r="U557" s="10"/>
      <c r="V557" s="10"/>
      <c r="W557" s="10"/>
      <c r="X557" s="10"/>
      <c r="Y557" s="10"/>
      <c r="Z557" s="10"/>
    </row>
    <row r="558" spans="1:26" ht="15">
      <c r="A558" s="11"/>
      <c r="B558" s="10" t="s">
        <v>686</v>
      </c>
      <c r="C558" s="10" t="s">
        <v>4160</v>
      </c>
      <c r="D558" s="10" t="s">
        <v>688</v>
      </c>
      <c r="E558" s="10" t="s">
        <v>688</v>
      </c>
      <c r="F558" s="10" t="s">
        <v>688</v>
      </c>
      <c r="G558" s="10" t="s">
        <v>688</v>
      </c>
      <c r="H558" s="10" t="s">
        <v>688</v>
      </c>
      <c r="I558" s="10" t="s">
        <v>688</v>
      </c>
      <c r="J558" s="10" t="s">
        <v>688</v>
      </c>
      <c r="K558" s="10" t="s">
        <v>688</v>
      </c>
      <c r="L558" s="10" t="s">
        <v>688</v>
      </c>
      <c r="M558" s="10" t="s">
        <v>688</v>
      </c>
      <c r="N558" s="10">
        <v>1</v>
      </c>
      <c r="O558" s="10" t="s">
        <v>688</v>
      </c>
      <c r="P558" s="10"/>
      <c r="Q558" s="10"/>
      <c r="R558" s="10"/>
      <c r="S558" s="10"/>
      <c r="T558" s="10"/>
      <c r="U558" s="10"/>
      <c r="V558" s="10"/>
      <c r="W558" s="10"/>
      <c r="X558" s="10"/>
      <c r="Y558" s="10"/>
      <c r="Z558" s="10"/>
    </row>
    <row r="559" spans="1:26" ht="15">
      <c r="A559" s="9">
        <v>269</v>
      </c>
      <c r="B559" s="10" t="str">
        <f ca="1">IFERROR(__xludf.DUMMYFUNCTION((TRANSPOSE(ImportHTML("http://spending.data.al/sq/moneypower/view/id/269/year/2013",  "table", 0)))),"*Kategoria*")</f>
        <v>*Kategoria*</v>
      </c>
      <c r="C559" s="10" t="s">
        <v>673</v>
      </c>
      <c r="D559" s="10" t="s">
        <v>674</v>
      </c>
      <c r="E559" s="10" t="s">
        <v>675</v>
      </c>
      <c r="F559" s="10" t="s">
        <v>676</v>
      </c>
      <c r="G559" s="10" t="s">
        <v>677</v>
      </c>
      <c r="H559" s="10" t="s">
        <v>678</v>
      </c>
      <c r="I559" s="10" t="s">
        <v>679</v>
      </c>
      <c r="J559" s="10" t="s">
        <v>680</v>
      </c>
      <c r="K559" s="10" t="s">
        <v>681</v>
      </c>
      <c r="L559" s="10" t="s">
        <v>682</v>
      </c>
      <c r="M559" s="10" t="s">
        <v>683</v>
      </c>
      <c r="N559" s="10" t="s">
        <v>684</v>
      </c>
      <c r="O559" s="10" t="s">
        <v>685</v>
      </c>
      <c r="P559" s="10"/>
      <c r="Q559" s="10"/>
      <c r="R559" s="10"/>
      <c r="S559" s="10"/>
      <c r="T559" s="10"/>
      <c r="U559" s="10"/>
      <c r="V559" s="10"/>
      <c r="W559" s="10"/>
      <c r="X559" s="10"/>
      <c r="Y559" s="10"/>
      <c r="Z559" s="10"/>
    </row>
    <row r="560" spans="1:26" ht="15">
      <c r="A560" s="11"/>
      <c r="B560" s="10" t="s">
        <v>686</v>
      </c>
      <c r="C560" s="10" t="s">
        <v>688</v>
      </c>
      <c r="D560" s="10" t="s">
        <v>688</v>
      </c>
      <c r="E560" s="10" t="s">
        <v>688</v>
      </c>
      <c r="F560" s="10" t="s">
        <v>688</v>
      </c>
      <c r="G560" s="10" t="s">
        <v>688</v>
      </c>
      <c r="H560" s="10" t="s">
        <v>688</v>
      </c>
      <c r="I560" s="10" t="s">
        <v>688</v>
      </c>
      <c r="J560" s="10" t="s">
        <v>688</v>
      </c>
      <c r="K560" s="10" t="s">
        <v>688</v>
      </c>
      <c r="L560" s="10" t="s">
        <v>4161</v>
      </c>
      <c r="M560" s="10" t="s">
        <v>688</v>
      </c>
      <c r="N560" s="10" t="s">
        <v>707</v>
      </c>
      <c r="O560" s="10" t="s">
        <v>688</v>
      </c>
      <c r="P560" s="10"/>
      <c r="Q560" s="10"/>
      <c r="R560" s="10"/>
      <c r="S560" s="10"/>
      <c r="T560" s="10"/>
      <c r="U560" s="10"/>
      <c r="V560" s="10"/>
      <c r="W560" s="10"/>
      <c r="X560" s="10"/>
      <c r="Y560" s="10"/>
      <c r="Z560" s="10"/>
    </row>
    <row r="561" spans="1:26" ht="15">
      <c r="A561" s="9">
        <v>270</v>
      </c>
      <c r="B561" s="10" t="str">
        <f ca="1">IFERROR(__xludf.DUMMYFUNCTION((TRANSPOSE(ImportHTML("http://spending.data.al/sq/moneypower/view/id/270/year/2013",  "table", 0)))),"*Kategoria*")</f>
        <v>*Kategoria*</v>
      </c>
      <c r="C561" s="10" t="s">
        <v>673</v>
      </c>
      <c r="D561" s="10" t="s">
        <v>674</v>
      </c>
      <c r="E561" s="10" t="s">
        <v>675</v>
      </c>
      <c r="F561" s="10" t="s">
        <v>676</v>
      </c>
      <c r="G561" s="10" t="s">
        <v>677</v>
      </c>
      <c r="H561" s="10" t="s">
        <v>678</v>
      </c>
      <c r="I561" s="10" t="s">
        <v>679</v>
      </c>
      <c r="J561" s="10" t="s">
        <v>680</v>
      </c>
      <c r="K561" s="10" t="s">
        <v>681</v>
      </c>
      <c r="L561" s="10" t="s">
        <v>682</v>
      </c>
      <c r="M561" s="10" t="s">
        <v>683</v>
      </c>
      <c r="N561" s="10" t="s">
        <v>684</v>
      </c>
      <c r="O561" s="10" t="s">
        <v>685</v>
      </c>
      <c r="P561" s="10"/>
      <c r="Q561" s="10"/>
      <c r="R561" s="10"/>
      <c r="S561" s="10"/>
      <c r="T561" s="10"/>
      <c r="U561" s="10"/>
      <c r="V561" s="10"/>
      <c r="W561" s="10"/>
      <c r="X561" s="10"/>
      <c r="Y561" s="10"/>
      <c r="Z561" s="10"/>
    </row>
    <row r="562" spans="1:26" ht="15">
      <c r="A562" s="11"/>
      <c r="B562" s="10" t="s">
        <v>686</v>
      </c>
      <c r="C562" s="10" t="s">
        <v>4162</v>
      </c>
      <c r="D562" s="10" t="s">
        <v>688</v>
      </c>
      <c r="E562" s="10" t="s">
        <v>688</v>
      </c>
      <c r="F562" s="10" t="s">
        <v>688</v>
      </c>
      <c r="G562" s="10" t="s">
        <v>688</v>
      </c>
      <c r="H562" s="10" t="s">
        <v>688</v>
      </c>
      <c r="I562" s="10" t="s">
        <v>688</v>
      </c>
      <c r="J562" s="10" t="s">
        <v>688</v>
      </c>
      <c r="K562" s="10" t="s">
        <v>688</v>
      </c>
      <c r="L562" s="10" t="s">
        <v>4163</v>
      </c>
      <c r="M562" s="10" t="s">
        <v>688</v>
      </c>
      <c r="N562" s="10">
        <v>1</v>
      </c>
      <c r="O562" s="10" t="s">
        <v>4164</v>
      </c>
      <c r="P562" s="10"/>
      <c r="Q562" s="10"/>
      <c r="R562" s="10"/>
      <c r="S562" s="10"/>
      <c r="T562" s="10"/>
      <c r="U562" s="10"/>
      <c r="V562" s="10"/>
      <c r="W562" s="10"/>
      <c r="X562" s="10"/>
      <c r="Y562" s="10"/>
      <c r="Z562" s="10"/>
    </row>
    <row r="563" spans="1:26" ht="15">
      <c r="A563" s="9">
        <v>271</v>
      </c>
      <c r="B563" s="10" t="str">
        <f ca="1">IFERROR(__xludf.DUMMYFUNCTION((TRANSPOSE(ImportHTML("http://spending.data.al/sq/moneypower/view/id/271/year/2013",  "table", 0)))),"*Kategoria*")</f>
        <v>*Kategoria*</v>
      </c>
      <c r="C563" s="10" t="s">
        <v>673</v>
      </c>
      <c r="D563" s="10" t="s">
        <v>674</v>
      </c>
      <c r="E563" s="10" t="s">
        <v>675</v>
      </c>
      <c r="F563" s="10" t="s">
        <v>676</v>
      </c>
      <c r="G563" s="10" t="s">
        <v>677</v>
      </c>
      <c r="H563" s="10" t="s">
        <v>678</v>
      </c>
      <c r="I563" s="10" t="s">
        <v>679</v>
      </c>
      <c r="J563" s="10" t="s">
        <v>680</v>
      </c>
      <c r="K563" s="10" t="s">
        <v>681</v>
      </c>
      <c r="L563" s="10" t="s">
        <v>682</v>
      </c>
      <c r="M563" s="10" t="s">
        <v>683</v>
      </c>
      <c r="N563" s="10" t="s">
        <v>684</v>
      </c>
      <c r="O563" s="10" t="s">
        <v>685</v>
      </c>
      <c r="P563" s="10"/>
      <c r="Q563" s="10"/>
      <c r="R563" s="10"/>
      <c r="S563" s="10"/>
      <c r="T563" s="10"/>
      <c r="U563" s="10"/>
      <c r="V563" s="10"/>
      <c r="W563" s="10"/>
      <c r="X563" s="10"/>
      <c r="Y563" s="10"/>
      <c r="Z563" s="10"/>
    </row>
    <row r="564" spans="1:26" ht="15">
      <c r="A564" s="11"/>
      <c r="B564" s="10" t="s">
        <v>686</v>
      </c>
      <c r="C564" s="10" t="s">
        <v>4165</v>
      </c>
      <c r="D564" s="10" t="s">
        <v>688</v>
      </c>
      <c r="E564" s="10" t="s">
        <v>688</v>
      </c>
      <c r="F564" s="10" t="s">
        <v>4166</v>
      </c>
      <c r="G564" s="10" t="s">
        <v>688</v>
      </c>
      <c r="H564" s="10" t="s">
        <v>688</v>
      </c>
      <c r="I564" s="10" t="s">
        <v>688</v>
      </c>
      <c r="J564" s="10" t="s">
        <v>4167</v>
      </c>
      <c r="K564" s="10" t="s">
        <v>688</v>
      </c>
      <c r="L564" s="10" t="s">
        <v>4168</v>
      </c>
      <c r="M564" s="10" t="s">
        <v>4169</v>
      </c>
      <c r="N564" s="10">
        <v>3.09</v>
      </c>
      <c r="O564" s="10" t="s">
        <v>688</v>
      </c>
      <c r="P564" s="10"/>
      <c r="Q564" s="10"/>
      <c r="R564" s="10"/>
      <c r="S564" s="10"/>
      <c r="T564" s="10"/>
      <c r="U564" s="10"/>
      <c r="V564" s="10"/>
      <c r="W564" s="10"/>
      <c r="X564" s="10"/>
      <c r="Y564" s="10"/>
      <c r="Z564" s="10"/>
    </row>
    <row r="565" spans="1:26" ht="15">
      <c r="A565" s="9">
        <v>272</v>
      </c>
      <c r="B565" s="10" t="str">
        <f ca="1">IFERROR(__xludf.DUMMYFUNCTION((TRANSPOSE(ImportHTML("http://spending.data.al/sq/moneypower/view/id/272/year/2013",  "table", 0)))),"*Kategoria*")</f>
        <v>*Kategoria*</v>
      </c>
      <c r="C565" s="10" t="s">
        <v>673</v>
      </c>
      <c r="D565" s="10" t="s">
        <v>674</v>
      </c>
      <c r="E565" s="10" t="s">
        <v>675</v>
      </c>
      <c r="F565" s="10" t="s">
        <v>676</v>
      </c>
      <c r="G565" s="10" t="s">
        <v>677</v>
      </c>
      <c r="H565" s="10" t="s">
        <v>678</v>
      </c>
      <c r="I565" s="10" t="s">
        <v>679</v>
      </c>
      <c r="J565" s="10" t="s">
        <v>680</v>
      </c>
      <c r="K565" s="10" t="s">
        <v>681</v>
      </c>
      <c r="L565" s="10" t="s">
        <v>682</v>
      </c>
      <c r="M565" s="10" t="s">
        <v>683</v>
      </c>
      <c r="N565" s="10" t="s">
        <v>684</v>
      </c>
      <c r="O565" s="10" t="s">
        <v>685</v>
      </c>
      <c r="P565" s="10"/>
      <c r="Q565" s="10"/>
      <c r="R565" s="10"/>
      <c r="S565" s="10"/>
      <c r="T565" s="10"/>
      <c r="U565" s="10"/>
      <c r="V565" s="10"/>
      <c r="W565" s="10"/>
      <c r="X565" s="10"/>
      <c r="Y565" s="10"/>
      <c r="Z565" s="10"/>
    </row>
    <row r="566" spans="1:26" ht="15">
      <c r="A566" s="11"/>
      <c r="B566" s="10" t="s">
        <v>686</v>
      </c>
      <c r="C566" s="10" t="s">
        <v>4170</v>
      </c>
      <c r="D566" s="10" t="s">
        <v>688</v>
      </c>
      <c r="E566" s="10" t="s">
        <v>688</v>
      </c>
      <c r="F566" s="10" t="s">
        <v>688</v>
      </c>
      <c r="G566" s="10" t="s">
        <v>688</v>
      </c>
      <c r="H566" s="10" t="s">
        <v>688</v>
      </c>
      <c r="I566" s="10" t="s">
        <v>688</v>
      </c>
      <c r="J566" s="10" t="s">
        <v>688</v>
      </c>
      <c r="K566" s="10" t="s">
        <v>688</v>
      </c>
      <c r="L566" s="10" t="s">
        <v>688</v>
      </c>
      <c r="M566" s="10" t="s">
        <v>4171</v>
      </c>
      <c r="N566" s="10">
        <v>1</v>
      </c>
      <c r="O566" s="10" t="s">
        <v>688</v>
      </c>
      <c r="P566" s="10"/>
      <c r="Q566" s="10"/>
      <c r="R566" s="10"/>
      <c r="S566" s="10"/>
      <c r="T566" s="10"/>
      <c r="U566" s="10"/>
      <c r="V566" s="10"/>
      <c r="W566" s="10"/>
      <c r="X566" s="10"/>
      <c r="Y566" s="10"/>
      <c r="Z566" s="10"/>
    </row>
    <row r="567" spans="1:26" ht="15">
      <c r="A567" s="9">
        <v>273</v>
      </c>
      <c r="B567" s="10" t="str">
        <f ca="1">IFERROR(__xludf.DUMMYFUNCTION((TRANSPOSE(ImportHTML("http://spending.data.al/sq/moneypower/view/id/273/year/2013",  "table", 0)))),"*Kategoria*")</f>
        <v>*Kategoria*</v>
      </c>
      <c r="C567" s="10" t="s">
        <v>673</v>
      </c>
      <c r="D567" s="10" t="s">
        <v>674</v>
      </c>
      <c r="E567" s="10" t="s">
        <v>675</v>
      </c>
      <c r="F567" s="10" t="s">
        <v>676</v>
      </c>
      <c r="G567" s="10" t="s">
        <v>677</v>
      </c>
      <c r="H567" s="10" t="s">
        <v>678</v>
      </c>
      <c r="I567" s="10" t="s">
        <v>679</v>
      </c>
      <c r="J567" s="10" t="s">
        <v>680</v>
      </c>
      <c r="K567" s="10" t="s">
        <v>681</v>
      </c>
      <c r="L567" s="10" t="s">
        <v>682</v>
      </c>
      <c r="M567" s="10" t="s">
        <v>683</v>
      </c>
      <c r="N567" s="10" t="s">
        <v>684</v>
      </c>
      <c r="O567" s="10" t="s">
        <v>685</v>
      </c>
      <c r="P567" s="10"/>
      <c r="Q567" s="10"/>
      <c r="R567" s="10"/>
      <c r="S567" s="10"/>
      <c r="T567" s="10"/>
      <c r="U567" s="10"/>
      <c r="V567" s="10"/>
      <c r="W567" s="10"/>
      <c r="X567" s="10"/>
      <c r="Y567" s="10"/>
      <c r="Z567" s="10"/>
    </row>
    <row r="568" spans="1:26" ht="15">
      <c r="A568" s="11"/>
      <c r="B568" s="10" t="s">
        <v>686</v>
      </c>
      <c r="C568" s="10" t="s">
        <v>4172</v>
      </c>
      <c r="D568" s="10" t="s">
        <v>4173</v>
      </c>
      <c r="E568" s="10" t="s">
        <v>688</v>
      </c>
      <c r="F568" s="10" t="s">
        <v>688</v>
      </c>
      <c r="G568" s="10" t="s">
        <v>688</v>
      </c>
      <c r="H568" s="10" t="s">
        <v>688</v>
      </c>
      <c r="I568" s="10" t="s">
        <v>688</v>
      </c>
      <c r="J568" s="10" t="s">
        <v>688</v>
      </c>
      <c r="K568" s="10" t="s">
        <v>688</v>
      </c>
      <c r="L568" s="10" t="s">
        <v>4174</v>
      </c>
      <c r="M568" s="10" t="s">
        <v>4175</v>
      </c>
      <c r="N568" s="10" t="s">
        <v>707</v>
      </c>
      <c r="O568" s="10" t="s">
        <v>4176</v>
      </c>
      <c r="P568" s="10"/>
      <c r="Q568" s="10"/>
      <c r="R568" s="10"/>
      <c r="S568" s="10"/>
      <c r="T568" s="10"/>
      <c r="U568" s="10"/>
      <c r="V568" s="10"/>
      <c r="W568" s="10"/>
      <c r="X568" s="10"/>
      <c r="Y568" s="10"/>
      <c r="Z568" s="10"/>
    </row>
    <row r="569" spans="1:26" ht="15">
      <c r="A569" s="9">
        <v>274</v>
      </c>
      <c r="B569" s="10" t="str">
        <f ca="1">IFERROR(__xludf.DUMMYFUNCTION((TRANSPOSE(ImportHTML("http://spending.data.al/sq/moneypower/view/id/274/year/2013",  "table", 0)))),"*Kategoria*")</f>
        <v>*Kategoria*</v>
      </c>
      <c r="C569" s="10" t="s">
        <v>673</v>
      </c>
      <c r="D569" s="10" t="s">
        <v>674</v>
      </c>
      <c r="E569" s="10" t="s">
        <v>675</v>
      </c>
      <c r="F569" s="10" t="s">
        <v>676</v>
      </c>
      <c r="G569" s="10" t="s">
        <v>677</v>
      </c>
      <c r="H569" s="10" t="s">
        <v>678</v>
      </c>
      <c r="I569" s="10" t="s">
        <v>679</v>
      </c>
      <c r="J569" s="10" t="s">
        <v>680</v>
      </c>
      <c r="K569" s="10" t="s">
        <v>681</v>
      </c>
      <c r="L569" s="10" t="s">
        <v>682</v>
      </c>
      <c r="M569" s="10" t="s">
        <v>683</v>
      </c>
      <c r="N569" s="10" t="s">
        <v>684</v>
      </c>
      <c r="O569" s="10" t="s">
        <v>685</v>
      </c>
      <c r="P569" s="10"/>
      <c r="Q569" s="10"/>
      <c r="R569" s="10"/>
      <c r="S569" s="10"/>
      <c r="T569" s="10"/>
      <c r="U569" s="10"/>
      <c r="V569" s="10"/>
      <c r="W569" s="10"/>
      <c r="X569" s="10"/>
      <c r="Y569" s="10"/>
      <c r="Z569" s="10"/>
    </row>
    <row r="570" spans="1:26" ht="15">
      <c r="A570" s="11"/>
      <c r="B570" s="10" t="s">
        <v>686</v>
      </c>
      <c r="C570" s="10" t="s">
        <v>4177</v>
      </c>
      <c r="D570" s="10" t="s">
        <v>688</v>
      </c>
      <c r="E570" s="10" t="s">
        <v>688</v>
      </c>
      <c r="F570" s="10" t="s">
        <v>688</v>
      </c>
      <c r="G570" s="10" t="s">
        <v>688</v>
      </c>
      <c r="H570" s="10" t="s">
        <v>688</v>
      </c>
      <c r="I570" s="10" t="s">
        <v>688</v>
      </c>
      <c r="J570" s="10" t="s">
        <v>688</v>
      </c>
      <c r="K570" s="10" t="s">
        <v>688</v>
      </c>
      <c r="L570" s="10" t="s">
        <v>4178</v>
      </c>
      <c r="M570" s="10" t="s">
        <v>688</v>
      </c>
      <c r="N570" s="10" t="s">
        <v>707</v>
      </c>
      <c r="O570" s="10" t="s">
        <v>4179</v>
      </c>
      <c r="P570" s="10"/>
      <c r="Q570" s="10"/>
      <c r="R570" s="10"/>
      <c r="S570" s="10"/>
      <c r="T570" s="10"/>
      <c r="U570" s="10"/>
      <c r="V570" s="10"/>
      <c r="W570" s="10"/>
      <c r="X570" s="10"/>
      <c r="Y570" s="10"/>
      <c r="Z570" s="10"/>
    </row>
    <row r="571" spans="1:26" ht="15">
      <c r="A571" s="9">
        <v>275</v>
      </c>
      <c r="B571" s="10" t="str">
        <f ca="1">IFERROR(__xludf.DUMMYFUNCTION((TRANSPOSE(ImportHTML("http://spending.data.al/sq/moneypower/view/id/275/year/2013",  "table", 0)))),"*Kategoria*")</f>
        <v>*Kategoria*</v>
      </c>
      <c r="C571" s="10" t="s">
        <v>673</v>
      </c>
      <c r="D571" s="10" t="s">
        <v>674</v>
      </c>
      <c r="E571" s="10" t="s">
        <v>675</v>
      </c>
      <c r="F571" s="10" t="s">
        <v>676</v>
      </c>
      <c r="G571" s="10" t="s">
        <v>677</v>
      </c>
      <c r="H571" s="10" t="s">
        <v>678</v>
      </c>
      <c r="I571" s="10" t="s">
        <v>679</v>
      </c>
      <c r="J571" s="10" t="s">
        <v>680</v>
      </c>
      <c r="K571" s="10" t="s">
        <v>681</v>
      </c>
      <c r="L571" s="10" t="s">
        <v>682</v>
      </c>
      <c r="M571" s="10" t="s">
        <v>683</v>
      </c>
      <c r="N571" s="10" t="s">
        <v>684</v>
      </c>
      <c r="O571" s="10" t="s">
        <v>685</v>
      </c>
      <c r="P571" s="10"/>
      <c r="Q571" s="10"/>
      <c r="R571" s="10"/>
      <c r="S571" s="10"/>
      <c r="T571" s="10"/>
      <c r="U571" s="10"/>
      <c r="V571" s="10"/>
      <c r="W571" s="10"/>
      <c r="X571" s="10"/>
      <c r="Y571" s="10"/>
      <c r="Z571" s="10"/>
    </row>
    <row r="572" spans="1:26" ht="15">
      <c r="A572" s="11"/>
      <c r="B572" s="10" t="s">
        <v>686</v>
      </c>
      <c r="C572" s="10" t="s">
        <v>4180</v>
      </c>
      <c r="D572" s="10" t="s">
        <v>688</v>
      </c>
      <c r="E572" s="10" t="s">
        <v>688</v>
      </c>
      <c r="F572" s="10" t="s">
        <v>688</v>
      </c>
      <c r="G572" s="10" t="s">
        <v>688</v>
      </c>
      <c r="H572" s="10" t="s">
        <v>688</v>
      </c>
      <c r="I572" s="10" t="s">
        <v>688</v>
      </c>
      <c r="J572" s="10" t="s">
        <v>688</v>
      </c>
      <c r="K572" s="10" t="s">
        <v>688</v>
      </c>
      <c r="L572" s="10" t="s">
        <v>4181</v>
      </c>
      <c r="M572" s="10" t="s">
        <v>688</v>
      </c>
      <c r="N572" s="10" t="s">
        <v>707</v>
      </c>
      <c r="O572" s="10" t="s">
        <v>4182</v>
      </c>
      <c r="P572" s="10"/>
      <c r="Q572" s="10"/>
      <c r="R572" s="10"/>
      <c r="S572" s="10"/>
      <c r="T572" s="10"/>
      <c r="U572" s="10"/>
      <c r="V572" s="10"/>
      <c r="W572" s="10"/>
      <c r="X572" s="10"/>
      <c r="Y572" s="10"/>
      <c r="Z572" s="10"/>
    </row>
    <row r="573" spans="1:26" ht="15">
      <c r="A573" s="9">
        <v>276</v>
      </c>
      <c r="B573" s="10" t="str">
        <f ca="1">IFERROR(__xludf.DUMMYFUNCTION((TRANSPOSE(ImportHTML("http://spending.data.al/sq/moneypower/view/id/276/year/2013",  "table", 0)))),"*Kategoria*")</f>
        <v>*Kategoria*</v>
      </c>
      <c r="C573" s="10" t="s">
        <v>673</v>
      </c>
      <c r="D573" s="10" t="s">
        <v>674</v>
      </c>
      <c r="E573" s="10" t="s">
        <v>675</v>
      </c>
      <c r="F573" s="10" t="s">
        <v>676</v>
      </c>
      <c r="G573" s="10" t="s">
        <v>677</v>
      </c>
      <c r="H573" s="10" t="s">
        <v>678</v>
      </c>
      <c r="I573" s="10" t="s">
        <v>679</v>
      </c>
      <c r="J573" s="10" t="s">
        <v>680</v>
      </c>
      <c r="K573" s="10" t="s">
        <v>681</v>
      </c>
      <c r="L573" s="10" t="s">
        <v>682</v>
      </c>
      <c r="M573" s="10" t="s">
        <v>683</v>
      </c>
      <c r="N573" s="10" t="s">
        <v>684</v>
      </c>
      <c r="O573" s="10" t="s">
        <v>685</v>
      </c>
      <c r="P573" s="10"/>
      <c r="Q573" s="10"/>
      <c r="R573" s="10"/>
      <c r="S573" s="10"/>
      <c r="T573" s="10"/>
      <c r="U573" s="10"/>
      <c r="V573" s="10"/>
      <c r="W573" s="10"/>
      <c r="X573" s="10"/>
      <c r="Y573" s="10"/>
      <c r="Z573" s="10"/>
    </row>
    <row r="574" spans="1:26" ht="15">
      <c r="A574" s="11"/>
      <c r="B574" s="10" t="s">
        <v>686</v>
      </c>
      <c r="C574" s="10" t="s">
        <v>4183</v>
      </c>
      <c r="D574" s="10" t="s">
        <v>688</v>
      </c>
      <c r="E574" s="10" t="s">
        <v>4184</v>
      </c>
      <c r="F574" s="10" t="s">
        <v>3619</v>
      </c>
      <c r="G574" s="10" t="s">
        <v>3620</v>
      </c>
      <c r="H574" s="10" t="s">
        <v>688</v>
      </c>
      <c r="I574" s="10" t="s">
        <v>688</v>
      </c>
      <c r="J574" s="10" t="s">
        <v>688</v>
      </c>
      <c r="K574" s="10" t="s">
        <v>688</v>
      </c>
      <c r="L574" s="10" t="s">
        <v>3621</v>
      </c>
      <c r="M574" s="10" t="s">
        <v>688</v>
      </c>
      <c r="N574" s="10" t="s">
        <v>707</v>
      </c>
      <c r="O574" s="10" t="s">
        <v>688</v>
      </c>
      <c r="P574" s="10"/>
      <c r="Q574" s="10"/>
      <c r="R574" s="10"/>
      <c r="S574" s="10"/>
      <c r="T574" s="10"/>
      <c r="U574" s="10"/>
      <c r="V574" s="10"/>
      <c r="W574" s="10"/>
      <c r="X574" s="10"/>
      <c r="Y574" s="10"/>
      <c r="Z574" s="10"/>
    </row>
    <row r="575" spans="1:26" ht="15">
      <c r="A575" s="9">
        <v>277</v>
      </c>
      <c r="B575" s="10" t="str">
        <f ca="1">IFERROR(__xludf.DUMMYFUNCTION((TRANSPOSE(ImportHTML("http://spending.data.al/sq/moneypower/view/id/277/year/2013",  "table", 0)))),"*Kategoria*")</f>
        <v>*Kategoria*</v>
      </c>
      <c r="C575" s="10" t="s">
        <v>673</v>
      </c>
      <c r="D575" s="10" t="s">
        <v>674</v>
      </c>
      <c r="E575" s="10" t="s">
        <v>675</v>
      </c>
      <c r="F575" s="10" t="s">
        <v>676</v>
      </c>
      <c r="G575" s="10" t="s">
        <v>677</v>
      </c>
      <c r="H575" s="10" t="s">
        <v>678</v>
      </c>
      <c r="I575" s="10" t="s">
        <v>679</v>
      </c>
      <c r="J575" s="10" t="s">
        <v>680</v>
      </c>
      <c r="K575" s="10" t="s">
        <v>681</v>
      </c>
      <c r="L575" s="10" t="s">
        <v>682</v>
      </c>
      <c r="M575" s="10" t="s">
        <v>683</v>
      </c>
      <c r="N575" s="10" t="s">
        <v>684</v>
      </c>
      <c r="O575" s="10" t="s">
        <v>685</v>
      </c>
      <c r="P575" s="10"/>
      <c r="Q575" s="10"/>
      <c r="R575" s="10"/>
      <c r="S575" s="10"/>
      <c r="T575" s="10"/>
      <c r="U575" s="10"/>
      <c r="V575" s="10"/>
      <c r="W575" s="10"/>
      <c r="X575" s="10"/>
      <c r="Y575" s="10"/>
      <c r="Z575" s="10"/>
    </row>
    <row r="576" spans="1:26" ht="15">
      <c r="A576" s="11"/>
      <c r="B576" s="10" t="s">
        <v>686</v>
      </c>
      <c r="C576" s="10" t="s">
        <v>4185</v>
      </c>
      <c r="D576" s="10" t="s">
        <v>688</v>
      </c>
      <c r="E576" s="10" t="s">
        <v>688</v>
      </c>
      <c r="F576" s="10" t="s">
        <v>688</v>
      </c>
      <c r="G576" s="10" t="s">
        <v>688</v>
      </c>
      <c r="H576" s="10" t="s">
        <v>688</v>
      </c>
      <c r="I576" s="10" t="s">
        <v>688</v>
      </c>
      <c r="J576" s="10" t="s">
        <v>688</v>
      </c>
      <c r="K576" s="10" t="s">
        <v>688</v>
      </c>
      <c r="L576" s="10" t="s">
        <v>688</v>
      </c>
      <c r="M576" s="10" t="s">
        <v>688</v>
      </c>
      <c r="N576" s="10" t="s">
        <v>707</v>
      </c>
      <c r="O576" s="10" t="s">
        <v>688</v>
      </c>
      <c r="P576" s="10"/>
      <c r="Q576" s="10"/>
      <c r="R576" s="10"/>
      <c r="S576" s="10"/>
      <c r="T576" s="10"/>
      <c r="U576" s="10"/>
      <c r="V576" s="10"/>
      <c r="W576" s="10"/>
      <c r="X576" s="10"/>
      <c r="Y576" s="10"/>
      <c r="Z576" s="10"/>
    </row>
    <row r="577" spans="1:26" ht="15">
      <c r="A577" s="9">
        <v>278</v>
      </c>
      <c r="B577" s="10" t="str">
        <f ca="1">IFERROR(__xludf.DUMMYFUNCTION((TRANSPOSE(ImportHTML("http://spending.data.al/sq/moneypower/view/id/278/year/2013",  "table", 0)))),"*Kategoria*")</f>
        <v>*Kategoria*</v>
      </c>
      <c r="C577" s="10" t="s">
        <v>673</v>
      </c>
      <c r="D577" s="10" t="s">
        <v>674</v>
      </c>
      <c r="E577" s="10" t="s">
        <v>675</v>
      </c>
      <c r="F577" s="10" t="s">
        <v>676</v>
      </c>
      <c r="G577" s="10" t="s">
        <v>677</v>
      </c>
      <c r="H577" s="10" t="s">
        <v>678</v>
      </c>
      <c r="I577" s="10" t="s">
        <v>679</v>
      </c>
      <c r="J577" s="10" t="s">
        <v>680</v>
      </c>
      <c r="K577" s="10" t="s">
        <v>681</v>
      </c>
      <c r="L577" s="10" t="s">
        <v>682</v>
      </c>
      <c r="M577" s="10" t="s">
        <v>683</v>
      </c>
      <c r="N577" s="10" t="s">
        <v>684</v>
      </c>
      <c r="O577" s="10" t="s">
        <v>685</v>
      </c>
      <c r="P577" s="10"/>
      <c r="Q577" s="10"/>
      <c r="R577" s="10"/>
      <c r="S577" s="10"/>
      <c r="T577" s="10"/>
      <c r="U577" s="10"/>
      <c r="V577" s="10"/>
      <c r="W577" s="10"/>
      <c r="X577" s="10"/>
      <c r="Y577" s="10"/>
      <c r="Z577" s="10"/>
    </row>
    <row r="578" spans="1:26" ht="15">
      <c r="A578" s="11"/>
      <c r="B578" s="10" t="s">
        <v>686</v>
      </c>
      <c r="C578" s="10" t="s">
        <v>4186</v>
      </c>
      <c r="D578" s="10" t="s">
        <v>688</v>
      </c>
      <c r="E578" s="10" t="s">
        <v>688</v>
      </c>
      <c r="F578" s="10" t="s">
        <v>688</v>
      </c>
      <c r="G578" s="10" t="s">
        <v>4187</v>
      </c>
      <c r="H578" s="10" t="s">
        <v>688</v>
      </c>
      <c r="I578" s="10" t="s">
        <v>688</v>
      </c>
      <c r="J578" s="10" t="s">
        <v>688</v>
      </c>
      <c r="K578" s="10" t="s">
        <v>688</v>
      </c>
      <c r="L578" s="10" t="s">
        <v>4188</v>
      </c>
      <c r="M578" s="10" t="s">
        <v>688</v>
      </c>
      <c r="N578" s="10" t="s">
        <v>707</v>
      </c>
      <c r="O578" s="10" t="s">
        <v>4189</v>
      </c>
      <c r="P578" s="10"/>
      <c r="Q578" s="10"/>
      <c r="R578" s="10"/>
      <c r="S578" s="10"/>
      <c r="T578" s="10"/>
      <c r="U578" s="10"/>
      <c r="V578" s="10"/>
      <c r="W578" s="10"/>
      <c r="X578" s="10"/>
      <c r="Y578" s="10"/>
      <c r="Z578" s="10"/>
    </row>
    <row r="579" spans="1:26" ht="15">
      <c r="A579" s="9">
        <v>279</v>
      </c>
      <c r="B579" s="10" t="str">
        <f ca="1">IFERROR(__xludf.DUMMYFUNCTION((TRANSPOSE(ImportHTML("http://spending.data.al/sq/moneypower/view/id/279/year/2013",  "table", 0)))),"*Kategoria*")</f>
        <v>*Kategoria*</v>
      </c>
      <c r="C579" s="10" t="s">
        <v>673</v>
      </c>
      <c r="D579" s="10" t="s">
        <v>674</v>
      </c>
      <c r="E579" s="10" t="s">
        <v>675</v>
      </c>
      <c r="F579" s="10" t="s">
        <v>676</v>
      </c>
      <c r="G579" s="10" t="s">
        <v>677</v>
      </c>
      <c r="H579" s="10" t="s">
        <v>678</v>
      </c>
      <c r="I579" s="10" t="s">
        <v>679</v>
      </c>
      <c r="J579" s="10" t="s">
        <v>680</v>
      </c>
      <c r="K579" s="10" t="s">
        <v>681</v>
      </c>
      <c r="L579" s="10" t="s">
        <v>682</v>
      </c>
      <c r="M579" s="10" t="s">
        <v>683</v>
      </c>
      <c r="N579" s="10" t="s">
        <v>684</v>
      </c>
      <c r="O579" s="10" t="s">
        <v>685</v>
      </c>
      <c r="P579" s="10"/>
      <c r="Q579" s="10"/>
      <c r="R579" s="10"/>
      <c r="S579" s="10"/>
      <c r="T579" s="10"/>
      <c r="U579" s="10"/>
      <c r="V579" s="10"/>
      <c r="W579" s="10"/>
      <c r="X579" s="10"/>
      <c r="Y579" s="10"/>
      <c r="Z579" s="10"/>
    </row>
    <row r="580" spans="1:26" ht="15">
      <c r="A580" s="11"/>
      <c r="B580" s="10" t="s">
        <v>686</v>
      </c>
      <c r="C580" s="10" t="s">
        <v>4190</v>
      </c>
      <c r="D580" s="10" t="s">
        <v>688</v>
      </c>
      <c r="E580" s="10" t="s">
        <v>688</v>
      </c>
      <c r="F580" s="10" t="s">
        <v>688</v>
      </c>
      <c r="G580" s="10" t="s">
        <v>688</v>
      </c>
      <c r="H580" s="10" t="s">
        <v>688</v>
      </c>
      <c r="I580" s="10" t="s">
        <v>688</v>
      </c>
      <c r="J580" s="10" t="s">
        <v>688</v>
      </c>
      <c r="K580" s="10" t="s">
        <v>688</v>
      </c>
      <c r="L580" s="10" t="s">
        <v>4191</v>
      </c>
      <c r="M580" s="10" t="s">
        <v>688</v>
      </c>
      <c r="N580" s="10" t="s">
        <v>707</v>
      </c>
      <c r="O580" s="10" t="s">
        <v>688</v>
      </c>
      <c r="P580" s="10"/>
      <c r="Q580" s="10"/>
      <c r="R580" s="10"/>
      <c r="S580" s="10"/>
      <c r="T580" s="10"/>
      <c r="U580" s="10"/>
      <c r="V580" s="10"/>
      <c r="W580" s="10"/>
      <c r="X580" s="10"/>
      <c r="Y580" s="10"/>
      <c r="Z580" s="10"/>
    </row>
    <row r="581" spans="1:26" ht="15">
      <c r="A581" s="9">
        <v>280</v>
      </c>
      <c r="B581" s="10" t="str">
        <f ca="1">IFERROR(__xludf.DUMMYFUNCTION((TRANSPOSE(ImportHTML("http://spending.data.al/sq/moneypower/view/id/280/year/2013",  "table", 0)))),"*Kategoria*")</f>
        <v>*Kategoria*</v>
      </c>
      <c r="C581" s="10" t="s">
        <v>673</v>
      </c>
      <c r="D581" s="10" t="s">
        <v>674</v>
      </c>
      <c r="E581" s="10" t="s">
        <v>675</v>
      </c>
      <c r="F581" s="10" t="s">
        <v>676</v>
      </c>
      <c r="G581" s="10" t="s">
        <v>677</v>
      </c>
      <c r="H581" s="10" t="s">
        <v>678</v>
      </c>
      <c r="I581" s="10" t="s">
        <v>679</v>
      </c>
      <c r="J581" s="10" t="s">
        <v>680</v>
      </c>
      <c r="K581" s="10" t="s">
        <v>681</v>
      </c>
      <c r="L581" s="10" t="s">
        <v>682</v>
      </c>
      <c r="M581" s="10" t="s">
        <v>683</v>
      </c>
      <c r="N581" s="10" t="s">
        <v>684</v>
      </c>
      <c r="O581" s="10" t="s">
        <v>685</v>
      </c>
      <c r="P581" s="10"/>
      <c r="Q581" s="10"/>
      <c r="R581" s="10"/>
      <c r="S581" s="10"/>
      <c r="T581" s="10"/>
      <c r="U581" s="10"/>
      <c r="V581" s="10"/>
      <c r="W581" s="10"/>
      <c r="X581" s="10"/>
      <c r="Y581" s="10"/>
      <c r="Z581" s="10"/>
    </row>
    <row r="582" spans="1:26" ht="15">
      <c r="A582" s="11"/>
      <c r="B582" s="10" t="s">
        <v>686</v>
      </c>
      <c r="C582" s="10" t="s">
        <v>4192</v>
      </c>
      <c r="D582" s="10" t="s">
        <v>688</v>
      </c>
      <c r="E582" s="10" t="s">
        <v>688</v>
      </c>
      <c r="F582" s="10" t="s">
        <v>688</v>
      </c>
      <c r="G582" s="10" t="s">
        <v>688</v>
      </c>
      <c r="H582" s="10" t="s">
        <v>688</v>
      </c>
      <c r="I582" s="10" t="s">
        <v>688</v>
      </c>
      <c r="J582" s="10" t="s">
        <v>688</v>
      </c>
      <c r="K582" s="10" t="s">
        <v>688</v>
      </c>
      <c r="L582" s="10" t="s">
        <v>688</v>
      </c>
      <c r="M582" s="10" t="s">
        <v>688</v>
      </c>
      <c r="N582" s="10" t="s">
        <v>707</v>
      </c>
      <c r="O582" s="10" t="s">
        <v>688</v>
      </c>
      <c r="P582" s="10"/>
      <c r="Q582" s="10"/>
      <c r="R582" s="10"/>
      <c r="S582" s="10"/>
      <c r="T582" s="10"/>
      <c r="U582" s="10"/>
      <c r="V582" s="10"/>
      <c r="W582" s="10"/>
      <c r="X582" s="10"/>
      <c r="Y582" s="10"/>
      <c r="Z582" s="10"/>
    </row>
    <row r="583" spans="1:26" ht="15">
      <c r="A583" s="9">
        <v>281</v>
      </c>
      <c r="B583" s="10" t="str">
        <f ca="1">IFERROR(__xludf.DUMMYFUNCTION((TRANSPOSE(ImportHTML("http://spending.data.al/sq/moneypower/view/id/281/year/2013",  "table", 0)))),"*Kategoria*")</f>
        <v>*Kategoria*</v>
      </c>
      <c r="C583" s="10" t="s">
        <v>673</v>
      </c>
      <c r="D583" s="10" t="s">
        <v>674</v>
      </c>
      <c r="E583" s="10" t="s">
        <v>675</v>
      </c>
      <c r="F583" s="10" t="s">
        <v>676</v>
      </c>
      <c r="G583" s="10" t="s">
        <v>677</v>
      </c>
      <c r="H583" s="10" t="s">
        <v>678</v>
      </c>
      <c r="I583" s="10" t="s">
        <v>679</v>
      </c>
      <c r="J583" s="10" t="s">
        <v>680</v>
      </c>
      <c r="K583" s="10" t="s">
        <v>681</v>
      </c>
      <c r="L583" s="10" t="s">
        <v>682</v>
      </c>
      <c r="M583" s="10" t="s">
        <v>683</v>
      </c>
      <c r="N583" s="10" t="s">
        <v>684</v>
      </c>
      <c r="O583" s="10" t="s">
        <v>685</v>
      </c>
      <c r="P583" s="10"/>
      <c r="Q583" s="10"/>
      <c r="R583" s="10"/>
      <c r="S583" s="10"/>
      <c r="T583" s="10"/>
      <c r="U583" s="10"/>
      <c r="V583" s="10"/>
      <c r="W583" s="10"/>
      <c r="X583" s="10"/>
      <c r="Y583" s="10"/>
      <c r="Z583" s="10"/>
    </row>
    <row r="584" spans="1:26" ht="15">
      <c r="A584" s="11"/>
      <c r="B584" s="10" t="s">
        <v>686</v>
      </c>
      <c r="C584" s="10" t="s">
        <v>4193</v>
      </c>
      <c r="D584" s="10" t="s">
        <v>688</v>
      </c>
      <c r="E584" s="10" t="s">
        <v>688</v>
      </c>
      <c r="F584" s="10" t="s">
        <v>688</v>
      </c>
      <c r="G584" s="10" t="s">
        <v>688</v>
      </c>
      <c r="H584" s="10" t="s">
        <v>688</v>
      </c>
      <c r="I584" s="10" t="s">
        <v>688</v>
      </c>
      <c r="J584" s="10" t="s">
        <v>688</v>
      </c>
      <c r="K584" s="10" t="s">
        <v>688</v>
      </c>
      <c r="L584" s="10" t="s">
        <v>4194</v>
      </c>
      <c r="M584" s="10" t="s">
        <v>688</v>
      </c>
      <c r="N584" s="10" t="s">
        <v>707</v>
      </c>
      <c r="O584" s="10" t="s">
        <v>688</v>
      </c>
      <c r="P584" s="10"/>
      <c r="Q584" s="10"/>
      <c r="R584" s="10"/>
      <c r="S584" s="10"/>
      <c r="T584" s="10"/>
      <c r="U584" s="10"/>
      <c r="V584" s="10"/>
      <c r="W584" s="10"/>
      <c r="X584" s="10"/>
      <c r="Y584" s="10"/>
      <c r="Z584" s="10"/>
    </row>
    <row r="585" spans="1:26" ht="15">
      <c r="A585" s="9">
        <v>282</v>
      </c>
      <c r="B585" s="10" t="str">
        <f ca="1">IFERROR(__xludf.DUMMYFUNCTION((TRANSPOSE(ImportHTML("http://spending.data.al/sq/moneypower/view/id/282/year/2013",  "table", 0)))),"*Emër Subjekti*")</f>
        <v>*Emër Subjekti*</v>
      </c>
      <c r="C585" s="10" t="s">
        <v>698</v>
      </c>
      <c r="D585" s="10" t="s">
        <v>699</v>
      </c>
      <c r="E585" s="10" t="s">
        <v>700</v>
      </c>
      <c r="F585" s="10" t="s">
        <v>701</v>
      </c>
      <c r="G585" s="10" t="s">
        <v>702</v>
      </c>
      <c r="H585" s="10"/>
      <c r="I585" s="10"/>
      <c r="J585" s="10"/>
      <c r="K585" s="10"/>
      <c r="L585" s="10"/>
      <c r="M585" s="10"/>
      <c r="N585" s="10"/>
      <c r="O585" s="10"/>
      <c r="P585" s="10"/>
      <c r="Q585" s="10"/>
      <c r="R585" s="10"/>
      <c r="S585" s="10"/>
      <c r="T585" s="10"/>
      <c r="U585" s="10"/>
      <c r="V585" s="10"/>
      <c r="W585" s="10"/>
      <c r="X585" s="10"/>
      <c r="Y585" s="10"/>
      <c r="Z585" s="10"/>
    </row>
    <row r="586" spans="1:26" ht="15">
      <c r="A586" s="11"/>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c r="A587" s="11"/>
      <c r="B587" s="10" t="s">
        <v>3637</v>
      </c>
      <c r="C587" s="10" t="s">
        <v>1879</v>
      </c>
      <c r="D587" s="10">
        <v>41916</v>
      </c>
      <c r="E587" s="10" t="s">
        <v>707</v>
      </c>
      <c r="F587" s="10" t="s">
        <v>3638</v>
      </c>
      <c r="G587" s="10" t="s">
        <v>3639</v>
      </c>
      <c r="H587" s="10"/>
      <c r="I587" s="10"/>
      <c r="J587" s="10"/>
      <c r="K587" s="10"/>
      <c r="L587" s="10"/>
      <c r="M587" s="10"/>
      <c r="N587" s="10"/>
      <c r="O587" s="10"/>
      <c r="P587" s="10"/>
      <c r="Q587" s="10"/>
      <c r="R587" s="10"/>
      <c r="S587" s="10"/>
      <c r="T587" s="10"/>
      <c r="U587" s="10"/>
      <c r="V587" s="10"/>
      <c r="W587" s="10"/>
      <c r="X587" s="10"/>
      <c r="Y587" s="10"/>
      <c r="Z587" s="10"/>
    </row>
    <row r="588" spans="1:26" ht="15">
      <c r="A588" s="9">
        <v>283</v>
      </c>
      <c r="B588" s="10" t="str">
        <f ca="1">IFERROR(__xludf.DUMMYFUNCTION((TRANSPOSE(ImportHTML("http://spending.data.al/sq/moneypower/view/id/283/year/2013",  "table", 0)))),"*Emër Subjekti*")</f>
        <v>*Emër Subjekti*</v>
      </c>
      <c r="C588" s="10" t="s">
        <v>698</v>
      </c>
      <c r="D588" s="10" t="s">
        <v>699</v>
      </c>
      <c r="E588" s="10" t="s">
        <v>700</v>
      </c>
      <c r="F588" s="10" t="s">
        <v>701</v>
      </c>
      <c r="G588" s="10" t="s">
        <v>702</v>
      </c>
      <c r="H588" s="10"/>
      <c r="I588" s="10"/>
      <c r="J588" s="10"/>
      <c r="K588" s="10"/>
      <c r="L588" s="10"/>
      <c r="M588" s="10"/>
      <c r="N588" s="10"/>
      <c r="O588" s="10"/>
      <c r="P588" s="10"/>
      <c r="Q588" s="10"/>
      <c r="R588" s="10"/>
      <c r="S588" s="10"/>
      <c r="T588" s="10"/>
      <c r="U588" s="10"/>
      <c r="V588" s="10"/>
      <c r="W588" s="10"/>
      <c r="X588" s="10"/>
      <c r="Y588" s="10"/>
      <c r="Z588" s="10"/>
    </row>
    <row r="589" spans="1:26" ht="15">
      <c r="A589" s="11"/>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c r="A590" s="11"/>
      <c r="B590" s="10" t="s">
        <v>3640</v>
      </c>
      <c r="C590" s="10" t="s">
        <v>1879</v>
      </c>
      <c r="D590" s="10">
        <v>41978</v>
      </c>
      <c r="E590" s="10" t="s">
        <v>707</v>
      </c>
      <c r="F590" s="10" t="s">
        <v>3641</v>
      </c>
      <c r="G590" s="10" t="s">
        <v>3642</v>
      </c>
      <c r="H590" s="10"/>
      <c r="I590" s="10"/>
      <c r="J590" s="10"/>
      <c r="K590" s="10"/>
      <c r="L590" s="10"/>
      <c r="M590" s="10"/>
      <c r="N590" s="10"/>
      <c r="O590" s="10"/>
      <c r="P590" s="10"/>
      <c r="Q590" s="10"/>
      <c r="R590" s="10"/>
      <c r="S590" s="10"/>
      <c r="T590" s="10"/>
      <c r="U590" s="10"/>
      <c r="V590" s="10"/>
      <c r="W590" s="10"/>
      <c r="X590" s="10"/>
      <c r="Y590" s="10"/>
      <c r="Z590" s="10"/>
    </row>
    <row r="591" spans="1:26" ht="15">
      <c r="A591" s="9">
        <v>284</v>
      </c>
      <c r="B591" s="10" t="str">
        <f ca="1">IFERROR(__xludf.DUMMYFUNCTION((TRANSPOSE(ImportHTML("http://spending.data.al/sq/moneypower/view/id/284/year/2013",  "table", 0)))),"*Kategoria*")</f>
        <v>*Kategoria*</v>
      </c>
      <c r="C591" s="10" t="s">
        <v>673</v>
      </c>
      <c r="D591" s="10" t="s">
        <v>674</v>
      </c>
      <c r="E591" s="10" t="s">
        <v>675</v>
      </c>
      <c r="F591" s="10" t="s">
        <v>676</v>
      </c>
      <c r="G591" s="10" t="s">
        <v>677</v>
      </c>
      <c r="H591" s="10" t="s">
        <v>678</v>
      </c>
      <c r="I591" s="10" t="s">
        <v>679</v>
      </c>
      <c r="J591" s="10" t="s">
        <v>680</v>
      </c>
      <c r="K591" s="10" t="s">
        <v>681</v>
      </c>
      <c r="L591" s="10" t="s">
        <v>682</v>
      </c>
      <c r="M591" s="10" t="s">
        <v>683</v>
      </c>
      <c r="N591" s="10" t="s">
        <v>684</v>
      </c>
      <c r="O591" s="10" t="s">
        <v>685</v>
      </c>
      <c r="P591" s="10"/>
      <c r="Q591" s="10"/>
      <c r="R591" s="10"/>
      <c r="S591" s="10"/>
      <c r="T591" s="10"/>
      <c r="U591" s="10"/>
      <c r="V591" s="10"/>
      <c r="W591" s="10"/>
      <c r="X591" s="10"/>
      <c r="Y591" s="10"/>
      <c r="Z591" s="10"/>
    </row>
    <row r="592" spans="1:26" ht="15">
      <c r="A592" s="11"/>
      <c r="B592" s="10" t="s">
        <v>686</v>
      </c>
      <c r="C592" s="10" t="s">
        <v>4195</v>
      </c>
      <c r="D592" s="10" t="s">
        <v>688</v>
      </c>
      <c r="E592" s="10" t="s">
        <v>688</v>
      </c>
      <c r="F592" s="10" t="s">
        <v>688</v>
      </c>
      <c r="G592" s="10" t="s">
        <v>688</v>
      </c>
      <c r="H592" s="10" t="s">
        <v>688</v>
      </c>
      <c r="I592" s="10" t="s">
        <v>688</v>
      </c>
      <c r="J592" s="10" t="s">
        <v>688</v>
      </c>
      <c r="K592" s="10" t="s">
        <v>688</v>
      </c>
      <c r="L592" s="10" t="s">
        <v>4196</v>
      </c>
      <c r="M592" s="10" t="s">
        <v>688</v>
      </c>
      <c r="N592" s="10">
        <v>1</v>
      </c>
      <c r="O592" s="10" t="s">
        <v>4197</v>
      </c>
      <c r="P592" s="10"/>
      <c r="Q592" s="10"/>
      <c r="R592" s="10"/>
      <c r="S592" s="10"/>
      <c r="T592" s="10"/>
      <c r="U592" s="10"/>
      <c r="V592" s="10"/>
      <c r="W592" s="10"/>
      <c r="X592" s="10"/>
      <c r="Y592" s="10"/>
      <c r="Z592" s="10"/>
    </row>
    <row r="593" spans="1:26" ht="15">
      <c r="A593" s="9">
        <v>285</v>
      </c>
      <c r="B593" s="10" t="str">
        <f ca="1">IFERROR(__xludf.DUMMYFUNCTION((TRANSPOSE(ImportHTML("http://spending.data.al/sq/moneypower/view/id/285/year/2013",  "table", 0)))),"*Kategoria*")</f>
        <v>*Kategoria*</v>
      </c>
      <c r="C593" s="10" t="s">
        <v>673</v>
      </c>
      <c r="D593" s="10" t="s">
        <v>674</v>
      </c>
      <c r="E593" s="10" t="s">
        <v>675</v>
      </c>
      <c r="F593" s="10" t="s">
        <v>676</v>
      </c>
      <c r="G593" s="10" t="s">
        <v>677</v>
      </c>
      <c r="H593" s="10" t="s">
        <v>678</v>
      </c>
      <c r="I593" s="10" t="s">
        <v>679</v>
      </c>
      <c r="J593" s="10" t="s">
        <v>680</v>
      </c>
      <c r="K593" s="10" t="s">
        <v>681</v>
      </c>
      <c r="L593" s="10" t="s">
        <v>682</v>
      </c>
      <c r="M593" s="10" t="s">
        <v>683</v>
      </c>
      <c r="N593" s="10" t="s">
        <v>684</v>
      </c>
      <c r="O593" s="10" t="s">
        <v>685</v>
      </c>
      <c r="P593" s="10"/>
      <c r="Q593" s="10"/>
      <c r="R593" s="10"/>
      <c r="S593" s="10"/>
      <c r="T593" s="10"/>
      <c r="U593" s="10"/>
      <c r="V593" s="10"/>
      <c r="W593" s="10"/>
      <c r="X593" s="10"/>
      <c r="Y593" s="10"/>
      <c r="Z593" s="10"/>
    </row>
    <row r="594" spans="1:26" ht="15">
      <c r="A594" s="11"/>
      <c r="B594" s="10" t="s">
        <v>686</v>
      </c>
      <c r="C594" s="10" t="s">
        <v>4198</v>
      </c>
      <c r="D594" s="10" t="s">
        <v>688</v>
      </c>
      <c r="E594" s="10" t="s">
        <v>4199</v>
      </c>
      <c r="F594" s="10" t="s">
        <v>688</v>
      </c>
      <c r="G594" s="10" t="s">
        <v>4200</v>
      </c>
      <c r="H594" s="10" t="s">
        <v>688</v>
      </c>
      <c r="I594" s="10" t="s">
        <v>688</v>
      </c>
      <c r="J594" s="10" t="s">
        <v>4201</v>
      </c>
      <c r="K594" s="10" t="s">
        <v>688</v>
      </c>
      <c r="L594" s="10" t="s">
        <v>4202</v>
      </c>
      <c r="M594" s="10" t="s">
        <v>688</v>
      </c>
      <c r="N594" s="10">
        <v>1.71</v>
      </c>
      <c r="O594" s="10" t="s">
        <v>4203</v>
      </c>
      <c r="P594" s="10"/>
      <c r="Q594" s="10"/>
      <c r="R594" s="10"/>
      <c r="S594" s="10"/>
      <c r="T594" s="10"/>
      <c r="U594" s="10"/>
      <c r="V594" s="10"/>
      <c r="W594" s="10"/>
      <c r="X594" s="10"/>
      <c r="Y594" s="10"/>
      <c r="Z594" s="10"/>
    </row>
    <row r="595" spans="1:26" ht="15">
      <c r="A595" s="9">
        <v>286</v>
      </c>
      <c r="B595" s="10" t="str">
        <f ca="1">IFERROR(__xludf.DUMMYFUNCTION((TRANSPOSE(ImportHTML("http://spending.data.al/sq/moneypower/view/id/286/year/2013",  "table", 0)))),"*Kategoria*")</f>
        <v>*Kategoria*</v>
      </c>
      <c r="C595" s="10" t="s">
        <v>673</v>
      </c>
      <c r="D595" s="10" t="s">
        <v>674</v>
      </c>
      <c r="E595" s="10" t="s">
        <v>675</v>
      </c>
      <c r="F595" s="10" t="s">
        <v>676</v>
      </c>
      <c r="G595" s="10" t="s">
        <v>677</v>
      </c>
      <c r="H595" s="10" t="s">
        <v>678</v>
      </c>
      <c r="I595" s="10" t="s">
        <v>679</v>
      </c>
      <c r="J595" s="10" t="s">
        <v>680</v>
      </c>
      <c r="K595" s="10" t="s">
        <v>681</v>
      </c>
      <c r="L595" s="10" t="s">
        <v>682</v>
      </c>
      <c r="M595" s="10" t="s">
        <v>683</v>
      </c>
      <c r="N595" s="10" t="s">
        <v>684</v>
      </c>
      <c r="O595" s="10" t="s">
        <v>685</v>
      </c>
      <c r="P595" s="10"/>
      <c r="Q595" s="10"/>
      <c r="R595" s="10"/>
      <c r="S595" s="10"/>
      <c r="T595" s="10"/>
      <c r="U595" s="10"/>
      <c r="V595" s="10"/>
      <c r="W595" s="10"/>
      <c r="X595" s="10"/>
      <c r="Y595" s="10"/>
      <c r="Z595" s="10"/>
    </row>
    <row r="596" spans="1:26" ht="15">
      <c r="A596" s="11"/>
      <c r="B596" s="10" t="s">
        <v>686</v>
      </c>
      <c r="C596" s="10" t="s">
        <v>4204</v>
      </c>
      <c r="D596" s="10" t="s">
        <v>688</v>
      </c>
      <c r="E596" s="10" t="s">
        <v>688</v>
      </c>
      <c r="F596" s="10" t="s">
        <v>688</v>
      </c>
      <c r="G596" s="10" t="s">
        <v>688</v>
      </c>
      <c r="H596" s="10" t="s">
        <v>688</v>
      </c>
      <c r="I596" s="10" t="s">
        <v>688</v>
      </c>
      <c r="J596" s="10" t="s">
        <v>688</v>
      </c>
      <c r="K596" s="10" t="s">
        <v>688</v>
      </c>
      <c r="L596" s="10" t="s">
        <v>4205</v>
      </c>
      <c r="M596" s="10" t="s">
        <v>688</v>
      </c>
      <c r="N596" s="10">
        <v>1</v>
      </c>
      <c r="O596" s="10" t="s">
        <v>4206</v>
      </c>
      <c r="P596" s="10"/>
      <c r="Q596" s="10"/>
      <c r="R596" s="10"/>
      <c r="S596" s="10"/>
      <c r="T596" s="10"/>
      <c r="U596" s="10"/>
      <c r="V596" s="10"/>
      <c r="W596" s="10"/>
      <c r="X596" s="10"/>
      <c r="Y596" s="10"/>
      <c r="Z596" s="10"/>
    </row>
    <row r="597" spans="1:26" ht="15">
      <c r="A597" s="9">
        <v>287</v>
      </c>
      <c r="B597" s="10" t="str">
        <f ca="1">IFERROR(__xludf.DUMMYFUNCTION((TRANSPOSE(ImportHTML("http://spending.data.al/sq/moneypower/view/id/287/year/2013",  "table", 0)))),"*Kategoria*")</f>
        <v>*Kategoria*</v>
      </c>
      <c r="C597" s="10" t="s">
        <v>673</v>
      </c>
      <c r="D597" s="10" t="s">
        <v>674</v>
      </c>
      <c r="E597" s="10" t="s">
        <v>675</v>
      </c>
      <c r="F597" s="10" t="s">
        <v>676</v>
      </c>
      <c r="G597" s="10" t="s">
        <v>677</v>
      </c>
      <c r="H597" s="10" t="s">
        <v>678</v>
      </c>
      <c r="I597" s="10" t="s">
        <v>679</v>
      </c>
      <c r="J597" s="10" t="s">
        <v>680</v>
      </c>
      <c r="K597" s="10" t="s">
        <v>681</v>
      </c>
      <c r="L597" s="10" t="s">
        <v>682</v>
      </c>
      <c r="M597" s="10" t="s">
        <v>683</v>
      </c>
      <c r="N597" s="10" t="s">
        <v>684</v>
      </c>
      <c r="O597" s="10" t="s">
        <v>685</v>
      </c>
      <c r="P597" s="10"/>
      <c r="Q597" s="10"/>
      <c r="R597" s="10"/>
      <c r="S597" s="10"/>
      <c r="T597" s="10"/>
      <c r="U597" s="10"/>
      <c r="V597" s="10"/>
      <c r="W597" s="10"/>
      <c r="X597" s="10"/>
      <c r="Y597" s="10"/>
      <c r="Z597" s="10"/>
    </row>
    <row r="598" spans="1:26" ht="15">
      <c r="A598" s="11"/>
      <c r="B598" s="10" t="s">
        <v>686</v>
      </c>
      <c r="C598" s="10" t="s">
        <v>4207</v>
      </c>
      <c r="D598" s="10" t="s">
        <v>688</v>
      </c>
      <c r="E598" s="10" t="s">
        <v>688</v>
      </c>
      <c r="F598" s="10" t="s">
        <v>688</v>
      </c>
      <c r="G598" s="10" t="s">
        <v>688</v>
      </c>
      <c r="H598" s="10" t="s">
        <v>688</v>
      </c>
      <c r="I598" s="10" t="s">
        <v>688</v>
      </c>
      <c r="J598" s="10" t="s">
        <v>688</v>
      </c>
      <c r="K598" s="10" t="s">
        <v>688</v>
      </c>
      <c r="L598" s="10" t="s">
        <v>4208</v>
      </c>
      <c r="M598" s="10" t="s">
        <v>688</v>
      </c>
      <c r="N598" s="10">
        <v>1.1299999999999999</v>
      </c>
      <c r="O598" s="10" t="s">
        <v>4209</v>
      </c>
      <c r="P598" s="10"/>
      <c r="Q598" s="10"/>
      <c r="R598" s="10"/>
      <c r="S598" s="10"/>
      <c r="T598" s="10"/>
      <c r="U598" s="10"/>
      <c r="V598" s="10"/>
      <c r="W598" s="10"/>
      <c r="X598" s="10"/>
      <c r="Y598" s="10"/>
      <c r="Z598" s="10"/>
    </row>
    <row r="599" spans="1:26" ht="15">
      <c r="A599" s="9">
        <v>288</v>
      </c>
      <c r="B599" s="10" t="str">
        <f ca="1">IFERROR(__xludf.DUMMYFUNCTION((TRANSPOSE(ImportHTML("http://spending.data.al/sq/moneypower/view/id/288/year/2013",  "table", 0)))),"*Kategoria*")</f>
        <v>*Kategoria*</v>
      </c>
      <c r="C599" s="10" t="s">
        <v>673</v>
      </c>
      <c r="D599" s="10" t="s">
        <v>674</v>
      </c>
      <c r="E599" s="10" t="s">
        <v>675</v>
      </c>
      <c r="F599" s="10" t="s">
        <v>676</v>
      </c>
      <c r="G599" s="10" t="s">
        <v>677</v>
      </c>
      <c r="H599" s="10" t="s">
        <v>678</v>
      </c>
      <c r="I599" s="10" t="s">
        <v>679</v>
      </c>
      <c r="J599" s="10" t="s">
        <v>680</v>
      </c>
      <c r="K599" s="10" t="s">
        <v>681</v>
      </c>
      <c r="L599" s="10" t="s">
        <v>682</v>
      </c>
      <c r="M599" s="10" t="s">
        <v>683</v>
      </c>
      <c r="N599" s="10" t="s">
        <v>684</v>
      </c>
      <c r="O599" s="10" t="s">
        <v>685</v>
      </c>
      <c r="P599" s="10"/>
      <c r="Q599" s="10"/>
      <c r="R599" s="10"/>
      <c r="S599" s="10"/>
      <c r="T599" s="10"/>
      <c r="U599" s="10"/>
      <c r="V599" s="10"/>
      <c r="W599" s="10"/>
      <c r="X599" s="10"/>
      <c r="Y599" s="10"/>
      <c r="Z599" s="10"/>
    </row>
    <row r="600" spans="1:26" ht="15">
      <c r="A600" s="11"/>
      <c r="B600" s="10" t="s">
        <v>686</v>
      </c>
      <c r="C600" s="10" t="s">
        <v>4210</v>
      </c>
      <c r="D600" s="10" t="s">
        <v>688</v>
      </c>
      <c r="E600" s="10" t="s">
        <v>688</v>
      </c>
      <c r="F600" s="10" t="s">
        <v>688</v>
      </c>
      <c r="G600" s="10" t="s">
        <v>688</v>
      </c>
      <c r="H600" s="10" t="s">
        <v>688</v>
      </c>
      <c r="I600" s="10" t="s">
        <v>4211</v>
      </c>
      <c r="J600" s="10" t="s">
        <v>688</v>
      </c>
      <c r="K600" s="10" t="s">
        <v>688</v>
      </c>
      <c r="L600" s="10" t="s">
        <v>688</v>
      </c>
      <c r="M600" s="10" t="s">
        <v>688</v>
      </c>
      <c r="N600" s="10">
        <v>2.74</v>
      </c>
      <c r="O600" s="10" t="s">
        <v>688</v>
      </c>
      <c r="P600" s="10"/>
      <c r="Q600" s="10"/>
      <c r="R600" s="10"/>
      <c r="S600" s="10"/>
      <c r="T600" s="10"/>
      <c r="U600" s="10"/>
      <c r="V600" s="10"/>
      <c r="W600" s="10"/>
      <c r="X600" s="10"/>
      <c r="Y600" s="10"/>
      <c r="Z600" s="10"/>
    </row>
    <row r="601" spans="1:26" ht="15">
      <c r="A601" s="9">
        <v>289</v>
      </c>
      <c r="B601" s="10" t="str">
        <f ca="1">IFERROR(__xludf.DUMMYFUNCTION((TRANSPOSE(ImportHTML("http://spending.data.al/sq/moneypower/view/id/289/year/2013",  "table", 0)))),"*Kategoria*")</f>
        <v>*Kategoria*</v>
      </c>
      <c r="C601" s="10" t="s">
        <v>673</v>
      </c>
      <c r="D601" s="10" t="s">
        <v>674</v>
      </c>
      <c r="E601" s="10" t="s">
        <v>675</v>
      </c>
      <c r="F601" s="10" t="s">
        <v>676</v>
      </c>
      <c r="G601" s="10" t="s">
        <v>677</v>
      </c>
      <c r="H601" s="10" t="s">
        <v>678</v>
      </c>
      <c r="I601" s="10" t="s">
        <v>679</v>
      </c>
      <c r="J601" s="10" t="s">
        <v>680</v>
      </c>
      <c r="K601" s="10" t="s">
        <v>681</v>
      </c>
      <c r="L601" s="10" t="s">
        <v>682</v>
      </c>
      <c r="M601" s="10" t="s">
        <v>683</v>
      </c>
      <c r="N601" s="10" t="s">
        <v>684</v>
      </c>
      <c r="O601" s="10" t="s">
        <v>685</v>
      </c>
      <c r="P601" s="10"/>
      <c r="Q601" s="10"/>
      <c r="R601" s="10"/>
      <c r="S601" s="10"/>
      <c r="T601" s="10"/>
      <c r="U601" s="10"/>
      <c r="V601" s="10"/>
      <c r="W601" s="10"/>
      <c r="X601" s="10"/>
      <c r="Y601" s="10"/>
      <c r="Z601" s="10"/>
    </row>
    <row r="602" spans="1:26" ht="15">
      <c r="A602" s="11"/>
      <c r="B602" s="10" t="s">
        <v>686</v>
      </c>
      <c r="C602" s="10" t="s">
        <v>4212</v>
      </c>
      <c r="D602" s="10" t="s">
        <v>688</v>
      </c>
      <c r="E602" s="10" t="s">
        <v>688</v>
      </c>
      <c r="F602" s="10" t="s">
        <v>4213</v>
      </c>
      <c r="G602" s="10" t="s">
        <v>688</v>
      </c>
      <c r="H602" s="10" t="s">
        <v>688</v>
      </c>
      <c r="I602" s="10" t="s">
        <v>688</v>
      </c>
      <c r="J602" s="10" t="s">
        <v>688</v>
      </c>
      <c r="K602" s="10" t="s">
        <v>688</v>
      </c>
      <c r="L602" s="10" t="s">
        <v>4214</v>
      </c>
      <c r="M602" s="10" t="s">
        <v>688</v>
      </c>
      <c r="N602" s="10">
        <v>1.92</v>
      </c>
      <c r="O602" s="10" t="s">
        <v>4215</v>
      </c>
      <c r="P602" s="10"/>
      <c r="Q602" s="10"/>
      <c r="R602" s="10"/>
      <c r="S602" s="10"/>
      <c r="T602" s="10"/>
      <c r="U602" s="10"/>
      <c r="V602" s="10"/>
      <c r="W602" s="10"/>
      <c r="X602" s="10"/>
      <c r="Y602" s="10"/>
      <c r="Z602" s="10"/>
    </row>
    <row r="603" spans="1:26" ht="15">
      <c r="A603" s="9">
        <v>290</v>
      </c>
      <c r="B603" s="10" t="str">
        <f ca="1">IFERROR(__xludf.DUMMYFUNCTION((TRANSPOSE(ImportHTML("http://spending.data.al/sq/moneypower/view/id/290/year/2013",  "table", 0)))),"*Kategoria*")</f>
        <v>*Kategoria*</v>
      </c>
      <c r="C603" s="10" t="s">
        <v>673</v>
      </c>
      <c r="D603" s="10" t="s">
        <v>674</v>
      </c>
      <c r="E603" s="10" t="s">
        <v>675</v>
      </c>
      <c r="F603" s="10" t="s">
        <v>676</v>
      </c>
      <c r="G603" s="10" t="s">
        <v>677</v>
      </c>
      <c r="H603" s="10" t="s">
        <v>678</v>
      </c>
      <c r="I603" s="10" t="s">
        <v>679</v>
      </c>
      <c r="J603" s="10" t="s">
        <v>680</v>
      </c>
      <c r="K603" s="10" t="s">
        <v>681</v>
      </c>
      <c r="L603" s="10" t="s">
        <v>682</v>
      </c>
      <c r="M603" s="10" t="s">
        <v>683</v>
      </c>
      <c r="N603" s="10" t="s">
        <v>684</v>
      </c>
      <c r="O603" s="10" t="s">
        <v>685</v>
      </c>
      <c r="P603" s="10"/>
      <c r="Q603" s="10"/>
      <c r="R603" s="10"/>
      <c r="S603" s="10"/>
      <c r="T603" s="10"/>
      <c r="U603" s="10"/>
      <c r="V603" s="10"/>
      <c r="W603" s="10"/>
      <c r="X603" s="10"/>
      <c r="Y603" s="10"/>
      <c r="Z603" s="10"/>
    </row>
    <row r="604" spans="1:26" ht="15">
      <c r="A604" s="11"/>
      <c r="B604" s="10" t="s">
        <v>686</v>
      </c>
      <c r="C604" s="10" t="s">
        <v>4216</v>
      </c>
      <c r="D604" s="10" t="s">
        <v>688</v>
      </c>
      <c r="E604" s="10" t="s">
        <v>688</v>
      </c>
      <c r="F604" s="10" t="s">
        <v>688</v>
      </c>
      <c r="G604" s="10" t="s">
        <v>688</v>
      </c>
      <c r="H604" s="10" t="s">
        <v>688</v>
      </c>
      <c r="I604" s="10" t="s">
        <v>688</v>
      </c>
      <c r="J604" s="10" t="s">
        <v>688</v>
      </c>
      <c r="K604" s="10" t="s">
        <v>688</v>
      </c>
      <c r="L604" s="10" t="s">
        <v>688</v>
      </c>
      <c r="M604" s="10" t="s">
        <v>688</v>
      </c>
      <c r="N604" s="10">
        <v>1</v>
      </c>
      <c r="O604" s="10" t="s">
        <v>688</v>
      </c>
      <c r="P604" s="10"/>
      <c r="Q604" s="10"/>
      <c r="R604" s="10"/>
      <c r="S604" s="10"/>
      <c r="T604" s="10"/>
      <c r="U604" s="10"/>
      <c r="V604" s="10"/>
      <c r="W604" s="10"/>
      <c r="X604" s="10"/>
      <c r="Y604" s="10"/>
      <c r="Z604" s="10"/>
    </row>
    <row r="605" spans="1:26" ht="15">
      <c r="A605" s="9">
        <v>291</v>
      </c>
      <c r="B605" s="10" t="str">
        <f ca="1">IFERROR(__xludf.DUMMYFUNCTION((TRANSPOSE(ImportHTML("http://spending.data.al/sq/moneypower/view/id/291/year/2013",  "table", 0)))),"*Kategoria*")</f>
        <v>*Kategoria*</v>
      </c>
      <c r="C605" s="10" t="s">
        <v>673</v>
      </c>
      <c r="D605" s="10" t="s">
        <v>674</v>
      </c>
      <c r="E605" s="10" t="s">
        <v>675</v>
      </c>
      <c r="F605" s="10" t="s">
        <v>676</v>
      </c>
      <c r="G605" s="10" t="s">
        <v>677</v>
      </c>
      <c r="H605" s="10" t="s">
        <v>678</v>
      </c>
      <c r="I605" s="10" t="s">
        <v>679</v>
      </c>
      <c r="J605" s="10" t="s">
        <v>680</v>
      </c>
      <c r="K605" s="10" t="s">
        <v>681</v>
      </c>
      <c r="L605" s="10" t="s">
        <v>682</v>
      </c>
      <c r="M605" s="10" t="s">
        <v>683</v>
      </c>
      <c r="N605" s="10" t="s">
        <v>684</v>
      </c>
      <c r="O605" s="10" t="s">
        <v>685</v>
      </c>
      <c r="P605" s="10"/>
      <c r="Q605" s="10"/>
      <c r="R605" s="10"/>
      <c r="S605" s="10"/>
      <c r="T605" s="10"/>
      <c r="U605" s="10"/>
      <c r="V605" s="10"/>
      <c r="W605" s="10"/>
      <c r="X605" s="10"/>
      <c r="Y605" s="10"/>
      <c r="Z605" s="10"/>
    </row>
    <row r="606" spans="1:26" ht="15">
      <c r="A606" s="11"/>
      <c r="B606" s="10" t="s">
        <v>686</v>
      </c>
      <c r="C606" s="10" t="s">
        <v>4217</v>
      </c>
      <c r="D606" s="10" t="s">
        <v>688</v>
      </c>
      <c r="E606" s="10" t="s">
        <v>688</v>
      </c>
      <c r="F606" s="10" t="s">
        <v>4218</v>
      </c>
      <c r="G606" s="10" t="s">
        <v>688</v>
      </c>
      <c r="H606" s="10" t="s">
        <v>688</v>
      </c>
      <c r="I606" s="10" t="s">
        <v>688</v>
      </c>
      <c r="J606" s="10" t="s">
        <v>688</v>
      </c>
      <c r="K606" s="10" t="s">
        <v>688</v>
      </c>
      <c r="L606" s="10" t="s">
        <v>4219</v>
      </c>
      <c r="M606" s="10" t="s">
        <v>688</v>
      </c>
      <c r="N606" s="10">
        <v>1.1000000000000001</v>
      </c>
      <c r="O606" s="10" t="s">
        <v>4220</v>
      </c>
      <c r="P606" s="10"/>
      <c r="Q606" s="10"/>
      <c r="R606" s="10"/>
      <c r="S606" s="10"/>
      <c r="T606" s="10"/>
      <c r="U606" s="10"/>
      <c r="V606" s="10"/>
      <c r="W606" s="10"/>
      <c r="X606" s="10"/>
      <c r="Y606" s="10"/>
      <c r="Z606" s="10"/>
    </row>
    <row r="607" spans="1:26" ht="15">
      <c r="A607" s="9">
        <v>292</v>
      </c>
      <c r="B607" s="10" t="str">
        <f ca="1">IFERROR(__xludf.DUMMYFUNCTION((TRANSPOSE(ImportHTML("http://spending.data.al/sq/moneypower/view/id/292/year/2013",  "table", 0)))),"*Kategoria*")</f>
        <v>*Kategoria*</v>
      </c>
      <c r="C607" s="10" t="s">
        <v>673</v>
      </c>
      <c r="D607" s="10" t="s">
        <v>674</v>
      </c>
      <c r="E607" s="10" t="s">
        <v>675</v>
      </c>
      <c r="F607" s="10" t="s">
        <v>676</v>
      </c>
      <c r="G607" s="10" t="s">
        <v>677</v>
      </c>
      <c r="H607" s="10" t="s">
        <v>678</v>
      </c>
      <c r="I607" s="10" t="s">
        <v>679</v>
      </c>
      <c r="J607" s="10" t="s">
        <v>680</v>
      </c>
      <c r="K607" s="10" t="s">
        <v>681</v>
      </c>
      <c r="L607" s="10" t="s">
        <v>682</v>
      </c>
      <c r="M607" s="10" t="s">
        <v>683</v>
      </c>
      <c r="N607" s="10" t="s">
        <v>684</v>
      </c>
      <c r="O607" s="10" t="s">
        <v>685</v>
      </c>
      <c r="P607" s="10"/>
      <c r="Q607" s="10"/>
      <c r="R607" s="10"/>
      <c r="S607" s="10"/>
      <c r="T607" s="10"/>
      <c r="U607" s="10"/>
      <c r="V607" s="10"/>
      <c r="W607" s="10"/>
      <c r="X607" s="10"/>
      <c r="Y607" s="10"/>
      <c r="Z607" s="10"/>
    </row>
    <row r="608" spans="1:26" ht="15">
      <c r="A608" s="11"/>
      <c r="B608" s="10" t="s">
        <v>686</v>
      </c>
      <c r="C608" s="10" t="s">
        <v>4221</v>
      </c>
      <c r="D608" s="10" t="s">
        <v>688</v>
      </c>
      <c r="E608" s="10" t="s">
        <v>688</v>
      </c>
      <c r="F608" s="10" t="s">
        <v>688</v>
      </c>
      <c r="G608" s="10" t="s">
        <v>688</v>
      </c>
      <c r="H608" s="10" t="s">
        <v>688</v>
      </c>
      <c r="I608" s="10" t="s">
        <v>688</v>
      </c>
      <c r="J608" s="10" t="s">
        <v>688</v>
      </c>
      <c r="K608" s="10" t="s">
        <v>688</v>
      </c>
      <c r="L608" s="10" t="s">
        <v>4222</v>
      </c>
      <c r="M608" s="10" t="s">
        <v>688</v>
      </c>
      <c r="N608" s="10">
        <v>1</v>
      </c>
      <c r="O608" s="10" t="s">
        <v>4223</v>
      </c>
      <c r="P608" s="10"/>
      <c r="Q608" s="10"/>
      <c r="R608" s="10"/>
      <c r="S608" s="10"/>
      <c r="T608" s="10"/>
      <c r="U608" s="10"/>
      <c r="V608" s="10"/>
      <c r="W608" s="10"/>
      <c r="X608" s="10"/>
      <c r="Y608" s="10"/>
      <c r="Z608" s="10"/>
    </row>
    <row r="609" spans="1:26" ht="15">
      <c r="A609" s="9">
        <v>293</v>
      </c>
      <c r="B609" s="10" t="str">
        <f ca="1">IFERROR(__xludf.DUMMYFUNCTION((TRANSPOSE(ImportHTML("http://spending.data.al/sq/moneypower/view/id/293/year/2013",  "table", 0)))),"*Kategoria*")</f>
        <v>*Kategoria*</v>
      </c>
      <c r="C609" s="10" t="s">
        <v>673</v>
      </c>
      <c r="D609" s="10" t="s">
        <v>674</v>
      </c>
      <c r="E609" s="10" t="s">
        <v>675</v>
      </c>
      <c r="F609" s="10" t="s">
        <v>676</v>
      </c>
      <c r="G609" s="10" t="s">
        <v>677</v>
      </c>
      <c r="H609" s="10" t="s">
        <v>678</v>
      </c>
      <c r="I609" s="10" t="s">
        <v>679</v>
      </c>
      <c r="J609" s="10" t="s">
        <v>680</v>
      </c>
      <c r="K609" s="10" t="s">
        <v>681</v>
      </c>
      <c r="L609" s="10" t="s">
        <v>682</v>
      </c>
      <c r="M609" s="10" t="s">
        <v>683</v>
      </c>
      <c r="N609" s="10" t="s">
        <v>684</v>
      </c>
      <c r="O609" s="10" t="s">
        <v>685</v>
      </c>
      <c r="P609" s="10"/>
      <c r="Q609" s="10"/>
      <c r="R609" s="10"/>
      <c r="S609" s="10"/>
      <c r="T609" s="10"/>
      <c r="U609" s="10"/>
      <c r="V609" s="10"/>
      <c r="W609" s="10"/>
      <c r="X609" s="10"/>
      <c r="Y609" s="10"/>
      <c r="Z609" s="10"/>
    </row>
    <row r="610" spans="1:26" ht="15">
      <c r="A610" s="11"/>
      <c r="B610" s="10" t="s">
        <v>686</v>
      </c>
      <c r="C610" s="10" t="s">
        <v>4224</v>
      </c>
      <c r="D610" s="10" t="s">
        <v>688</v>
      </c>
      <c r="E610" s="10" t="s">
        <v>688</v>
      </c>
      <c r="F610" s="10" t="s">
        <v>688</v>
      </c>
      <c r="G610" s="10" t="s">
        <v>688</v>
      </c>
      <c r="H610" s="10" t="s">
        <v>688</v>
      </c>
      <c r="I610" s="10" t="s">
        <v>688</v>
      </c>
      <c r="J610" s="10" t="s">
        <v>688</v>
      </c>
      <c r="K610" s="10" t="s">
        <v>688</v>
      </c>
      <c r="L610" s="10" t="s">
        <v>4225</v>
      </c>
      <c r="M610" s="10" t="s">
        <v>688</v>
      </c>
      <c r="N610" s="10">
        <v>1</v>
      </c>
      <c r="O610" s="10" t="s">
        <v>4226</v>
      </c>
      <c r="P610" s="10"/>
      <c r="Q610" s="10"/>
      <c r="R610" s="10"/>
      <c r="S610" s="10"/>
      <c r="T610" s="10"/>
      <c r="U610" s="10"/>
      <c r="V610" s="10"/>
      <c r="W610" s="10"/>
      <c r="X610" s="10"/>
      <c r="Y610" s="10"/>
      <c r="Z610" s="10"/>
    </row>
    <row r="611" spans="1:26" ht="15">
      <c r="A611" s="9">
        <v>294</v>
      </c>
      <c r="B611" s="10" t="str">
        <f ca="1">IFERROR(__xludf.DUMMYFUNCTION((TRANSPOSE(ImportHTML("http://spending.data.al/sq/moneypower/view/id/294/year/2013",  "table", 0)))),"*Kategoria*")</f>
        <v>*Kategoria*</v>
      </c>
      <c r="C611" s="10" t="s">
        <v>673</v>
      </c>
      <c r="D611" s="10" t="s">
        <v>674</v>
      </c>
      <c r="E611" s="10" t="s">
        <v>675</v>
      </c>
      <c r="F611" s="10" t="s">
        <v>676</v>
      </c>
      <c r="G611" s="10" t="s">
        <v>677</v>
      </c>
      <c r="H611" s="10" t="s">
        <v>678</v>
      </c>
      <c r="I611" s="10" t="s">
        <v>679</v>
      </c>
      <c r="J611" s="10" t="s">
        <v>680</v>
      </c>
      <c r="K611" s="10" t="s">
        <v>681</v>
      </c>
      <c r="L611" s="10" t="s">
        <v>682</v>
      </c>
      <c r="M611" s="10" t="s">
        <v>683</v>
      </c>
      <c r="N611" s="10" t="s">
        <v>684</v>
      </c>
      <c r="O611" s="10" t="s">
        <v>685</v>
      </c>
      <c r="P611" s="10"/>
      <c r="Q611" s="10"/>
      <c r="R611" s="10"/>
      <c r="S611" s="10"/>
      <c r="T611" s="10"/>
      <c r="U611" s="10"/>
      <c r="V611" s="10"/>
      <c r="W611" s="10"/>
      <c r="X611" s="10"/>
      <c r="Y611" s="10"/>
      <c r="Z611" s="10"/>
    </row>
    <row r="612" spans="1:26" ht="15">
      <c r="A612" s="11"/>
      <c r="B612" s="10" t="s">
        <v>686</v>
      </c>
      <c r="C612" s="10" t="s">
        <v>4227</v>
      </c>
      <c r="D612" s="10" t="s">
        <v>688</v>
      </c>
      <c r="E612" s="10" t="s">
        <v>688</v>
      </c>
      <c r="F612" s="10" t="s">
        <v>688</v>
      </c>
      <c r="G612" s="10" t="s">
        <v>688</v>
      </c>
      <c r="H612" s="10" t="s">
        <v>688</v>
      </c>
      <c r="I612" s="10" t="s">
        <v>688</v>
      </c>
      <c r="J612" s="10" t="s">
        <v>688</v>
      </c>
      <c r="K612" s="10" t="s">
        <v>688</v>
      </c>
      <c r="L612" s="10" t="s">
        <v>4228</v>
      </c>
      <c r="M612" s="10" t="s">
        <v>4229</v>
      </c>
      <c r="N612" s="10"/>
      <c r="O612" s="10" t="s">
        <v>4230</v>
      </c>
      <c r="P612" s="10"/>
      <c r="Q612" s="10"/>
      <c r="R612" s="10"/>
      <c r="S612" s="10"/>
      <c r="T612" s="10"/>
      <c r="U612" s="10"/>
      <c r="V612" s="10"/>
      <c r="W612" s="10"/>
      <c r="X612" s="10"/>
      <c r="Y612" s="10"/>
      <c r="Z612" s="10"/>
    </row>
    <row r="613" spans="1:26" ht="15">
      <c r="A613" s="9">
        <v>295</v>
      </c>
      <c r="B613" s="10" t="str">
        <f ca="1">IFERROR(__xludf.DUMMYFUNCTION((TRANSPOSE(ImportHTML("http://spending.data.al/sq/moneypower/view/id/295/year/2013",  "table", 0)))),"*Kategoria*")</f>
        <v>*Kategoria*</v>
      </c>
      <c r="C613" s="10" t="s">
        <v>673</v>
      </c>
      <c r="D613" s="10" t="s">
        <v>674</v>
      </c>
      <c r="E613" s="10" t="s">
        <v>675</v>
      </c>
      <c r="F613" s="10" t="s">
        <v>676</v>
      </c>
      <c r="G613" s="10" t="s">
        <v>677</v>
      </c>
      <c r="H613" s="10" t="s">
        <v>678</v>
      </c>
      <c r="I613" s="10" t="s">
        <v>679</v>
      </c>
      <c r="J613" s="10" t="s">
        <v>680</v>
      </c>
      <c r="K613" s="10" t="s">
        <v>681</v>
      </c>
      <c r="L613" s="10" t="s">
        <v>682</v>
      </c>
      <c r="M613" s="10" t="s">
        <v>683</v>
      </c>
      <c r="N613" s="10" t="s">
        <v>684</v>
      </c>
      <c r="O613" s="10" t="s">
        <v>685</v>
      </c>
      <c r="P613" s="10"/>
      <c r="Q613" s="10"/>
      <c r="R613" s="10"/>
      <c r="S613" s="10"/>
      <c r="T613" s="10"/>
      <c r="U613" s="10"/>
      <c r="V613" s="10"/>
      <c r="W613" s="10"/>
      <c r="X613" s="10"/>
      <c r="Y613" s="10"/>
      <c r="Z613" s="10"/>
    </row>
    <row r="614" spans="1:26" ht="15">
      <c r="A614" s="11"/>
      <c r="B614" s="10" t="s">
        <v>686</v>
      </c>
      <c r="C614" s="10" t="s">
        <v>4231</v>
      </c>
      <c r="D614" s="10" t="s">
        <v>688</v>
      </c>
      <c r="E614" s="10" t="s">
        <v>4232</v>
      </c>
      <c r="F614" s="10" t="s">
        <v>688</v>
      </c>
      <c r="G614" s="10" t="s">
        <v>688</v>
      </c>
      <c r="H614" s="10" t="s">
        <v>688</v>
      </c>
      <c r="I614" s="10" t="s">
        <v>688</v>
      </c>
      <c r="J614" s="10" t="s">
        <v>688</v>
      </c>
      <c r="K614" s="10" t="s">
        <v>688</v>
      </c>
      <c r="L614" s="10" t="s">
        <v>4233</v>
      </c>
      <c r="M614" s="10" t="s">
        <v>688</v>
      </c>
      <c r="N614" s="10">
        <v>1.01</v>
      </c>
      <c r="O614" s="10" t="s">
        <v>4234</v>
      </c>
      <c r="P614" s="10"/>
      <c r="Q614" s="10"/>
      <c r="R614" s="10"/>
      <c r="S614" s="10"/>
      <c r="T614" s="10"/>
      <c r="U614" s="10"/>
      <c r="V614" s="10"/>
      <c r="W614" s="10"/>
      <c r="X614" s="10"/>
      <c r="Y614" s="10"/>
      <c r="Z614" s="10"/>
    </row>
    <row r="615" spans="1:26" ht="15">
      <c r="A615" s="9">
        <v>296</v>
      </c>
      <c r="B615" s="10" t="str">
        <f ca="1">IFERROR(__xludf.DUMMYFUNCTION((TRANSPOSE(ImportHTML("http://spending.data.al/sq/moneypower/view/id/296/year/2013",  "table", 0)))),"*Kategoria*")</f>
        <v>*Kategoria*</v>
      </c>
      <c r="C615" s="10" t="s">
        <v>673</v>
      </c>
      <c r="D615" s="10" t="s">
        <v>674</v>
      </c>
      <c r="E615" s="10" t="s">
        <v>675</v>
      </c>
      <c r="F615" s="10" t="s">
        <v>676</v>
      </c>
      <c r="G615" s="10" t="s">
        <v>677</v>
      </c>
      <c r="H615" s="10" t="s">
        <v>678</v>
      </c>
      <c r="I615" s="10" t="s">
        <v>679</v>
      </c>
      <c r="J615" s="10" t="s">
        <v>680</v>
      </c>
      <c r="K615" s="10" t="s">
        <v>681</v>
      </c>
      <c r="L615" s="10" t="s">
        <v>682</v>
      </c>
      <c r="M615" s="10" t="s">
        <v>683</v>
      </c>
      <c r="N615" s="10" t="s">
        <v>684</v>
      </c>
      <c r="O615" s="10" t="s">
        <v>685</v>
      </c>
      <c r="P615" s="10"/>
      <c r="Q615" s="10"/>
      <c r="R615" s="10"/>
      <c r="S615" s="10"/>
      <c r="T615" s="10"/>
      <c r="U615" s="10"/>
      <c r="V615" s="10"/>
      <c r="W615" s="10"/>
      <c r="X615" s="10"/>
      <c r="Y615" s="10"/>
      <c r="Z615" s="10"/>
    </row>
    <row r="616" spans="1:26" ht="15">
      <c r="A616" s="11"/>
      <c r="B616" s="10" t="s">
        <v>686</v>
      </c>
      <c r="C616" s="10" t="s">
        <v>1731</v>
      </c>
      <c r="D616" s="10" t="s">
        <v>688</v>
      </c>
      <c r="E616" s="10" t="s">
        <v>688</v>
      </c>
      <c r="F616" s="10" t="s">
        <v>688</v>
      </c>
      <c r="G616" s="10" t="s">
        <v>688</v>
      </c>
      <c r="H616" s="10" t="s">
        <v>688</v>
      </c>
      <c r="I616" s="10" t="s">
        <v>688</v>
      </c>
      <c r="J616" s="10" t="s">
        <v>688</v>
      </c>
      <c r="K616" s="10" t="s">
        <v>688</v>
      </c>
      <c r="L616" s="10" t="s">
        <v>1732</v>
      </c>
      <c r="M616" s="10" t="s">
        <v>688</v>
      </c>
      <c r="N616" s="10">
        <v>1</v>
      </c>
      <c r="O616" s="10" t="s">
        <v>1733</v>
      </c>
      <c r="P616" s="10"/>
      <c r="Q616" s="10"/>
      <c r="R616" s="10"/>
      <c r="S616" s="10"/>
      <c r="T616" s="10"/>
      <c r="U616" s="10"/>
      <c r="V616" s="10"/>
      <c r="W616" s="10"/>
      <c r="X616" s="10"/>
      <c r="Y616" s="10"/>
      <c r="Z616" s="10"/>
    </row>
    <row r="617" spans="1:26" ht="15">
      <c r="A617" s="9">
        <v>297</v>
      </c>
      <c r="B617" s="10" t="str">
        <f ca="1">IFERROR(__xludf.DUMMYFUNCTION((TRANSPOSE(ImportHTML("http://spending.data.al/sq/moneypower/view/id/297/year/2013",  "table", 0)))),"*Kategoria*")</f>
        <v>*Kategoria*</v>
      </c>
      <c r="C617" s="10" t="s">
        <v>673</v>
      </c>
      <c r="D617" s="10" t="s">
        <v>674</v>
      </c>
      <c r="E617" s="10" t="s">
        <v>675</v>
      </c>
      <c r="F617" s="10" t="s">
        <v>676</v>
      </c>
      <c r="G617" s="10" t="s">
        <v>677</v>
      </c>
      <c r="H617" s="10" t="s">
        <v>678</v>
      </c>
      <c r="I617" s="10" t="s">
        <v>679</v>
      </c>
      <c r="J617" s="10" t="s">
        <v>680</v>
      </c>
      <c r="K617" s="10" t="s">
        <v>681</v>
      </c>
      <c r="L617" s="10" t="s">
        <v>682</v>
      </c>
      <c r="M617" s="10" t="s">
        <v>683</v>
      </c>
      <c r="N617" s="10" t="s">
        <v>684</v>
      </c>
      <c r="O617" s="10" t="s">
        <v>685</v>
      </c>
      <c r="P617" s="10"/>
      <c r="Q617" s="10"/>
      <c r="R617" s="10"/>
      <c r="S617" s="10"/>
      <c r="T617" s="10"/>
      <c r="U617" s="10"/>
      <c r="V617" s="10"/>
      <c r="W617" s="10"/>
      <c r="X617" s="10"/>
      <c r="Y617" s="10"/>
      <c r="Z617" s="10"/>
    </row>
    <row r="618" spans="1:26" ht="15">
      <c r="A618" s="11"/>
      <c r="B618" s="10" t="s">
        <v>686</v>
      </c>
      <c r="C618" s="10" t="s">
        <v>4235</v>
      </c>
      <c r="D618" s="10" t="s">
        <v>688</v>
      </c>
      <c r="E618" s="10" t="s">
        <v>688</v>
      </c>
      <c r="F618" s="10" t="s">
        <v>688</v>
      </c>
      <c r="G618" s="10" t="s">
        <v>688</v>
      </c>
      <c r="H618" s="10" t="s">
        <v>688</v>
      </c>
      <c r="I618" s="10" t="s">
        <v>688</v>
      </c>
      <c r="J618" s="10" t="s">
        <v>688</v>
      </c>
      <c r="K618" s="10" t="s">
        <v>688</v>
      </c>
      <c r="L618" s="10" t="s">
        <v>4236</v>
      </c>
      <c r="M618" s="10" t="s">
        <v>688</v>
      </c>
      <c r="N618" s="10">
        <v>1</v>
      </c>
      <c r="O618" s="10" t="s">
        <v>4237</v>
      </c>
      <c r="P618" s="10"/>
      <c r="Q618" s="10"/>
      <c r="R618" s="10"/>
      <c r="S618" s="10"/>
      <c r="T618" s="10"/>
      <c r="U618" s="10"/>
      <c r="V618" s="10"/>
      <c r="W618" s="10"/>
      <c r="X618" s="10"/>
      <c r="Y618" s="10"/>
      <c r="Z618" s="10"/>
    </row>
    <row r="619" spans="1:26" ht="15">
      <c r="A619" s="9">
        <v>298</v>
      </c>
      <c r="B619" s="10" t="str">
        <f ca="1">IFERROR(__xludf.DUMMYFUNCTION((TRANSPOSE(ImportHTML("http://spending.data.al/sq/moneypower/view/id/298/year/2013",  "table", 0)))),"*Kategoria*")</f>
        <v>*Kategoria*</v>
      </c>
      <c r="C619" s="10" t="s">
        <v>673</v>
      </c>
      <c r="D619" s="10" t="s">
        <v>674</v>
      </c>
      <c r="E619" s="10" t="s">
        <v>675</v>
      </c>
      <c r="F619" s="10" t="s">
        <v>676</v>
      </c>
      <c r="G619" s="10" t="s">
        <v>677</v>
      </c>
      <c r="H619" s="10" t="s">
        <v>678</v>
      </c>
      <c r="I619" s="10" t="s">
        <v>679</v>
      </c>
      <c r="J619" s="10" t="s">
        <v>680</v>
      </c>
      <c r="K619" s="10" t="s">
        <v>681</v>
      </c>
      <c r="L619" s="10" t="s">
        <v>682</v>
      </c>
      <c r="M619" s="10" t="s">
        <v>683</v>
      </c>
      <c r="N619" s="10" t="s">
        <v>684</v>
      </c>
      <c r="O619" s="10" t="s">
        <v>685</v>
      </c>
      <c r="P619" s="10"/>
      <c r="Q619" s="10"/>
      <c r="R619" s="10"/>
      <c r="S619" s="10"/>
      <c r="T619" s="10"/>
      <c r="U619" s="10"/>
      <c r="V619" s="10"/>
      <c r="W619" s="10"/>
      <c r="X619" s="10"/>
      <c r="Y619" s="10"/>
      <c r="Z619" s="10"/>
    </row>
    <row r="620" spans="1:26" ht="15">
      <c r="A620" s="11"/>
      <c r="B620" s="10" t="s">
        <v>686</v>
      </c>
      <c r="C620" s="10" t="s">
        <v>4238</v>
      </c>
      <c r="D620" s="10" t="s">
        <v>688</v>
      </c>
      <c r="E620" s="10" t="s">
        <v>688</v>
      </c>
      <c r="F620" s="10" t="s">
        <v>688</v>
      </c>
      <c r="G620" s="10" t="s">
        <v>688</v>
      </c>
      <c r="H620" s="10" t="s">
        <v>688</v>
      </c>
      <c r="I620" s="10" t="s">
        <v>688</v>
      </c>
      <c r="J620" s="10" t="s">
        <v>688</v>
      </c>
      <c r="K620" s="10" t="s">
        <v>688</v>
      </c>
      <c r="L620" s="10" t="s">
        <v>4239</v>
      </c>
      <c r="M620" s="10" t="s">
        <v>688</v>
      </c>
      <c r="N620" s="10">
        <v>1</v>
      </c>
      <c r="O620" s="10" t="s">
        <v>4240</v>
      </c>
      <c r="P620" s="10"/>
      <c r="Q620" s="10"/>
      <c r="R620" s="10"/>
      <c r="S620" s="10"/>
      <c r="T620" s="10"/>
      <c r="U620" s="10"/>
      <c r="V620" s="10"/>
      <c r="W620" s="10"/>
      <c r="X620" s="10"/>
      <c r="Y620" s="10"/>
      <c r="Z620" s="10"/>
    </row>
    <row r="621" spans="1:26" ht="15">
      <c r="A621" s="9">
        <v>299</v>
      </c>
      <c r="B621" s="10" t="str">
        <f ca="1">IFERROR(__xludf.DUMMYFUNCTION((TRANSPOSE(ImportHTML("http://spending.data.al/sq/moneypower/view/id/299/year/2013",  "table", 0)))),"*Kategoria*")</f>
        <v>*Kategoria*</v>
      </c>
      <c r="C621" s="10" t="s">
        <v>673</v>
      </c>
      <c r="D621" s="10" t="s">
        <v>674</v>
      </c>
      <c r="E621" s="10" t="s">
        <v>675</v>
      </c>
      <c r="F621" s="10" t="s">
        <v>676</v>
      </c>
      <c r="G621" s="10" t="s">
        <v>677</v>
      </c>
      <c r="H621" s="10" t="s">
        <v>678</v>
      </c>
      <c r="I621" s="10" t="s">
        <v>679</v>
      </c>
      <c r="J621" s="10" t="s">
        <v>680</v>
      </c>
      <c r="K621" s="10" t="s">
        <v>681</v>
      </c>
      <c r="L621" s="10" t="s">
        <v>682</v>
      </c>
      <c r="M621" s="10" t="s">
        <v>683</v>
      </c>
      <c r="N621" s="10" t="s">
        <v>684</v>
      </c>
      <c r="O621" s="10" t="s">
        <v>685</v>
      </c>
      <c r="P621" s="10"/>
      <c r="Q621" s="10"/>
      <c r="R621" s="10"/>
      <c r="S621" s="10"/>
      <c r="T621" s="10"/>
      <c r="U621" s="10"/>
      <c r="V621" s="10"/>
      <c r="W621" s="10"/>
      <c r="X621" s="10"/>
      <c r="Y621" s="10"/>
      <c r="Z621" s="10"/>
    </row>
    <row r="622" spans="1:26" ht="15">
      <c r="A622" s="11"/>
      <c r="B622" s="10" t="s">
        <v>686</v>
      </c>
      <c r="C622" s="10" t="s">
        <v>4241</v>
      </c>
      <c r="D622" s="10" t="s">
        <v>688</v>
      </c>
      <c r="E622" s="10" t="s">
        <v>688</v>
      </c>
      <c r="F622" s="10" t="s">
        <v>688</v>
      </c>
      <c r="G622" s="10" t="s">
        <v>688</v>
      </c>
      <c r="H622" s="10" t="s">
        <v>688</v>
      </c>
      <c r="I622" s="10" t="s">
        <v>688</v>
      </c>
      <c r="J622" s="10" t="s">
        <v>688</v>
      </c>
      <c r="K622" s="10" t="s">
        <v>688</v>
      </c>
      <c r="L622" s="10" t="s">
        <v>4242</v>
      </c>
      <c r="M622" s="10" t="s">
        <v>688</v>
      </c>
      <c r="N622" s="10">
        <v>1</v>
      </c>
      <c r="O622" s="10" t="s">
        <v>688</v>
      </c>
      <c r="P622" s="10"/>
      <c r="Q622" s="10"/>
      <c r="R622" s="10"/>
      <c r="S622" s="10"/>
      <c r="T622" s="10"/>
      <c r="U622" s="10"/>
      <c r="V622" s="10"/>
      <c r="W622" s="10"/>
      <c r="X622" s="10"/>
      <c r="Y622" s="10"/>
      <c r="Z622" s="10"/>
    </row>
    <row r="623" spans="1:26" ht="15">
      <c r="A623" s="9">
        <v>300</v>
      </c>
      <c r="B623" s="10" t="str">
        <f ca="1">IFERROR(__xludf.DUMMYFUNCTION((TRANSPOSE(ImportHTML("http://spending.data.al/sq/moneypower/view/id/300/year/2013",  "table", 0)))),"*Emër Subjekti*")</f>
        <v>*Emër Subjekti*</v>
      </c>
      <c r="C623" s="10" t="s">
        <v>698</v>
      </c>
      <c r="D623" s="10" t="s">
        <v>699</v>
      </c>
      <c r="E623" s="10" t="s">
        <v>700</v>
      </c>
      <c r="F623" s="10" t="s">
        <v>701</v>
      </c>
      <c r="G623" s="10" t="s">
        <v>702</v>
      </c>
      <c r="H623" s="10"/>
      <c r="I623" s="10"/>
      <c r="J623" s="10"/>
      <c r="K623" s="10"/>
      <c r="L623" s="10"/>
      <c r="M623" s="10"/>
      <c r="N623" s="10"/>
      <c r="O623" s="10"/>
      <c r="P623" s="10"/>
      <c r="Q623" s="10"/>
      <c r="R623" s="10"/>
      <c r="S623" s="10"/>
      <c r="T623" s="10"/>
      <c r="U623" s="10"/>
      <c r="V623" s="10"/>
      <c r="W623" s="10"/>
      <c r="X623" s="10"/>
      <c r="Y623" s="10"/>
      <c r="Z623" s="10"/>
    </row>
    <row r="624" spans="1:26" ht="15">
      <c r="A624" s="11"/>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c r="A625" s="11"/>
      <c r="B625" s="10" t="s">
        <v>4337</v>
      </c>
      <c r="C625" s="10" t="s">
        <v>711</v>
      </c>
      <c r="D625" s="10">
        <v>40063</v>
      </c>
      <c r="E625" s="10" t="s">
        <v>2191</v>
      </c>
      <c r="F625" s="10" t="s">
        <v>4338</v>
      </c>
      <c r="G625" s="10" t="s">
        <v>4339</v>
      </c>
      <c r="H625" s="10"/>
      <c r="I625" s="10"/>
      <c r="J625" s="10"/>
      <c r="K625" s="10"/>
      <c r="L625" s="10"/>
      <c r="M625" s="10"/>
      <c r="N625" s="10"/>
      <c r="O625" s="10"/>
      <c r="P625" s="10"/>
      <c r="Q625" s="10"/>
      <c r="R625" s="10"/>
      <c r="S625" s="10"/>
      <c r="T625" s="10"/>
      <c r="U625" s="10"/>
      <c r="V625" s="10"/>
      <c r="W625" s="10"/>
      <c r="X625" s="10"/>
      <c r="Y625" s="10"/>
      <c r="Z625" s="10"/>
    </row>
    <row r="626" spans="1:26" ht="15">
      <c r="A626" s="9">
        <v>301</v>
      </c>
      <c r="B626" s="10" t="str">
        <f ca="1">IFERROR(__xludf.DUMMYFUNCTION((TRANSPOSE(ImportHTML("http://spending.data.al/sq/moneypower/view/id/301/year/2013",  "table", 0)))),"*Kategoria*")</f>
        <v>*Kategoria*</v>
      </c>
      <c r="C626" s="10" t="s">
        <v>673</v>
      </c>
      <c r="D626" s="10" t="s">
        <v>674</v>
      </c>
      <c r="E626" s="10" t="s">
        <v>675</v>
      </c>
      <c r="F626" s="10" t="s">
        <v>676</v>
      </c>
      <c r="G626" s="10" t="s">
        <v>677</v>
      </c>
      <c r="H626" s="10" t="s">
        <v>678</v>
      </c>
      <c r="I626" s="10" t="s">
        <v>679</v>
      </c>
      <c r="J626" s="10" t="s">
        <v>680</v>
      </c>
      <c r="K626" s="10" t="s">
        <v>681</v>
      </c>
      <c r="L626" s="10" t="s">
        <v>682</v>
      </c>
      <c r="M626" s="10" t="s">
        <v>683</v>
      </c>
      <c r="N626" s="10" t="s">
        <v>684</v>
      </c>
      <c r="O626" s="10" t="s">
        <v>685</v>
      </c>
      <c r="P626" s="10"/>
      <c r="Q626" s="10"/>
      <c r="R626" s="10"/>
      <c r="S626" s="10"/>
      <c r="T626" s="10"/>
      <c r="U626" s="10"/>
      <c r="V626" s="10"/>
      <c r="W626" s="10"/>
      <c r="X626" s="10"/>
      <c r="Y626" s="10"/>
      <c r="Z626" s="10"/>
    </row>
    <row r="627" spans="1:26" ht="15">
      <c r="A627" s="11"/>
      <c r="B627" s="10" t="s">
        <v>686</v>
      </c>
      <c r="C627" s="10" t="s">
        <v>4243</v>
      </c>
      <c r="D627" s="10" t="s">
        <v>688</v>
      </c>
      <c r="E627" s="10" t="s">
        <v>3693</v>
      </c>
      <c r="F627" s="10" t="s">
        <v>4244</v>
      </c>
      <c r="G627" s="10" t="s">
        <v>688</v>
      </c>
      <c r="H627" s="10" t="s">
        <v>688</v>
      </c>
      <c r="I627" s="10" t="s">
        <v>688</v>
      </c>
      <c r="J627" s="10" t="s">
        <v>688</v>
      </c>
      <c r="K627" s="10" t="s">
        <v>688</v>
      </c>
      <c r="L627" s="10" t="s">
        <v>688</v>
      </c>
      <c r="M627" s="10" t="s">
        <v>688</v>
      </c>
      <c r="N627" s="10">
        <v>1.31</v>
      </c>
      <c r="O627" s="10" t="s">
        <v>688</v>
      </c>
      <c r="P627" s="10"/>
      <c r="Q627" s="10"/>
      <c r="R627" s="10"/>
      <c r="S627" s="10"/>
      <c r="T627" s="10"/>
      <c r="U627" s="10"/>
      <c r="V627" s="10"/>
      <c r="W627" s="10"/>
      <c r="X627" s="10"/>
      <c r="Y627" s="10"/>
      <c r="Z627" s="10"/>
    </row>
    <row r="628" spans="1:26" ht="15">
      <c r="A628" s="9">
        <v>302</v>
      </c>
      <c r="B628" s="10" t="str">
        <f ca="1">IFERROR(__xludf.DUMMYFUNCTION((TRANSPOSE(ImportHTML("http://spending.data.al/sq/moneypower/view/id/302/year/2013",  "table", 0)))),"*Kategoria*")</f>
        <v>*Kategoria*</v>
      </c>
      <c r="C628" s="10" t="s">
        <v>673</v>
      </c>
      <c r="D628" s="10" t="s">
        <v>674</v>
      </c>
      <c r="E628" s="10" t="s">
        <v>675</v>
      </c>
      <c r="F628" s="10" t="s">
        <v>676</v>
      </c>
      <c r="G628" s="10" t="s">
        <v>677</v>
      </c>
      <c r="H628" s="10" t="s">
        <v>678</v>
      </c>
      <c r="I628" s="10" t="s">
        <v>679</v>
      </c>
      <c r="J628" s="10" t="s">
        <v>680</v>
      </c>
      <c r="K628" s="10" t="s">
        <v>681</v>
      </c>
      <c r="L628" s="10" t="s">
        <v>682</v>
      </c>
      <c r="M628" s="10" t="s">
        <v>683</v>
      </c>
      <c r="N628" s="10" t="s">
        <v>684</v>
      </c>
      <c r="O628" s="10" t="s">
        <v>685</v>
      </c>
      <c r="P628" s="10"/>
      <c r="Q628" s="10"/>
      <c r="R628" s="10"/>
      <c r="S628" s="10"/>
      <c r="T628" s="10"/>
      <c r="U628" s="10"/>
      <c r="V628" s="10"/>
      <c r="W628" s="10"/>
      <c r="X628" s="10"/>
      <c r="Y628" s="10"/>
      <c r="Z628" s="10"/>
    </row>
    <row r="629" spans="1:26" ht="15">
      <c r="A629" s="11"/>
      <c r="B629" s="10" t="s">
        <v>686</v>
      </c>
      <c r="C629" s="10" t="s">
        <v>4245</v>
      </c>
      <c r="D629" s="10" t="s">
        <v>688</v>
      </c>
      <c r="E629" s="10" t="s">
        <v>688</v>
      </c>
      <c r="F629" s="10" t="s">
        <v>688</v>
      </c>
      <c r="G629" s="10" t="s">
        <v>688</v>
      </c>
      <c r="H629" s="10" t="s">
        <v>688</v>
      </c>
      <c r="I629" s="10" t="s">
        <v>688</v>
      </c>
      <c r="J629" s="10" t="s">
        <v>688</v>
      </c>
      <c r="K629" s="10" t="s">
        <v>688</v>
      </c>
      <c r="L629" s="10" t="s">
        <v>688</v>
      </c>
      <c r="M629" s="10" t="s">
        <v>688</v>
      </c>
      <c r="N629" s="10">
        <v>1</v>
      </c>
      <c r="O629" s="10" t="s">
        <v>688</v>
      </c>
      <c r="P629" s="10"/>
      <c r="Q629" s="10"/>
      <c r="R629" s="10"/>
      <c r="S629" s="10"/>
      <c r="T629" s="10"/>
      <c r="U629" s="10"/>
      <c r="V629" s="10"/>
      <c r="W629" s="10"/>
      <c r="X629" s="10"/>
      <c r="Y629" s="10"/>
      <c r="Z629" s="10"/>
    </row>
    <row r="630" spans="1:26" ht="15">
      <c r="A630" s="9">
        <v>303</v>
      </c>
      <c r="B630" s="10" t="str">
        <f ca="1">IFERROR(__xludf.DUMMYFUNCTION((TRANSPOSE(ImportHTML("http://spending.data.al/sq/moneypower/view/id/303/year/2013",  "table", 0)))),"*Kategoria*")</f>
        <v>*Kategoria*</v>
      </c>
      <c r="C630" s="10" t="s">
        <v>673</v>
      </c>
      <c r="D630" s="10" t="s">
        <v>674</v>
      </c>
      <c r="E630" s="10" t="s">
        <v>675</v>
      </c>
      <c r="F630" s="10" t="s">
        <v>676</v>
      </c>
      <c r="G630" s="10" t="s">
        <v>677</v>
      </c>
      <c r="H630" s="10" t="s">
        <v>678</v>
      </c>
      <c r="I630" s="10" t="s">
        <v>679</v>
      </c>
      <c r="J630" s="10" t="s">
        <v>680</v>
      </c>
      <c r="K630" s="10" t="s">
        <v>681</v>
      </c>
      <c r="L630" s="10" t="s">
        <v>682</v>
      </c>
      <c r="M630" s="10" t="s">
        <v>683</v>
      </c>
      <c r="N630" s="10" t="s">
        <v>684</v>
      </c>
      <c r="O630" s="10" t="s">
        <v>685</v>
      </c>
      <c r="P630" s="10"/>
      <c r="Q630" s="10"/>
      <c r="R630" s="10"/>
      <c r="S630" s="10"/>
      <c r="T630" s="10"/>
      <c r="U630" s="10"/>
      <c r="V630" s="10"/>
      <c r="W630" s="10"/>
      <c r="X630" s="10"/>
      <c r="Y630" s="10"/>
      <c r="Z630" s="10"/>
    </row>
    <row r="631" spans="1:26" ht="15">
      <c r="A631" s="11"/>
      <c r="B631" s="10" t="s">
        <v>686</v>
      </c>
      <c r="C631" s="10" t="s">
        <v>4246</v>
      </c>
      <c r="D631" s="10" t="s">
        <v>688</v>
      </c>
      <c r="E631" s="10" t="s">
        <v>688</v>
      </c>
      <c r="F631" s="10" t="s">
        <v>688</v>
      </c>
      <c r="G631" s="10" t="s">
        <v>688</v>
      </c>
      <c r="H631" s="10" t="s">
        <v>688</v>
      </c>
      <c r="I631" s="10" t="s">
        <v>688</v>
      </c>
      <c r="J631" s="10" t="s">
        <v>688</v>
      </c>
      <c r="K631" s="10" t="s">
        <v>688</v>
      </c>
      <c r="L631" s="10" t="s">
        <v>688</v>
      </c>
      <c r="M631" s="10" t="s">
        <v>688</v>
      </c>
      <c r="N631" s="10">
        <v>1</v>
      </c>
      <c r="O631" s="10" t="s">
        <v>4247</v>
      </c>
      <c r="P631" s="10"/>
      <c r="Q631" s="10"/>
      <c r="R631" s="10"/>
      <c r="S631" s="10"/>
      <c r="T631" s="10"/>
      <c r="U631" s="10"/>
      <c r="V631" s="10"/>
      <c r="W631" s="10"/>
      <c r="X631" s="10"/>
      <c r="Y631" s="10"/>
      <c r="Z631" s="10"/>
    </row>
    <row r="632" spans="1:26" ht="15">
      <c r="A632" s="9">
        <v>304</v>
      </c>
      <c r="B632" s="10" t="str">
        <f ca="1">IFERROR(__xludf.DUMMYFUNCTION((TRANSPOSE(ImportHTML("http://spending.data.al/sq/moneypower/view/id/304/year/2013",  "table", 0)))),"*Kategoria*")</f>
        <v>*Kategoria*</v>
      </c>
      <c r="C632" s="10" t="s">
        <v>673</v>
      </c>
      <c r="D632" s="10" t="s">
        <v>674</v>
      </c>
      <c r="E632" s="10" t="s">
        <v>675</v>
      </c>
      <c r="F632" s="10" t="s">
        <v>676</v>
      </c>
      <c r="G632" s="10" t="s">
        <v>677</v>
      </c>
      <c r="H632" s="10" t="s">
        <v>678</v>
      </c>
      <c r="I632" s="10" t="s">
        <v>679</v>
      </c>
      <c r="J632" s="10" t="s">
        <v>680</v>
      </c>
      <c r="K632" s="10" t="s">
        <v>681</v>
      </c>
      <c r="L632" s="10" t="s">
        <v>682</v>
      </c>
      <c r="M632" s="10" t="s">
        <v>683</v>
      </c>
      <c r="N632" s="10" t="s">
        <v>684</v>
      </c>
      <c r="O632" s="10" t="s">
        <v>685</v>
      </c>
      <c r="P632" s="10"/>
      <c r="Q632" s="10"/>
      <c r="R632" s="10"/>
      <c r="S632" s="10"/>
      <c r="T632" s="10"/>
      <c r="U632" s="10"/>
      <c r="V632" s="10"/>
      <c r="W632" s="10"/>
      <c r="X632" s="10"/>
      <c r="Y632" s="10"/>
      <c r="Z632" s="10"/>
    </row>
    <row r="633" spans="1:26" ht="15">
      <c r="A633" s="11"/>
      <c r="B633" s="10" t="s">
        <v>686</v>
      </c>
      <c r="C633" s="10" t="s">
        <v>4248</v>
      </c>
      <c r="D633" s="10" t="s">
        <v>688</v>
      </c>
      <c r="E633" s="10" t="s">
        <v>688</v>
      </c>
      <c r="F633" s="10" t="s">
        <v>688</v>
      </c>
      <c r="G633" s="10" t="s">
        <v>3698</v>
      </c>
      <c r="H633" s="10" t="s">
        <v>688</v>
      </c>
      <c r="I633" s="10" t="s">
        <v>688</v>
      </c>
      <c r="J633" s="10" t="s">
        <v>688</v>
      </c>
      <c r="K633" s="10" t="s">
        <v>688</v>
      </c>
      <c r="L633" s="10" t="s">
        <v>688</v>
      </c>
      <c r="M633" s="10" t="s">
        <v>688</v>
      </c>
      <c r="N633" s="10">
        <v>1.76</v>
      </c>
      <c r="O633" s="10" t="s">
        <v>4249</v>
      </c>
      <c r="P633" s="10"/>
      <c r="Q633" s="10"/>
      <c r="R633" s="10"/>
      <c r="S633" s="10"/>
      <c r="T633" s="10"/>
      <c r="U633" s="10"/>
      <c r="V633" s="10"/>
      <c r="W633" s="10"/>
      <c r="X633" s="10"/>
      <c r="Y633" s="10"/>
      <c r="Z633" s="10"/>
    </row>
    <row r="634" spans="1:26" ht="15">
      <c r="A634" s="9">
        <v>305</v>
      </c>
      <c r="B634" s="10" t="str">
        <f ca="1">IFERROR(__xludf.DUMMYFUNCTION((TRANSPOSE(ImportHTML("http://spending.data.al/sq/moneypower/view/id/305/year/2013",  "table", 0)))),"*Kategoria*")</f>
        <v>*Kategoria*</v>
      </c>
      <c r="C634" s="10" t="s">
        <v>673</v>
      </c>
      <c r="D634" s="10" t="s">
        <v>674</v>
      </c>
      <c r="E634" s="10" t="s">
        <v>675</v>
      </c>
      <c r="F634" s="10" t="s">
        <v>676</v>
      </c>
      <c r="G634" s="10" t="s">
        <v>677</v>
      </c>
      <c r="H634" s="10" t="s">
        <v>678</v>
      </c>
      <c r="I634" s="10" t="s">
        <v>679</v>
      </c>
      <c r="J634" s="10" t="s">
        <v>680</v>
      </c>
      <c r="K634" s="10" t="s">
        <v>681</v>
      </c>
      <c r="L634" s="10" t="s">
        <v>682</v>
      </c>
      <c r="M634" s="10" t="s">
        <v>683</v>
      </c>
      <c r="N634" s="10" t="s">
        <v>684</v>
      </c>
      <c r="O634" s="10" t="s">
        <v>685</v>
      </c>
      <c r="P634" s="10"/>
      <c r="Q634" s="10"/>
      <c r="R634" s="10"/>
      <c r="S634" s="10"/>
      <c r="T634" s="10"/>
      <c r="U634" s="10"/>
      <c r="V634" s="10"/>
      <c r="W634" s="10"/>
      <c r="X634" s="10"/>
      <c r="Y634" s="10"/>
      <c r="Z634" s="10"/>
    </row>
    <row r="635" spans="1:26" ht="15">
      <c r="A635" s="11"/>
      <c r="B635" s="10" t="s">
        <v>686</v>
      </c>
      <c r="C635" s="10" t="s">
        <v>4250</v>
      </c>
      <c r="D635" s="10" t="s">
        <v>688</v>
      </c>
      <c r="E635" s="10" t="s">
        <v>688</v>
      </c>
      <c r="F635" s="10" t="s">
        <v>688</v>
      </c>
      <c r="G635" s="10" t="s">
        <v>688</v>
      </c>
      <c r="H635" s="10" t="s">
        <v>688</v>
      </c>
      <c r="I635" s="10" t="s">
        <v>688</v>
      </c>
      <c r="J635" s="10" t="s">
        <v>688</v>
      </c>
      <c r="K635" s="10" t="s">
        <v>688</v>
      </c>
      <c r="L635" s="10" t="s">
        <v>4251</v>
      </c>
      <c r="M635" s="10" t="s">
        <v>688</v>
      </c>
      <c r="N635" s="10">
        <v>1</v>
      </c>
      <c r="O635" s="10" t="s">
        <v>688</v>
      </c>
      <c r="P635" s="10"/>
      <c r="Q635" s="10"/>
      <c r="R635" s="10"/>
      <c r="S635" s="10"/>
      <c r="T635" s="10"/>
      <c r="U635" s="10"/>
      <c r="V635" s="10"/>
      <c r="W635" s="10"/>
      <c r="X635" s="10"/>
      <c r="Y635" s="10"/>
      <c r="Z635" s="10"/>
    </row>
    <row r="636" spans="1:26" ht="15">
      <c r="A636" s="9">
        <v>306</v>
      </c>
      <c r="B636" s="10" t="str">
        <f ca="1">IFERROR(__xludf.DUMMYFUNCTION((TRANSPOSE(ImportHTML("http://spending.data.al/sq/moneypower/view/id/306/year/2013",  "table", 0)))),"*Kategoria*")</f>
        <v>*Kategoria*</v>
      </c>
      <c r="C636" s="10" t="s">
        <v>673</v>
      </c>
      <c r="D636" s="10" t="s">
        <v>674</v>
      </c>
      <c r="E636" s="10" t="s">
        <v>675</v>
      </c>
      <c r="F636" s="10" t="s">
        <v>676</v>
      </c>
      <c r="G636" s="10" t="s">
        <v>677</v>
      </c>
      <c r="H636" s="10" t="s">
        <v>678</v>
      </c>
      <c r="I636" s="10" t="s">
        <v>679</v>
      </c>
      <c r="J636" s="10" t="s">
        <v>680</v>
      </c>
      <c r="K636" s="10" t="s">
        <v>681</v>
      </c>
      <c r="L636" s="10" t="s">
        <v>682</v>
      </c>
      <c r="M636" s="10" t="s">
        <v>683</v>
      </c>
      <c r="N636" s="10" t="s">
        <v>684</v>
      </c>
      <c r="O636" s="10" t="s">
        <v>685</v>
      </c>
      <c r="P636" s="10"/>
      <c r="Q636" s="10"/>
      <c r="R636" s="10"/>
      <c r="S636" s="10"/>
      <c r="T636" s="10"/>
      <c r="U636" s="10"/>
      <c r="V636" s="10"/>
      <c r="W636" s="10"/>
      <c r="X636" s="10"/>
      <c r="Y636" s="10"/>
      <c r="Z636" s="10"/>
    </row>
    <row r="637" spans="1:26" ht="15">
      <c r="A637" s="11"/>
      <c r="B637" s="10" t="s">
        <v>686</v>
      </c>
      <c r="C637" s="10" t="s">
        <v>4252</v>
      </c>
      <c r="D637" s="10" t="s">
        <v>688</v>
      </c>
      <c r="E637" s="10" t="s">
        <v>688</v>
      </c>
      <c r="F637" s="10" t="s">
        <v>688</v>
      </c>
      <c r="G637" s="10" t="s">
        <v>4253</v>
      </c>
      <c r="H637" s="10" t="s">
        <v>688</v>
      </c>
      <c r="I637" s="10" t="s">
        <v>688</v>
      </c>
      <c r="J637" s="10" t="s">
        <v>688</v>
      </c>
      <c r="K637" s="10" t="s">
        <v>688</v>
      </c>
      <c r="L637" s="10" t="s">
        <v>3704</v>
      </c>
      <c r="M637" s="10" t="s">
        <v>688</v>
      </c>
      <c r="N637" s="10">
        <v>1.58</v>
      </c>
      <c r="O637" s="10" t="s">
        <v>688</v>
      </c>
      <c r="P637" s="10"/>
      <c r="Q637" s="10"/>
      <c r="R637" s="10"/>
      <c r="S637" s="10"/>
      <c r="T637" s="10"/>
      <c r="U637" s="10"/>
      <c r="V637" s="10"/>
      <c r="W637" s="10"/>
      <c r="X637" s="10"/>
      <c r="Y637" s="10"/>
      <c r="Z637" s="10"/>
    </row>
    <row r="638" spans="1:26" ht="15">
      <c r="A638" s="9">
        <v>307</v>
      </c>
      <c r="B638" s="10" t="str">
        <f ca="1">IFERROR(__xludf.DUMMYFUNCTION((TRANSPOSE(ImportHTML("http://spending.data.al/sq/moneypower/view/id/307/year/2013",  "table", 0)))),"*Kategoria*")</f>
        <v>*Kategoria*</v>
      </c>
      <c r="C638" s="10" t="s">
        <v>673</v>
      </c>
      <c r="D638" s="10" t="s">
        <v>674</v>
      </c>
      <c r="E638" s="10" t="s">
        <v>675</v>
      </c>
      <c r="F638" s="10" t="s">
        <v>676</v>
      </c>
      <c r="G638" s="10" t="s">
        <v>677</v>
      </c>
      <c r="H638" s="10" t="s">
        <v>678</v>
      </c>
      <c r="I638" s="10" t="s">
        <v>679</v>
      </c>
      <c r="J638" s="10" t="s">
        <v>680</v>
      </c>
      <c r="K638" s="10" t="s">
        <v>681</v>
      </c>
      <c r="L638" s="10" t="s">
        <v>682</v>
      </c>
      <c r="M638" s="10" t="s">
        <v>683</v>
      </c>
      <c r="N638" s="10" t="s">
        <v>684</v>
      </c>
      <c r="O638" s="10" t="s">
        <v>685</v>
      </c>
      <c r="P638" s="10"/>
      <c r="Q638" s="10"/>
      <c r="R638" s="10"/>
      <c r="S638" s="10"/>
      <c r="T638" s="10"/>
      <c r="U638" s="10"/>
      <c r="V638" s="10"/>
      <c r="W638" s="10"/>
      <c r="X638" s="10"/>
      <c r="Y638" s="10"/>
      <c r="Z638" s="10"/>
    </row>
    <row r="639" spans="1:26" ht="15">
      <c r="A639" s="11"/>
      <c r="B639" s="10" t="s">
        <v>686</v>
      </c>
      <c r="C639" s="10" t="s">
        <v>4254</v>
      </c>
      <c r="D639" s="10" t="s">
        <v>688</v>
      </c>
      <c r="E639" s="10" t="s">
        <v>688</v>
      </c>
      <c r="F639" s="10" t="s">
        <v>688</v>
      </c>
      <c r="G639" s="10" t="s">
        <v>688</v>
      </c>
      <c r="H639" s="10" t="s">
        <v>688</v>
      </c>
      <c r="I639" s="10" t="s">
        <v>688</v>
      </c>
      <c r="J639" s="10" t="s">
        <v>688</v>
      </c>
      <c r="K639" s="10" t="s">
        <v>688</v>
      </c>
      <c r="L639" s="10" t="s">
        <v>688</v>
      </c>
      <c r="M639" s="10" t="s">
        <v>688</v>
      </c>
      <c r="N639" s="10">
        <v>1</v>
      </c>
      <c r="O639" s="10" t="s">
        <v>4255</v>
      </c>
      <c r="P639" s="10"/>
      <c r="Q639" s="10"/>
      <c r="R639" s="10"/>
      <c r="S639" s="10"/>
      <c r="T639" s="10"/>
      <c r="U639" s="10"/>
      <c r="V639" s="10"/>
      <c r="W639" s="10"/>
      <c r="X639" s="10"/>
      <c r="Y639" s="10"/>
      <c r="Z639" s="10"/>
    </row>
    <row r="640" spans="1:26" ht="15">
      <c r="A640" s="9">
        <v>308</v>
      </c>
      <c r="B640" s="10" t="str">
        <f ca="1">IFERROR(__xludf.DUMMYFUNCTION((TRANSPOSE(ImportHTML("http://spending.data.al/sq/moneypower/view/id/308/year/2013",  "table", 0)))),"*Kategoria*")</f>
        <v>*Kategoria*</v>
      </c>
      <c r="C640" s="10" t="s">
        <v>673</v>
      </c>
      <c r="D640" s="10" t="s">
        <v>674</v>
      </c>
      <c r="E640" s="10" t="s">
        <v>675</v>
      </c>
      <c r="F640" s="10" t="s">
        <v>676</v>
      </c>
      <c r="G640" s="10" t="s">
        <v>677</v>
      </c>
      <c r="H640" s="10" t="s">
        <v>678</v>
      </c>
      <c r="I640" s="10" t="s">
        <v>679</v>
      </c>
      <c r="J640" s="10" t="s">
        <v>680</v>
      </c>
      <c r="K640" s="10" t="s">
        <v>681</v>
      </c>
      <c r="L640" s="10" t="s">
        <v>682</v>
      </c>
      <c r="M640" s="10" t="s">
        <v>683</v>
      </c>
      <c r="N640" s="10" t="s">
        <v>684</v>
      </c>
      <c r="O640" s="10" t="s">
        <v>685</v>
      </c>
      <c r="P640" s="10"/>
      <c r="Q640" s="10"/>
      <c r="R640" s="10"/>
      <c r="S640" s="10"/>
      <c r="T640" s="10"/>
      <c r="U640" s="10"/>
      <c r="V640" s="10"/>
      <c r="W640" s="10"/>
      <c r="X640" s="10"/>
      <c r="Y640" s="10"/>
      <c r="Z640" s="10"/>
    </row>
    <row r="641" spans="1:26" ht="15">
      <c r="A641" s="11"/>
      <c r="B641" s="10" t="s">
        <v>686</v>
      </c>
      <c r="C641" s="10" t="s">
        <v>4256</v>
      </c>
      <c r="D641" s="10" t="s">
        <v>688</v>
      </c>
      <c r="E641" s="10" t="s">
        <v>688</v>
      </c>
      <c r="F641" s="10" t="s">
        <v>688</v>
      </c>
      <c r="G641" s="10" t="s">
        <v>688</v>
      </c>
      <c r="H641" s="10" t="s">
        <v>688</v>
      </c>
      <c r="I641" s="10" t="s">
        <v>688</v>
      </c>
      <c r="J641" s="10" t="s">
        <v>688</v>
      </c>
      <c r="K641" s="10" t="s">
        <v>688</v>
      </c>
      <c r="L641" s="10" t="s">
        <v>688</v>
      </c>
      <c r="M641" s="10" t="s">
        <v>688</v>
      </c>
      <c r="N641" s="10">
        <v>1</v>
      </c>
      <c r="O641" s="10" t="s">
        <v>4257</v>
      </c>
      <c r="P641" s="10"/>
      <c r="Q641" s="10"/>
      <c r="R641" s="10"/>
      <c r="S641" s="10"/>
      <c r="T641" s="10"/>
      <c r="U641" s="10"/>
      <c r="V641" s="10"/>
      <c r="W641" s="10"/>
      <c r="X641" s="10"/>
      <c r="Y641" s="10"/>
      <c r="Z641" s="10"/>
    </row>
    <row r="642" spans="1:26" ht="15">
      <c r="A642" s="9">
        <v>309</v>
      </c>
      <c r="B642" s="10" t="str">
        <f ca="1">IFERROR(__xludf.DUMMYFUNCTION((TRANSPOSE(ImportHTML("http://spending.data.al/sq/moneypower/view/id/309/year/2013",  "table", 0)))),"*Kategoria*")</f>
        <v>*Kategoria*</v>
      </c>
      <c r="C642" s="10" t="s">
        <v>673</v>
      </c>
      <c r="D642" s="10" t="s">
        <v>674</v>
      </c>
      <c r="E642" s="10" t="s">
        <v>675</v>
      </c>
      <c r="F642" s="10" t="s">
        <v>676</v>
      </c>
      <c r="G642" s="10" t="s">
        <v>677</v>
      </c>
      <c r="H642" s="10" t="s">
        <v>678</v>
      </c>
      <c r="I642" s="10" t="s">
        <v>679</v>
      </c>
      <c r="J642" s="10" t="s">
        <v>680</v>
      </c>
      <c r="K642" s="10" t="s">
        <v>681</v>
      </c>
      <c r="L642" s="10" t="s">
        <v>682</v>
      </c>
      <c r="M642" s="10" t="s">
        <v>683</v>
      </c>
      <c r="N642" s="10" t="s">
        <v>684</v>
      </c>
      <c r="O642" s="10" t="s">
        <v>685</v>
      </c>
      <c r="P642" s="10"/>
      <c r="Q642" s="10"/>
      <c r="R642" s="10"/>
      <c r="S642" s="10"/>
      <c r="T642" s="10"/>
      <c r="U642" s="10"/>
      <c r="V642" s="10"/>
      <c r="W642" s="10"/>
      <c r="X642" s="10"/>
      <c r="Y642" s="10"/>
      <c r="Z642" s="10"/>
    </row>
    <row r="643" spans="1:26" ht="15">
      <c r="A643" s="11"/>
      <c r="B643" s="10" t="s">
        <v>686</v>
      </c>
      <c r="C643" s="10" t="s">
        <v>4258</v>
      </c>
      <c r="D643" s="10" t="s">
        <v>688</v>
      </c>
      <c r="E643" s="10" t="s">
        <v>688</v>
      </c>
      <c r="F643" s="10" t="s">
        <v>688</v>
      </c>
      <c r="G643" s="10" t="s">
        <v>4259</v>
      </c>
      <c r="H643" s="10" t="s">
        <v>688</v>
      </c>
      <c r="I643" s="10" t="s">
        <v>688</v>
      </c>
      <c r="J643" s="10" t="s">
        <v>688</v>
      </c>
      <c r="K643" s="10" t="s">
        <v>688</v>
      </c>
      <c r="L643" s="10" t="s">
        <v>688</v>
      </c>
      <c r="M643" s="10" t="s">
        <v>688</v>
      </c>
      <c r="N643" s="10">
        <v>5.33</v>
      </c>
      <c r="O643" s="10" t="s">
        <v>4260</v>
      </c>
      <c r="P643" s="10"/>
      <c r="Q643" s="10"/>
      <c r="R643" s="10"/>
      <c r="S643" s="10"/>
      <c r="T643" s="10"/>
      <c r="U643" s="10"/>
      <c r="V643" s="10"/>
      <c r="W643" s="10"/>
      <c r="X643" s="10"/>
      <c r="Y643" s="10"/>
      <c r="Z643" s="10"/>
    </row>
    <row r="644" spans="1:26" ht="15">
      <c r="A644" s="9">
        <v>310</v>
      </c>
      <c r="B644" s="10" t="str">
        <f ca="1">IFERROR(__xludf.DUMMYFUNCTION((TRANSPOSE(ImportHTML("http://spending.data.al/sq/moneypower/view/id/310/year/2013",  "table", 0)))),"*Kategoria*")</f>
        <v>*Kategoria*</v>
      </c>
      <c r="C644" s="10" t="s">
        <v>673</v>
      </c>
      <c r="D644" s="10" t="s">
        <v>674</v>
      </c>
      <c r="E644" s="10" t="s">
        <v>675</v>
      </c>
      <c r="F644" s="10" t="s">
        <v>676</v>
      </c>
      <c r="G644" s="10" t="s">
        <v>677</v>
      </c>
      <c r="H644" s="10" t="s">
        <v>678</v>
      </c>
      <c r="I644" s="10" t="s">
        <v>679</v>
      </c>
      <c r="J644" s="10" t="s">
        <v>680</v>
      </c>
      <c r="K644" s="10" t="s">
        <v>681</v>
      </c>
      <c r="L644" s="10" t="s">
        <v>682</v>
      </c>
      <c r="M644" s="10" t="s">
        <v>683</v>
      </c>
      <c r="N644" s="10" t="s">
        <v>684</v>
      </c>
      <c r="O644" s="10" t="s">
        <v>685</v>
      </c>
      <c r="P644" s="10"/>
      <c r="Q644" s="10"/>
      <c r="R644" s="10"/>
      <c r="S644" s="10"/>
      <c r="T644" s="10"/>
      <c r="U644" s="10"/>
      <c r="V644" s="10"/>
      <c r="W644" s="10"/>
      <c r="X644" s="10"/>
      <c r="Y644" s="10"/>
      <c r="Z644" s="10"/>
    </row>
    <row r="645" spans="1:26" ht="15">
      <c r="A645" s="11"/>
      <c r="B645" s="10" t="s">
        <v>686</v>
      </c>
      <c r="C645" s="10" t="s">
        <v>4261</v>
      </c>
      <c r="D645" s="10" t="s">
        <v>688</v>
      </c>
      <c r="E645" s="10" t="s">
        <v>688</v>
      </c>
      <c r="F645" s="10" t="s">
        <v>688</v>
      </c>
      <c r="G645" s="10" t="s">
        <v>688</v>
      </c>
      <c r="H645" s="10" t="s">
        <v>688</v>
      </c>
      <c r="I645" s="10" t="s">
        <v>688</v>
      </c>
      <c r="J645" s="10" t="s">
        <v>688</v>
      </c>
      <c r="K645" s="10" t="s">
        <v>688</v>
      </c>
      <c r="L645" s="10" t="s">
        <v>4262</v>
      </c>
      <c r="M645" s="10" t="s">
        <v>688</v>
      </c>
      <c r="N645" s="10">
        <v>1</v>
      </c>
      <c r="O645" s="10" t="s">
        <v>688</v>
      </c>
      <c r="P645" s="10"/>
      <c r="Q645" s="10"/>
      <c r="R645" s="10"/>
      <c r="S645" s="10"/>
      <c r="T645" s="10"/>
      <c r="U645" s="10"/>
      <c r="V645" s="10"/>
      <c r="W645" s="10"/>
      <c r="X645" s="10"/>
      <c r="Y645" s="10"/>
      <c r="Z645" s="10"/>
    </row>
    <row r="646" spans="1:26" ht="15">
      <c r="A646" s="9">
        <v>311</v>
      </c>
      <c r="B646" s="10" t="str">
        <f ca="1">IFERROR(__xludf.DUMMYFUNCTION((TRANSPOSE(ImportHTML("http://spending.data.al/sq/moneypower/view/id/311/year/2013",  "table", 0)))),"*Kategoria*")</f>
        <v>*Kategoria*</v>
      </c>
      <c r="C646" s="10" t="s">
        <v>673</v>
      </c>
      <c r="D646" s="10" t="s">
        <v>674</v>
      </c>
      <c r="E646" s="10" t="s">
        <v>675</v>
      </c>
      <c r="F646" s="10" t="s">
        <v>676</v>
      </c>
      <c r="G646" s="10" t="s">
        <v>677</v>
      </c>
      <c r="H646" s="10" t="s">
        <v>678</v>
      </c>
      <c r="I646" s="10" t="s">
        <v>679</v>
      </c>
      <c r="J646" s="10" t="s">
        <v>680</v>
      </c>
      <c r="K646" s="10" t="s">
        <v>681</v>
      </c>
      <c r="L646" s="10" t="s">
        <v>682</v>
      </c>
      <c r="M646" s="10" t="s">
        <v>683</v>
      </c>
      <c r="N646" s="10" t="s">
        <v>684</v>
      </c>
      <c r="O646" s="10" t="s">
        <v>685</v>
      </c>
      <c r="P646" s="10"/>
      <c r="Q646" s="10"/>
      <c r="R646" s="10"/>
      <c r="S646" s="10"/>
      <c r="T646" s="10"/>
      <c r="U646" s="10"/>
      <c r="V646" s="10"/>
      <c r="W646" s="10"/>
      <c r="X646" s="10"/>
      <c r="Y646" s="10"/>
      <c r="Z646" s="10"/>
    </row>
    <row r="647" spans="1:26" ht="15">
      <c r="A647" s="11"/>
      <c r="B647" s="10" t="s">
        <v>686</v>
      </c>
      <c r="C647" s="10" t="s">
        <v>4263</v>
      </c>
      <c r="D647" s="10" t="s">
        <v>688</v>
      </c>
      <c r="E647" s="10" t="s">
        <v>688</v>
      </c>
      <c r="F647" s="10" t="s">
        <v>688</v>
      </c>
      <c r="G647" s="10" t="s">
        <v>688</v>
      </c>
      <c r="H647" s="10" t="s">
        <v>688</v>
      </c>
      <c r="I647" s="10" t="s">
        <v>688</v>
      </c>
      <c r="J647" s="10" t="s">
        <v>688</v>
      </c>
      <c r="K647" s="10" t="s">
        <v>688</v>
      </c>
      <c r="L647" s="10" t="s">
        <v>688</v>
      </c>
      <c r="M647" s="10" t="s">
        <v>688</v>
      </c>
      <c r="N647" s="10">
        <v>1.26</v>
      </c>
      <c r="O647" s="10" t="s">
        <v>688</v>
      </c>
      <c r="P647" s="10"/>
      <c r="Q647" s="10"/>
      <c r="R647" s="10"/>
      <c r="S647" s="10"/>
      <c r="T647" s="10"/>
      <c r="U647" s="10"/>
      <c r="V647" s="10"/>
      <c r="W647" s="10"/>
      <c r="X647" s="10"/>
      <c r="Y647" s="10"/>
      <c r="Z647" s="10"/>
    </row>
    <row r="648" spans="1:26" ht="15">
      <c r="A648" s="9">
        <v>312</v>
      </c>
      <c r="B648" s="10" t="str">
        <f ca="1">IFERROR(__xludf.DUMMYFUNCTION((TRANSPOSE(ImportHTML("http://spending.data.al/sq/moneypower/view/id/312/year/2013",  "table", 0)))),"*Kategoria*")</f>
        <v>*Kategoria*</v>
      </c>
      <c r="C648" s="10" t="s">
        <v>673</v>
      </c>
      <c r="D648" s="10" t="s">
        <v>674</v>
      </c>
      <c r="E648" s="10" t="s">
        <v>675</v>
      </c>
      <c r="F648" s="10" t="s">
        <v>676</v>
      </c>
      <c r="G648" s="10" t="s">
        <v>677</v>
      </c>
      <c r="H648" s="10" t="s">
        <v>678</v>
      </c>
      <c r="I648" s="10" t="s">
        <v>679</v>
      </c>
      <c r="J648" s="10" t="s">
        <v>680</v>
      </c>
      <c r="K648" s="10" t="s">
        <v>681</v>
      </c>
      <c r="L648" s="10" t="s">
        <v>682</v>
      </c>
      <c r="M648" s="10" t="s">
        <v>683</v>
      </c>
      <c r="N648" s="10" t="s">
        <v>684</v>
      </c>
      <c r="O648" s="10" t="s">
        <v>685</v>
      </c>
      <c r="P648" s="10"/>
      <c r="Q648" s="10"/>
      <c r="R648" s="10"/>
      <c r="S648" s="10"/>
      <c r="T648" s="10"/>
      <c r="U648" s="10"/>
      <c r="V648" s="10"/>
      <c r="W648" s="10"/>
      <c r="X648" s="10"/>
      <c r="Y648" s="10"/>
      <c r="Z648" s="10"/>
    </row>
    <row r="649" spans="1:26" ht="15">
      <c r="A649" s="11"/>
      <c r="B649" s="10" t="s">
        <v>686</v>
      </c>
      <c r="C649" s="10" t="s">
        <v>4264</v>
      </c>
      <c r="D649" s="10" t="s">
        <v>688</v>
      </c>
      <c r="E649" s="10" t="s">
        <v>688</v>
      </c>
      <c r="F649" s="10" t="s">
        <v>688</v>
      </c>
      <c r="G649" s="10" t="s">
        <v>688</v>
      </c>
      <c r="H649" s="10" t="s">
        <v>688</v>
      </c>
      <c r="I649" s="10" t="s">
        <v>688</v>
      </c>
      <c r="J649" s="10" t="s">
        <v>688</v>
      </c>
      <c r="K649" s="10" t="s">
        <v>688</v>
      </c>
      <c r="L649" s="10" t="s">
        <v>688</v>
      </c>
      <c r="M649" s="10" t="s">
        <v>688</v>
      </c>
      <c r="N649" s="10">
        <v>1</v>
      </c>
      <c r="O649" s="10" t="s">
        <v>688</v>
      </c>
      <c r="P649" s="10"/>
      <c r="Q649" s="10"/>
      <c r="R649" s="10"/>
      <c r="S649" s="10"/>
      <c r="T649" s="10"/>
      <c r="U649" s="10"/>
      <c r="V649" s="10"/>
      <c r="W649" s="10"/>
      <c r="X649" s="10"/>
      <c r="Y649" s="10"/>
      <c r="Z649" s="10"/>
    </row>
    <row r="650" spans="1:26" ht="15">
      <c r="A650" s="9">
        <v>313</v>
      </c>
      <c r="B650" s="10" t="str">
        <f ca="1">IFERROR(__xludf.DUMMYFUNCTION((TRANSPOSE(ImportHTML("http://spending.data.al/sq/moneypower/view/id/313/year/2013",  "table", 0)))),"*Emër Subjekti*")</f>
        <v>*Emër Subjekti*</v>
      </c>
      <c r="C650" s="10" t="s">
        <v>698</v>
      </c>
      <c r="D650" s="10" t="s">
        <v>699</v>
      </c>
      <c r="E650" s="10" t="s">
        <v>700</v>
      </c>
      <c r="F650" s="10" t="s">
        <v>701</v>
      </c>
      <c r="G650" s="10" t="s">
        <v>702</v>
      </c>
      <c r="H650" s="10"/>
      <c r="I650" s="10"/>
      <c r="J650" s="10"/>
      <c r="K650" s="10"/>
      <c r="L650" s="10"/>
      <c r="M650" s="10"/>
      <c r="N650" s="10"/>
      <c r="O650" s="10"/>
      <c r="P650" s="10"/>
      <c r="Q650" s="10"/>
      <c r="R650" s="10"/>
      <c r="S650" s="10"/>
      <c r="T650" s="10"/>
      <c r="U650" s="10"/>
      <c r="V650" s="10"/>
      <c r="W650" s="10"/>
      <c r="X650" s="10"/>
      <c r="Y650" s="10"/>
      <c r="Z650" s="10"/>
    </row>
    <row r="651" spans="1:26" ht="15">
      <c r="A651" s="11"/>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c r="A652" s="11"/>
      <c r="B652" s="10" t="s">
        <v>3719</v>
      </c>
      <c r="C652" s="10" t="s">
        <v>711</v>
      </c>
      <c r="D652" s="10">
        <v>41526</v>
      </c>
      <c r="E652" s="10" t="s">
        <v>1845</v>
      </c>
      <c r="F652" s="10" t="s">
        <v>3720</v>
      </c>
      <c r="G652" s="10" t="s">
        <v>707</v>
      </c>
      <c r="H652" s="10"/>
      <c r="I652" s="10"/>
      <c r="J652" s="10"/>
      <c r="K652" s="10"/>
      <c r="L652" s="10"/>
      <c r="M652" s="10"/>
      <c r="N652" s="10"/>
      <c r="O652" s="10"/>
      <c r="P652" s="10"/>
      <c r="Q652" s="10"/>
      <c r="R652" s="10"/>
      <c r="S652" s="10"/>
      <c r="T652" s="10"/>
      <c r="U652" s="10"/>
      <c r="V652" s="10"/>
      <c r="W652" s="10"/>
      <c r="X652" s="10"/>
      <c r="Y652" s="10"/>
      <c r="Z652" s="10"/>
    </row>
    <row r="653" spans="1:26" ht="15">
      <c r="A653" s="9">
        <v>314</v>
      </c>
      <c r="B653" s="10" t="str">
        <f ca="1">IFERROR(__xludf.DUMMYFUNCTION((TRANSPOSE(ImportHTML("http://spending.data.al/sq/moneypower/view/id/314/year/2013",  "table", 0)))),"*Kategoria*")</f>
        <v>*Kategoria*</v>
      </c>
      <c r="C653" s="10" t="s">
        <v>673</v>
      </c>
      <c r="D653" s="10" t="s">
        <v>674</v>
      </c>
      <c r="E653" s="10" t="s">
        <v>675</v>
      </c>
      <c r="F653" s="10" t="s">
        <v>676</v>
      </c>
      <c r="G653" s="10" t="s">
        <v>677</v>
      </c>
      <c r="H653" s="10" t="s">
        <v>678</v>
      </c>
      <c r="I653" s="10" t="s">
        <v>679</v>
      </c>
      <c r="J653" s="10" t="s">
        <v>680</v>
      </c>
      <c r="K653" s="10" t="s">
        <v>681</v>
      </c>
      <c r="L653" s="10" t="s">
        <v>682</v>
      </c>
      <c r="M653" s="10" t="s">
        <v>683</v>
      </c>
      <c r="N653" s="10" t="s">
        <v>684</v>
      </c>
      <c r="O653" s="10" t="s">
        <v>685</v>
      </c>
      <c r="P653" s="10"/>
      <c r="Q653" s="10"/>
      <c r="R653" s="10"/>
      <c r="S653" s="10"/>
      <c r="T653" s="10"/>
      <c r="U653" s="10"/>
      <c r="V653" s="10"/>
      <c r="W653" s="10"/>
      <c r="X653" s="10"/>
      <c r="Y653" s="10"/>
      <c r="Z653" s="10"/>
    </row>
    <row r="654" spans="1:26" ht="15">
      <c r="A654" s="11"/>
      <c r="B654" s="10" t="s">
        <v>686</v>
      </c>
      <c r="C654" s="10" t="s">
        <v>4265</v>
      </c>
      <c r="D654" s="10" t="s">
        <v>688</v>
      </c>
      <c r="E654" s="10" t="s">
        <v>688</v>
      </c>
      <c r="F654" s="10" t="s">
        <v>688</v>
      </c>
      <c r="G654" s="10" t="s">
        <v>688</v>
      </c>
      <c r="H654" s="10" t="s">
        <v>688</v>
      </c>
      <c r="I654" s="10" t="s">
        <v>688</v>
      </c>
      <c r="J654" s="10" t="s">
        <v>688</v>
      </c>
      <c r="K654" s="10" t="s">
        <v>688</v>
      </c>
      <c r="L654" s="10" t="s">
        <v>4266</v>
      </c>
      <c r="M654" s="10" t="s">
        <v>688</v>
      </c>
      <c r="N654" s="10">
        <v>1</v>
      </c>
      <c r="O654" s="10" t="s">
        <v>4267</v>
      </c>
      <c r="P654" s="10"/>
      <c r="Q654" s="10"/>
      <c r="R654" s="10"/>
      <c r="S654" s="10"/>
      <c r="T654" s="10"/>
      <c r="U654" s="10"/>
      <c r="V654" s="10"/>
      <c r="W654" s="10"/>
      <c r="X654" s="10"/>
      <c r="Y654" s="10"/>
      <c r="Z654" s="10"/>
    </row>
    <row r="655" spans="1:26" ht="15">
      <c r="A655" s="9">
        <v>315</v>
      </c>
      <c r="B655" s="10" t="str">
        <f ca="1">IFERROR(__xludf.DUMMYFUNCTION((TRANSPOSE(ImportHTML("http://spending.data.al/sq/moneypower/view/id/315/year/2013",  "table", 0)))),"*Kategoria*")</f>
        <v>*Kategoria*</v>
      </c>
      <c r="C655" s="10" t="s">
        <v>673</v>
      </c>
      <c r="D655" s="10" t="s">
        <v>674</v>
      </c>
      <c r="E655" s="10" t="s">
        <v>675</v>
      </c>
      <c r="F655" s="10" t="s">
        <v>676</v>
      </c>
      <c r="G655" s="10" t="s">
        <v>677</v>
      </c>
      <c r="H655" s="10" t="s">
        <v>678</v>
      </c>
      <c r="I655" s="10" t="s">
        <v>679</v>
      </c>
      <c r="J655" s="10" t="s">
        <v>680</v>
      </c>
      <c r="K655" s="10" t="s">
        <v>681</v>
      </c>
      <c r="L655" s="10" t="s">
        <v>682</v>
      </c>
      <c r="M655" s="10" t="s">
        <v>683</v>
      </c>
      <c r="N655" s="10" t="s">
        <v>684</v>
      </c>
      <c r="O655" s="10" t="s">
        <v>685</v>
      </c>
      <c r="P655" s="10"/>
      <c r="Q655" s="10"/>
      <c r="R655" s="10"/>
      <c r="S655" s="10"/>
      <c r="T655" s="10"/>
      <c r="U655" s="10"/>
      <c r="V655" s="10"/>
      <c r="W655" s="10"/>
      <c r="X655" s="10"/>
      <c r="Y655" s="10"/>
      <c r="Z655" s="10"/>
    </row>
    <row r="656" spans="1:26" ht="15">
      <c r="A656" s="11"/>
      <c r="B656" s="10" t="s">
        <v>686</v>
      </c>
      <c r="C656" s="10" t="s">
        <v>4268</v>
      </c>
      <c r="D656" s="10" t="s">
        <v>688</v>
      </c>
      <c r="E656" s="10" t="s">
        <v>688</v>
      </c>
      <c r="F656" s="10" t="s">
        <v>4269</v>
      </c>
      <c r="G656" s="10" t="s">
        <v>4270</v>
      </c>
      <c r="H656" s="10" t="s">
        <v>688</v>
      </c>
      <c r="I656" s="10" t="s">
        <v>688</v>
      </c>
      <c r="J656" s="10" t="s">
        <v>688</v>
      </c>
      <c r="K656" s="10" t="s">
        <v>688</v>
      </c>
      <c r="L656" s="10" t="s">
        <v>4271</v>
      </c>
      <c r="M656" s="10" t="s">
        <v>688</v>
      </c>
      <c r="N656" s="10">
        <v>2.72</v>
      </c>
      <c r="O656" s="10" t="s">
        <v>4272</v>
      </c>
      <c r="P656" s="10"/>
      <c r="Q656" s="10"/>
      <c r="R656" s="10"/>
      <c r="S656" s="10"/>
      <c r="T656" s="10"/>
      <c r="U656" s="10"/>
      <c r="V656" s="10"/>
      <c r="W656" s="10"/>
      <c r="X656" s="10"/>
      <c r="Y656" s="10"/>
      <c r="Z656" s="10"/>
    </row>
    <row r="657" spans="1:26" ht="15">
      <c r="A657" s="9">
        <v>316</v>
      </c>
      <c r="B657" s="10" t="str">
        <f ca="1">IFERROR(__xludf.DUMMYFUNCTION((TRANSPOSE(ImportHTML("http://spending.data.al/sq/moneypower/view/id/316/year/2013",  "table", 0)))),"*Kategoria*")</f>
        <v>*Kategoria*</v>
      </c>
      <c r="C657" s="10" t="s">
        <v>673</v>
      </c>
      <c r="D657" s="10" t="s">
        <v>674</v>
      </c>
      <c r="E657" s="10" t="s">
        <v>675</v>
      </c>
      <c r="F657" s="10" t="s">
        <v>676</v>
      </c>
      <c r="G657" s="10" t="s">
        <v>677</v>
      </c>
      <c r="H657" s="10" t="s">
        <v>678</v>
      </c>
      <c r="I657" s="10" t="s">
        <v>679</v>
      </c>
      <c r="J657" s="10" t="s">
        <v>680</v>
      </c>
      <c r="K657" s="10" t="s">
        <v>681</v>
      </c>
      <c r="L657" s="10" t="s">
        <v>682</v>
      </c>
      <c r="M657" s="10" t="s">
        <v>683</v>
      </c>
      <c r="N657" s="10" t="s">
        <v>684</v>
      </c>
      <c r="O657" s="10" t="s">
        <v>685</v>
      </c>
      <c r="P657" s="10"/>
      <c r="Q657" s="10"/>
      <c r="R657" s="10"/>
      <c r="S657" s="10"/>
      <c r="T657" s="10"/>
      <c r="U657" s="10"/>
      <c r="V657" s="10"/>
      <c r="W657" s="10"/>
      <c r="X657" s="10"/>
      <c r="Y657" s="10"/>
      <c r="Z657" s="10"/>
    </row>
    <row r="658" spans="1:26" ht="15">
      <c r="A658" s="11"/>
      <c r="B658" s="10" t="s">
        <v>686</v>
      </c>
      <c r="C658" s="10" t="s">
        <v>688</v>
      </c>
      <c r="D658" s="10" t="s">
        <v>688</v>
      </c>
      <c r="E658" s="10" t="s">
        <v>688</v>
      </c>
      <c r="F658" s="10" t="s">
        <v>688</v>
      </c>
      <c r="G658" s="10" t="s">
        <v>688</v>
      </c>
      <c r="H658" s="10" t="s">
        <v>688</v>
      </c>
      <c r="I658" s="10" t="s">
        <v>688</v>
      </c>
      <c r="J658" s="10" t="s">
        <v>688</v>
      </c>
      <c r="K658" s="10" t="s">
        <v>688</v>
      </c>
      <c r="L658" s="10" t="s">
        <v>4273</v>
      </c>
      <c r="M658" s="10" t="s">
        <v>688</v>
      </c>
      <c r="N658" s="10" t="s">
        <v>707</v>
      </c>
      <c r="O658" s="10" t="s">
        <v>4274</v>
      </c>
      <c r="P658" s="10"/>
      <c r="Q658" s="10"/>
      <c r="R658" s="10"/>
      <c r="S658" s="10"/>
      <c r="T658" s="10"/>
      <c r="U658" s="10"/>
      <c r="V658" s="10"/>
      <c r="W658" s="10"/>
      <c r="X658" s="10"/>
      <c r="Y658" s="10"/>
      <c r="Z658" s="10"/>
    </row>
    <row r="659" spans="1:26" ht="15">
      <c r="A659" s="9">
        <v>317</v>
      </c>
      <c r="B659" s="10" t="str">
        <f ca="1">IFERROR(__xludf.DUMMYFUNCTION((TRANSPOSE(ImportHTML("http://spending.data.al/sq/moneypower/view/id/317/year/2013",  "table", 0)))),"*Kategoria*")</f>
        <v>*Kategoria*</v>
      </c>
      <c r="C659" s="10" t="s">
        <v>673</v>
      </c>
      <c r="D659" s="10" t="s">
        <v>674</v>
      </c>
      <c r="E659" s="10" t="s">
        <v>675</v>
      </c>
      <c r="F659" s="10" t="s">
        <v>676</v>
      </c>
      <c r="G659" s="10" t="s">
        <v>677</v>
      </c>
      <c r="H659" s="10" t="s">
        <v>678</v>
      </c>
      <c r="I659" s="10" t="s">
        <v>679</v>
      </c>
      <c r="J659" s="10" t="s">
        <v>680</v>
      </c>
      <c r="K659" s="10" t="s">
        <v>681</v>
      </c>
      <c r="L659" s="10" t="s">
        <v>682</v>
      </c>
      <c r="M659" s="10" t="s">
        <v>683</v>
      </c>
      <c r="N659" s="10" t="s">
        <v>684</v>
      </c>
      <c r="O659" s="10" t="s">
        <v>685</v>
      </c>
      <c r="P659" s="10"/>
      <c r="Q659" s="10"/>
      <c r="R659" s="10"/>
      <c r="S659" s="10"/>
      <c r="T659" s="10"/>
      <c r="U659" s="10"/>
      <c r="V659" s="10"/>
      <c r="W659" s="10"/>
      <c r="X659" s="10"/>
      <c r="Y659" s="10"/>
      <c r="Z659" s="10"/>
    </row>
    <row r="660" spans="1:26" ht="15">
      <c r="A660" s="11"/>
      <c r="B660" s="10" t="s">
        <v>686</v>
      </c>
      <c r="C660" s="10" t="s">
        <v>4275</v>
      </c>
      <c r="D660" s="10" t="s">
        <v>688</v>
      </c>
      <c r="E660" s="10" t="s">
        <v>688</v>
      </c>
      <c r="F660" s="10" t="s">
        <v>688</v>
      </c>
      <c r="G660" s="10" t="s">
        <v>688</v>
      </c>
      <c r="H660" s="10" t="s">
        <v>688</v>
      </c>
      <c r="I660" s="10" t="s">
        <v>688</v>
      </c>
      <c r="J660" s="10" t="s">
        <v>688</v>
      </c>
      <c r="K660" s="10" t="s">
        <v>688</v>
      </c>
      <c r="L660" s="10" t="s">
        <v>688</v>
      </c>
      <c r="M660" s="10" t="s">
        <v>688</v>
      </c>
      <c r="N660" s="10">
        <v>2.2999999999999998</v>
      </c>
      <c r="O660" s="10" t="s">
        <v>4276</v>
      </c>
      <c r="P660" s="10"/>
      <c r="Q660" s="10"/>
      <c r="R660" s="10"/>
      <c r="S660" s="10"/>
      <c r="T660" s="10"/>
      <c r="U660" s="10"/>
      <c r="V660" s="10"/>
      <c r="W660" s="10"/>
      <c r="X660" s="10"/>
      <c r="Y660" s="10"/>
      <c r="Z660" s="10"/>
    </row>
    <row r="661" spans="1:26" ht="15">
      <c r="A661" s="9">
        <v>318</v>
      </c>
      <c r="B661" s="10" t="str">
        <f ca="1">IFERROR(__xludf.DUMMYFUNCTION((TRANSPOSE(ImportHTML("http://spending.data.al/sq/moneypower/view/id/318/year/2013",  "table", 0)))),"*Kategoria*")</f>
        <v>*Kategoria*</v>
      </c>
      <c r="C661" s="10" t="s">
        <v>673</v>
      </c>
      <c r="D661" s="10" t="s">
        <v>674</v>
      </c>
      <c r="E661" s="10" t="s">
        <v>675</v>
      </c>
      <c r="F661" s="10" t="s">
        <v>676</v>
      </c>
      <c r="G661" s="10" t="s">
        <v>677</v>
      </c>
      <c r="H661" s="10" t="s">
        <v>678</v>
      </c>
      <c r="I661" s="10" t="s">
        <v>679</v>
      </c>
      <c r="J661" s="10" t="s">
        <v>680</v>
      </c>
      <c r="K661" s="10" t="s">
        <v>681</v>
      </c>
      <c r="L661" s="10" t="s">
        <v>682</v>
      </c>
      <c r="M661" s="10" t="s">
        <v>683</v>
      </c>
      <c r="N661" s="10" t="s">
        <v>684</v>
      </c>
      <c r="O661" s="10" t="s">
        <v>685</v>
      </c>
      <c r="P661" s="10"/>
      <c r="Q661" s="10"/>
      <c r="R661" s="10"/>
      <c r="S661" s="10"/>
      <c r="T661" s="10"/>
      <c r="U661" s="10"/>
      <c r="V661" s="10"/>
      <c r="W661" s="10"/>
      <c r="X661" s="10"/>
      <c r="Y661" s="10"/>
      <c r="Z661" s="10"/>
    </row>
    <row r="662" spans="1:26" ht="15">
      <c r="A662" s="11"/>
      <c r="B662" s="10" t="s">
        <v>686</v>
      </c>
      <c r="C662" s="10" t="s">
        <v>4277</v>
      </c>
      <c r="D662" s="10" t="s">
        <v>688</v>
      </c>
      <c r="E662" s="10" t="s">
        <v>688</v>
      </c>
      <c r="F662" s="10" t="s">
        <v>688</v>
      </c>
      <c r="G662" s="10" t="s">
        <v>4278</v>
      </c>
      <c r="H662" s="10" t="s">
        <v>688</v>
      </c>
      <c r="I662" s="10" t="s">
        <v>688</v>
      </c>
      <c r="J662" s="10" t="s">
        <v>688</v>
      </c>
      <c r="K662" s="10" t="s">
        <v>688</v>
      </c>
      <c r="L662" s="10" t="s">
        <v>688</v>
      </c>
      <c r="M662" s="10" t="s">
        <v>688</v>
      </c>
      <c r="N662" s="10">
        <v>3.55</v>
      </c>
      <c r="O662" s="10" t="s">
        <v>688</v>
      </c>
      <c r="P662" s="10"/>
      <c r="Q662" s="10"/>
      <c r="R662" s="10"/>
      <c r="S662" s="10"/>
      <c r="T662" s="10"/>
      <c r="U662" s="10"/>
      <c r="V662" s="10"/>
      <c r="W662" s="10"/>
      <c r="X662" s="10"/>
      <c r="Y662" s="10"/>
      <c r="Z662" s="10"/>
    </row>
    <row r="663" spans="1:26" ht="15">
      <c r="A663" s="9">
        <v>319</v>
      </c>
      <c r="B663" s="10" t="str">
        <f ca="1">IFERROR(__xludf.DUMMYFUNCTION((TRANSPOSE(ImportHTML("http://spending.data.al/sq/moneypower/view/id/319/year/2013",  "table", 0)))),"*Kategoria*")</f>
        <v>*Kategoria*</v>
      </c>
      <c r="C663" s="10" t="s">
        <v>673</v>
      </c>
      <c r="D663" s="10" t="s">
        <v>674</v>
      </c>
      <c r="E663" s="10" t="s">
        <v>675</v>
      </c>
      <c r="F663" s="10" t="s">
        <v>676</v>
      </c>
      <c r="G663" s="10" t="s">
        <v>677</v>
      </c>
      <c r="H663" s="10" t="s">
        <v>678</v>
      </c>
      <c r="I663" s="10" t="s">
        <v>679</v>
      </c>
      <c r="J663" s="10" t="s">
        <v>680</v>
      </c>
      <c r="K663" s="10" t="s">
        <v>681</v>
      </c>
      <c r="L663" s="10" t="s">
        <v>682</v>
      </c>
      <c r="M663" s="10" t="s">
        <v>683</v>
      </c>
      <c r="N663" s="10" t="s">
        <v>684</v>
      </c>
      <c r="O663" s="10" t="s">
        <v>685</v>
      </c>
      <c r="P663" s="10"/>
      <c r="Q663" s="10"/>
      <c r="R663" s="10"/>
      <c r="S663" s="10"/>
      <c r="T663" s="10"/>
      <c r="U663" s="10"/>
      <c r="V663" s="10"/>
      <c r="W663" s="10"/>
      <c r="X663" s="10"/>
      <c r="Y663" s="10"/>
      <c r="Z663" s="10"/>
    </row>
    <row r="664" spans="1:26" ht="15">
      <c r="A664" s="11"/>
      <c r="B664" s="10" t="s">
        <v>686</v>
      </c>
      <c r="C664" s="10" t="s">
        <v>4279</v>
      </c>
      <c r="D664" s="10" t="s">
        <v>688</v>
      </c>
      <c r="E664" s="10" t="s">
        <v>688</v>
      </c>
      <c r="F664" s="10" t="s">
        <v>688</v>
      </c>
      <c r="G664" s="10" t="s">
        <v>688</v>
      </c>
      <c r="H664" s="10" t="s">
        <v>688</v>
      </c>
      <c r="I664" s="10" t="s">
        <v>688</v>
      </c>
      <c r="J664" s="10" t="s">
        <v>688</v>
      </c>
      <c r="K664" s="10" t="s">
        <v>688</v>
      </c>
      <c r="L664" s="10" t="s">
        <v>4280</v>
      </c>
      <c r="M664" s="10" t="s">
        <v>688</v>
      </c>
      <c r="N664" s="10">
        <v>1</v>
      </c>
      <c r="O664" s="10" t="s">
        <v>4281</v>
      </c>
      <c r="P664" s="10"/>
      <c r="Q664" s="10"/>
      <c r="R664" s="10"/>
      <c r="S664" s="10"/>
      <c r="T664" s="10"/>
      <c r="U664" s="10"/>
      <c r="V664" s="10"/>
      <c r="W664" s="10"/>
      <c r="X664" s="10"/>
      <c r="Y664" s="10"/>
      <c r="Z664" s="10"/>
    </row>
    <row r="665" spans="1:26" ht="15">
      <c r="A665" s="9">
        <v>320</v>
      </c>
      <c r="B665" s="10" t="str">
        <f ca="1">IFERROR(__xludf.DUMMYFUNCTION((TRANSPOSE(ImportHTML("http://spending.data.al/sq/moneypower/view/id/320/year/2013",  "table", 0)))),"*Kategoria*")</f>
        <v>*Kategoria*</v>
      </c>
      <c r="C665" s="10" t="s">
        <v>673</v>
      </c>
      <c r="D665" s="10" t="s">
        <v>674</v>
      </c>
      <c r="E665" s="10" t="s">
        <v>675</v>
      </c>
      <c r="F665" s="10" t="s">
        <v>676</v>
      </c>
      <c r="G665" s="10" t="s">
        <v>677</v>
      </c>
      <c r="H665" s="10" t="s">
        <v>678</v>
      </c>
      <c r="I665" s="10" t="s">
        <v>679</v>
      </c>
      <c r="J665" s="10" t="s">
        <v>680</v>
      </c>
      <c r="K665" s="10" t="s">
        <v>681</v>
      </c>
      <c r="L665" s="10" t="s">
        <v>682</v>
      </c>
      <c r="M665" s="10" t="s">
        <v>683</v>
      </c>
      <c r="N665" s="10" t="s">
        <v>684</v>
      </c>
      <c r="O665" s="10" t="s">
        <v>685</v>
      </c>
      <c r="P665" s="10"/>
      <c r="Q665" s="10"/>
      <c r="R665" s="10"/>
      <c r="S665" s="10"/>
      <c r="T665" s="10"/>
      <c r="U665" s="10"/>
      <c r="V665" s="10"/>
      <c r="W665" s="10"/>
      <c r="X665" s="10"/>
      <c r="Y665" s="10"/>
      <c r="Z665" s="10"/>
    </row>
    <row r="666" spans="1:26" ht="15">
      <c r="A666" s="11"/>
      <c r="B666" s="10" t="s">
        <v>686</v>
      </c>
      <c r="C666" s="10" t="s">
        <v>4282</v>
      </c>
      <c r="D666" s="10" t="s">
        <v>688</v>
      </c>
      <c r="E666" s="10" t="s">
        <v>688</v>
      </c>
      <c r="F666" s="10" t="s">
        <v>688</v>
      </c>
      <c r="G666" s="10" t="s">
        <v>688</v>
      </c>
      <c r="H666" s="10" t="s">
        <v>688</v>
      </c>
      <c r="I666" s="10" t="s">
        <v>688</v>
      </c>
      <c r="J666" s="10" t="s">
        <v>688</v>
      </c>
      <c r="K666" s="10" t="s">
        <v>688</v>
      </c>
      <c r="L666" s="10" t="s">
        <v>688</v>
      </c>
      <c r="M666" s="10" t="s">
        <v>688</v>
      </c>
      <c r="N666" s="10">
        <v>1</v>
      </c>
      <c r="O666" s="10" t="s">
        <v>4283</v>
      </c>
      <c r="P666" s="10"/>
      <c r="Q666" s="10"/>
      <c r="R666" s="10"/>
      <c r="S666" s="10"/>
      <c r="T666" s="10"/>
      <c r="U666" s="10"/>
      <c r="V666" s="10"/>
      <c r="W666" s="10"/>
      <c r="X666" s="10"/>
      <c r="Y666" s="10"/>
      <c r="Z666" s="10"/>
    </row>
    <row r="667" spans="1:26" ht="15">
      <c r="A667" s="9">
        <v>321</v>
      </c>
      <c r="B667" s="10" t="str">
        <f ca="1">IFERROR(__xludf.DUMMYFUNCTION((TRANSPOSE(ImportHTML("http://spending.data.al/sq/moneypower/view/id/321/year/2013",  "table", 0)))),"*Kategoria*")</f>
        <v>*Kategoria*</v>
      </c>
      <c r="C667" s="10" t="s">
        <v>673</v>
      </c>
      <c r="D667" s="10" t="s">
        <v>674</v>
      </c>
      <c r="E667" s="10" t="s">
        <v>675</v>
      </c>
      <c r="F667" s="10" t="s">
        <v>676</v>
      </c>
      <c r="G667" s="10" t="s">
        <v>677</v>
      </c>
      <c r="H667" s="10" t="s">
        <v>678</v>
      </c>
      <c r="I667" s="10" t="s">
        <v>679</v>
      </c>
      <c r="J667" s="10" t="s">
        <v>680</v>
      </c>
      <c r="K667" s="10" t="s">
        <v>681</v>
      </c>
      <c r="L667" s="10" t="s">
        <v>682</v>
      </c>
      <c r="M667" s="10" t="s">
        <v>683</v>
      </c>
      <c r="N667" s="10" t="s">
        <v>684</v>
      </c>
      <c r="O667" s="10" t="s">
        <v>685</v>
      </c>
      <c r="P667" s="10"/>
      <c r="Q667" s="10"/>
      <c r="R667" s="10"/>
      <c r="S667" s="10"/>
      <c r="T667" s="10"/>
      <c r="U667" s="10"/>
      <c r="V667" s="10"/>
      <c r="W667" s="10"/>
      <c r="X667" s="10"/>
      <c r="Y667" s="10"/>
      <c r="Z667" s="10"/>
    </row>
    <row r="668" spans="1:26" ht="15">
      <c r="A668" s="11"/>
      <c r="B668" s="10" t="s">
        <v>686</v>
      </c>
      <c r="C668" s="10" t="s">
        <v>4284</v>
      </c>
      <c r="D668" s="10" t="s">
        <v>688</v>
      </c>
      <c r="E668" s="10" t="s">
        <v>688</v>
      </c>
      <c r="F668" s="10" t="s">
        <v>688</v>
      </c>
      <c r="G668" s="10" t="s">
        <v>688</v>
      </c>
      <c r="H668" s="10" t="s">
        <v>688</v>
      </c>
      <c r="I668" s="10" t="s">
        <v>688</v>
      </c>
      <c r="J668" s="10" t="s">
        <v>688</v>
      </c>
      <c r="K668" s="10" t="s">
        <v>688</v>
      </c>
      <c r="L668" s="10" t="s">
        <v>688</v>
      </c>
      <c r="M668" s="10" t="s">
        <v>688</v>
      </c>
      <c r="N668" s="10">
        <v>1</v>
      </c>
      <c r="O668" s="10" t="s">
        <v>4285</v>
      </c>
      <c r="P668" s="10"/>
      <c r="Q668" s="10"/>
      <c r="R668" s="10"/>
      <c r="S668" s="10"/>
      <c r="T668" s="10"/>
      <c r="U668" s="10"/>
      <c r="V668" s="10"/>
      <c r="W668" s="10"/>
      <c r="X668" s="10"/>
      <c r="Y668" s="10"/>
      <c r="Z668" s="10"/>
    </row>
    <row r="669" spans="1:26" ht="15">
      <c r="A669" s="9">
        <v>322</v>
      </c>
      <c r="B669" s="10" t="str">
        <f ca="1">IFERROR(__xludf.DUMMYFUNCTION((TRANSPOSE(ImportHTML("http://spending.data.al/sq/moneypower/view/id/322/year/2013",  "table", 0)))),"*Kategoria*")</f>
        <v>*Kategoria*</v>
      </c>
      <c r="C669" s="10" t="s">
        <v>673</v>
      </c>
      <c r="D669" s="10" t="s">
        <v>674</v>
      </c>
      <c r="E669" s="10" t="s">
        <v>675</v>
      </c>
      <c r="F669" s="10" t="s">
        <v>676</v>
      </c>
      <c r="G669" s="10" t="s">
        <v>677</v>
      </c>
      <c r="H669" s="10" t="s">
        <v>678</v>
      </c>
      <c r="I669" s="10" t="s">
        <v>679</v>
      </c>
      <c r="J669" s="10" t="s">
        <v>680</v>
      </c>
      <c r="K669" s="10" t="s">
        <v>681</v>
      </c>
      <c r="L669" s="10" t="s">
        <v>682</v>
      </c>
      <c r="M669" s="10" t="s">
        <v>683</v>
      </c>
      <c r="N669" s="10" t="s">
        <v>684</v>
      </c>
      <c r="O669" s="10" t="s">
        <v>685</v>
      </c>
      <c r="P669" s="10"/>
      <c r="Q669" s="10"/>
      <c r="R669" s="10"/>
      <c r="S669" s="10"/>
      <c r="T669" s="10"/>
      <c r="U669" s="10"/>
      <c r="V669" s="10"/>
      <c r="W669" s="10"/>
      <c r="X669" s="10"/>
      <c r="Y669" s="10"/>
      <c r="Z669" s="10"/>
    </row>
    <row r="670" spans="1:26" ht="15">
      <c r="A670" s="11"/>
      <c r="B670" s="10" t="s">
        <v>686</v>
      </c>
      <c r="C670" s="10" t="s">
        <v>4286</v>
      </c>
      <c r="D670" s="10" t="s">
        <v>688</v>
      </c>
      <c r="E670" s="10" t="s">
        <v>688</v>
      </c>
      <c r="F670" s="10" t="s">
        <v>4287</v>
      </c>
      <c r="G670" s="10" t="s">
        <v>688</v>
      </c>
      <c r="H670" s="10" t="s">
        <v>688</v>
      </c>
      <c r="I670" s="10" t="s">
        <v>688</v>
      </c>
      <c r="J670" s="10" t="s">
        <v>4288</v>
      </c>
      <c r="K670" s="10" t="s">
        <v>688</v>
      </c>
      <c r="L670" s="10" t="s">
        <v>4289</v>
      </c>
      <c r="M670" s="10" t="s">
        <v>688</v>
      </c>
      <c r="N670" s="10">
        <v>1.8</v>
      </c>
      <c r="O670" s="10" t="s">
        <v>4290</v>
      </c>
      <c r="P670" s="10"/>
      <c r="Q670" s="10"/>
      <c r="R670" s="10"/>
      <c r="S670" s="10"/>
      <c r="T670" s="10"/>
      <c r="U670" s="10"/>
      <c r="V670" s="10"/>
      <c r="W670" s="10"/>
      <c r="X670" s="10"/>
      <c r="Y670" s="10"/>
      <c r="Z670" s="10"/>
    </row>
    <row r="671" spans="1:26" ht="15">
      <c r="A671" s="9">
        <v>323</v>
      </c>
      <c r="B671" s="10" t="str">
        <f ca="1">IFERROR(__xludf.DUMMYFUNCTION((TRANSPOSE(ImportHTML("http://spending.data.al/sq/moneypower/view/id/323/year/2013",  "table", 0)))),"*Emër Subjekti*")</f>
        <v>*Emër Subjekti*</v>
      </c>
      <c r="C671" s="10" t="s">
        <v>698</v>
      </c>
      <c r="D671" s="10" t="s">
        <v>699</v>
      </c>
      <c r="E671" s="10" t="s">
        <v>700</v>
      </c>
      <c r="F671" s="10" t="s">
        <v>701</v>
      </c>
      <c r="G671" s="10" t="s">
        <v>702</v>
      </c>
      <c r="H671" s="10"/>
      <c r="I671" s="10"/>
      <c r="J671" s="10"/>
      <c r="K671" s="10"/>
      <c r="L671" s="10"/>
      <c r="M671" s="10"/>
      <c r="N671" s="10"/>
      <c r="O671" s="10"/>
      <c r="P671" s="10"/>
      <c r="Q671" s="10"/>
      <c r="R671" s="10"/>
      <c r="S671" s="10"/>
      <c r="T671" s="10"/>
      <c r="U671" s="10"/>
      <c r="V671" s="10"/>
      <c r="W671" s="10"/>
      <c r="X671" s="10"/>
      <c r="Y671" s="10"/>
      <c r="Z671" s="10"/>
    </row>
    <row r="672" spans="1:26" ht="15">
      <c r="A672" s="11"/>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c r="A673" s="11"/>
      <c r="B673" s="10" t="s">
        <v>3750</v>
      </c>
      <c r="C673" s="10" t="s">
        <v>711</v>
      </c>
      <c r="D673" s="10">
        <v>41907</v>
      </c>
      <c r="E673" s="10" t="s">
        <v>712</v>
      </c>
      <c r="F673" s="10" t="s">
        <v>3751</v>
      </c>
      <c r="G673" s="10" t="s">
        <v>3752</v>
      </c>
      <c r="H673" s="10"/>
      <c r="I673" s="10"/>
      <c r="J673" s="10"/>
      <c r="K673" s="10"/>
      <c r="L673" s="10"/>
      <c r="M673" s="10"/>
      <c r="N673" s="10"/>
      <c r="O673" s="10"/>
      <c r="P673" s="10"/>
      <c r="Q673" s="10"/>
      <c r="R673" s="10"/>
      <c r="S673" s="10"/>
      <c r="T673" s="10"/>
      <c r="U673" s="10"/>
      <c r="V673" s="10"/>
      <c r="W673" s="10"/>
      <c r="X673" s="10"/>
      <c r="Y673" s="10"/>
      <c r="Z673" s="10"/>
    </row>
    <row r="674" spans="1:26" ht="15">
      <c r="A674" s="9">
        <v>324</v>
      </c>
      <c r="B674" s="10" t="str">
        <f ca="1">IFERROR(__xludf.DUMMYFUNCTION((TRANSPOSE(ImportHTML("http://spending.data.al/sq/moneypower/view/id/324/year/2013",  "table", 0)))),"*Emër Subjekti*")</f>
        <v>*Emër Subjekti*</v>
      </c>
      <c r="C674" s="10" t="s">
        <v>698</v>
      </c>
      <c r="D674" s="10" t="s">
        <v>699</v>
      </c>
      <c r="E674" s="10" t="s">
        <v>700</v>
      </c>
      <c r="F674" s="10" t="s">
        <v>701</v>
      </c>
      <c r="G674" s="10" t="s">
        <v>702</v>
      </c>
      <c r="H674" s="10"/>
      <c r="I674" s="10"/>
      <c r="J674" s="10"/>
      <c r="K674" s="10"/>
      <c r="L674" s="10"/>
      <c r="M674" s="10"/>
      <c r="N674" s="10"/>
      <c r="O674" s="10"/>
      <c r="P674" s="10"/>
      <c r="Q674" s="10"/>
      <c r="R674" s="10"/>
      <c r="S674" s="10"/>
      <c r="T674" s="10"/>
      <c r="U674" s="10"/>
      <c r="V674" s="10"/>
      <c r="W674" s="10"/>
      <c r="X674" s="10"/>
      <c r="Y674" s="10"/>
      <c r="Z674" s="10"/>
    </row>
    <row r="675" spans="1:26" ht="15">
      <c r="A675" s="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c r="A676" s="11"/>
      <c r="B676" s="10" t="s">
        <v>3753</v>
      </c>
      <c r="C676" s="10" t="s">
        <v>711</v>
      </c>
      <c r="D676" s="10">
        <v>41907</v>
      </c>
      <c r="E676" s="10" t="s">
        <v>712</v>
      </c>
      <c r="F676" s="10" t="s">
        <v>3754</v>
      </c>
      <c r="G676" s="10" t="s">
        <v>3755</v>
      </c>
      <c r="H676" s="10"/>
      <c r="I676" s="10"/>
      <c r="J676" s="10"/>
      <c r="K676" s="10"/>
      <c r="L676" s="10"/>
      <c r="M676" s="10"/>
      <c r="N676" s="10"/>
      <c r="O676" s="10"/>
      <c r="P676" s="10"/>
      <c r="Q676" s="10"/>
      <c r="R676" s="10"/>
      <c r="S676" s="10"/>
      <c r="T676" s="10"/>
      <c r="U676" s="10"/>
      <c r="V676" s="10"/>
      <c r="W676" s="10"/>
      <c r="X676" s="10"/>
      <c r="Y676" s="10"/>
      <c r="Z676" s="10"/>
    </row>
    <row r="677" spans="1:26" ht="15">
      <c r="A677" s="9">
        <v>325</v>
      </c>
      <c r="B677" s="10" t="str">
        <f ca="1">IFERROR(__xludf.DUMMYFUNCTION((TRANSPOSE(ImportHTML("http://spending.data.al/sq/moneypower/view/id/325/year/2013",  "table", 0)))),"*Emër Subjekti*")</f>
        <v>*Emër Subjekti*</v>
      </c>
      <c r="C677" s="10" t="s">
        <v>698</v>
      </c>
      <c r="D677" s="10" t="s">
        <v>699</v>
      </c>
      <c r="E677" s="10" t="s">
        <v>700</v>
      </c>
      <c r="F677" s="10" t="s">
        <v>701</v>
      </c>
      <c r="G677" s="10" t="s">
        <v>702</v>
      </c>
      <c r="H677" s="10"/>
      <c r="I677" s="10"/>
      <c r="J677" s="10"/>
      <c r="K677" s="10"/>
      <c r="L677" s="10"/>
      <c r="M677" s="10"/>
      <c r="N677" s="10"/>
      <c r="O677" s="10"/>
      <c r="P677" s="10"/>
      <c r="Q677" s="10"/>
      <c r="R677" s="10"/>
      <c r="S677" s="10"/>
      <c r="T677" s="10"/>
      <c r="U677" s="10"/>
      <c r="V677" s="10"/>
      <c r="W677" s="10"/>
      <c r="X677" s="10"/>
      <c r="Y677" s="10"/>
      <c r="Z677" s="10"/>
    </row>
    <row r="678" spans="1:26" ht="15">
      <c r="A678" s="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c r="A679" s="11"/>
      <c r="B679" s="10" t="s">
        <v>3756</v>
      </c>
      <c r="C679" s="10" t="s">
        <v>711</v>
      </c>
      <c r="D679" s="10">
        <v>41907</v>
      </c>
      <c r="E679" s="10" t="s">
        <v>712</v>
      </c>
      <c r="F679" s="10" t="s">
        <v>3757</v>
      </c>
      <c r="G679" s="10" t="s">
        <v>3758</v>
      </c>
      <c r="H679" s="10"/>
      <c r="I679" s="10"/>
      <c r="J679" s="10"/>
      <c r="K679" s="10"/>
      <c r="L679" s="10"/>
      <c r="M679" s="10"/>
      <c r="N679" s="10"/>
      <c r="O679" s="10"/>
      <c r="P679" s="10"/>
      <c r="Q679" s="10"/>
      <c r="R679" s="10"/>
      <c r="S679" s="10"/>
      <c r="T679" s="10"/>
      <c r="U679" s="10"/>
      <c r="V679" s="10"/>
      <c r="W679" s="10"/>
      <c r="X679" s="10"/>
      <c r="Y679" s="10"/>
      <c r="Z679" s="10"/>
    </row>
    <row r="680" spans="1:26" ht="15">
      <c r="A680" s="9">
        <v>326</v>
      </c>
      <c r="B680" s="10" t="str">
        <f ca="1">IFERROR(__xludf.DUMMYFUNCTION((TRANSPOSE(ImportHTML("http://spending.data.al/sq/moneypower/view/id/326/year/2013",  "table", 0)))),"*Emër Subjekti*")</f>
        <v>*Emër Subjekti*</v>
      </c>
      <c r="C680" s="10" t="s">
        <v>698</v>
      </c>
      <c r="D680" s="10" t="s">
        <v>699</v>
      </c>
      <c r="E680" s="10" t="s">
        <v>700</v>
      </c>
      <c r="F680" s="10" t="s">
        <v>701</v>
      </c>
      <c r="G680" s="10" t="s">
        <v>702</v>
      </c>
      <c r="H680" s="10"/>
      <c r="I680" s="10"/>
      <c r="J680" s="10"/>
      <c r="K680" s="10"/>
      <c r="L680" s="10"/>
      <c r="M680" s="10"/>
      <c r="N680" s="10"/>
      <c r="O680" s="10"/>
      <c r="P680" s="10"/>
      <c r="Q680" s="10"/>
      <c r="R680" s="10"/>
      <c r="S680" s="10"/>
      <c r="T680" s="10"/>
      <c r="U680" s="10"/>
      <c r="V680" s="10"/>
      <c r="W680" s="10"/>
      <c r="X680" s="10"/>
      <c r="Y680" s="10"/>
      <c r="Z680" s="10"/>
    </row>
    <row r="681" spans="1:26" ht="15">
      <c r="A681" s="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c r="A682" s="11"/>
      <c r="B682" s="10" t="s">
        <v>3759</v>
      </c>
      <c r="C682" s="10" t="s">
        <v>711</v>
      </c>
      <c r="D682" s="10">
        <v>41977</v>
      </c>
      <c r="E682" s="10" t="s">
        <v>712</v>
      </c>
      <c r="F682" s="10" t="s">
        <v>3760</v>
      </c>
      <c r="G682" s="10" t="s">
        <v>708</v>
      </c>
      <c r="H682" s="10"/>
      <c r="I682" s="10"/>
      <c r="J682" s="10"/>
      <c r="K682" s="10"/>
      <c r="L682" s="10"/>
      <c r="M682" s="10"/>
      <c r="N682" s="10"/>
      <c r="O682" s="10"/>
      <c r="P682" s="10"/>
      <c r="Q682" s="10"/>
      <c r="R682" s="10"/>
      <c r="S682" s="10"/>
      <c r="T682" s="10"/>
      <c r="U682" s="10"/>
      <c r="V682" s="10"/>
      <c r="W682" s="10"/>
      <c r="X682" s="10"/>
      <c r="Y682" s="10"/>
      <c r="Z682" s="10"/>
    </row>
    <row r="683" spans="1:26" ht="15">
      <c r="A683" s="9">
        <v>327</v>
      </c>
      <c r="B683" s="10" t="str">
        <f ca="1">IFERROR(__xludf.DUMMYFUNCTION((TRANSPOSE(ImportHTML("http://spending.data.al/sq/moneypower/view/id/327/year/2013",  "table", 0)))),"*Emër Subjekti*")</f>
        <v>*Emër Subjekti*</v>
      </c>
      <c r="C683" s="10" t="s">
        <v>698</v>
      </c>
      <c r="D683" s="10" t="s">
        <v>699</v>
      </c>
      <c r="E683" s="10" t="s">
        <v>700</v>
      </c>
      <c r="F683" s="10" t="s">
        <v>701</v>
      </c>
      <c r="G683" s="10" t="s">
        <v>702</v>
      </c>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10"/>
      <c r="B685" s="10" t="s">
        <v>3761</v>
      </c>
      <c r="C685" s="10" t="s">
        <v>711</v>
      </c>
      <c r="D685" s="10">
        <v>41907</v>
      </c>
      <c r="E685" s="10" t="s">
        <v>712</v>
      </c>
      <c r="F685" s="10" t="s">
        <v>3762</v>
      </c>
      <c r="G685" s="10" t="s">
        <v>3763</v>
      </c>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7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75" customHeight="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75" customHeight="1">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75" customHeight="1">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75" customHeight="1">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75" customHeight="1">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75" customHeight="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75" customHeight="1">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75" customHeight="1">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75" customHeight="1">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5.75" customHeight="1">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5.75" customHeight="1">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5.75" customHeight="1">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5.75" customHeight="1">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ht="15.75" customHeight="1">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spans="1:26" ht="15.75" customHeight="1">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spans="1:26" ht="15.75" customHeight="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spans="1:26" ht="15.75" customHeight="1">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spans="1:26" ht="15.75" customHeight="1">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spans="1:26" ht="15.75" customHeight="1">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spans="1:26" ht="15.75" customHeight="1">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spans="1:26" ht="15.75" customHeight="1">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spans="1:26" ht="15.75" customHeight="1">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spans="1:26" ht="15.75" customHeight="1">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spans="1:26" ht="15.75" customHeight="1">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spans="1:26" ht="15.75" customHeight="1">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4"/>
  <sheetViews>
    <sheetView topLeftCell="A34" workbookViewId="0">
      <selection activeCell="D56" sqref="D56"/>
    </sheetView>
  </sheetViews>
  <sheetFormatPr defaultColWidth="14.42578125" defaultRowHeight="15.75" customHeight="1"/>
  <sheetData>
    <row r="1" spans="1:10" ht="15">
      <c r="A1" s="1">
        <v>1</v>
      </c>
      <c r="B1" t="str">
        <f ca="1">IFERROR(__xludf.DUMMYFUNCTION((TRANSPOSE(ImportHTML("http://spending.data.al/sq/moneypower/view/id/1/year/2013",  "table", 2)))),"*Kategoria*")</f>
        <v>*Kategoria*</v>
      </c>
      <c r="D1" t="s">
        <v>719</v>
      </c>
      <c r="E1" t="s">
        <v>720</v>
      </c>
      <c r="F1" t="s">
        <v>721</v>
      </c>
      <c r="G1" t="s">
        <v>722</v>
      </c>
      <c r="H1" t="s">
        <v>723</v>
      </c>
      <c r="I1" t="s">
        <v>724</v>
      </c>
      <c r="J1" t="s">
        <v>685</v>
      </c>
    </row>
    <row r="2" spans="1:10" ht="15">
      <c r="A2" s="7"/>
      <c r="B2" t="s">
        <v>686</v>
      </c>
      <c r="D2" t="s">
        <v>725</v>
      </c>
      <c r="E2" t="s">
        <v>726</v>
      </c>
      <c r="F2" t="s">
        <v>727</v>
      </c>
      <c r="G2" t="s">
        <v>728</v>
      </c>
      <c r="H2" t="s">
        <v>727</v>
      </c>
      <c r="I2" t="s">
        <v>707</v>
      </c>
      <c r="J2" t="s">
        <v>707</v>
      </c>
    </row>
    <row r="3" spans="1:10" ht="15">
      <c r="A3" s="1">
        <v>2</v>
      </c>
      <c r="B3" t="str">
        <f ca="1">IFERROR(__xludf.DUMMYFUNCTION((TRANSPOSE(ImportHTML("http://spending.data.al/sq/moneypower/view/id/2/year/2013",  "table", 2)))),"*Kategoria*")</f>
        <v>*Kategoria*</v>
      </c>
      <c r="C3" t="s">
        <v>2589</v>
      </c>
    </row>
    <row r="4" spans="1:10" ht="15">
      <c r="A4" s="7"/>
      <c r="B4" t="s">
        <v>686</v>
      </c>
    </row>
    <row r="5" spans="1:10" ht="15">
      <c r="A5" s="1">
        <v>3</v>
      </c>
      <c r="B5" t="str">
        <f ca="1">IFERROR(__xludf.DUMMYFUNCTION((TRANSPOSE(ImportHTML("http://spending.data.al/sq/moneypower/view/id/3/year/2013",  "table", 2)))),"*Kategoria*")</f>
        <v>*Kategoria*</v>
      </c>
      <c r="D5" t="s">
        <v>719</v>
      </c>
      <c r="E5" t="s">
        <v>720</v>
      </c>
      <c r="F5" t="s">
        <v>721</v>
      </c>
      <c r="G5" t="s">
        <v>722</v>
      </c>
      <c r="H5" t="s">
        <v>723</v>
      </c>
      <c r="I5" t="s">
        <v>724</v>
      </c>
      <c r="J5" t="s">
        <v>685</v>
      </c>
    </row>
    <row r="6" spans="1:10" ht="15">
      <c r="A6" s="7"/>
      <c r="B6" t="s">
        <v>686</v>
      </c>
      <c r="D6" t="s">
        <v>2695</v>
      </c>
      <c r="E6" t="s">
        <v>2696</v>
      </c>
      <c r="F6" t="s">
        <v>2697</v>
      </c>
      <c r="G6" t="s">
        <v>727</v>
      </c>
      <c r="H6" t="s">
        <v>727</v>
      </c>
      <c r="I6" t="s">
        <v>707</v>
      </c>
      <c r="J6" t="s">
        <v>707</v>
      </c>
    </row>
    <row r="7" spans="1:10" ht="15">
      <c r="A7" s="1">
        <v>4</v>
      </c>
      <c r="B7" t="str">
        <f ca="1">IFERROR(__xludf.DUMMYFUNCTION((TRANSPOSE(ImportHTML("http://spending.data.al/sq/moneypower/view/id/4/year/2013",  "table", 2)))),"*Kategoria*")</f>
        <v>*Kategoria*</v>
      </c>
      <c r="C7" t="s">
        <v>2589</v>
      </c>
    </row>
    <row r="8" spans="1:10" ht="15">
      <c r="A8" s="7"/>
      <c r="B8" t="s">
        <v>686</v>
      </c>
    </row>
    <row r="9" spans="1:10" ht="15">
      <c r="A9" s="1">
        <v>5</v>
      </c>
      <c r="B9" t="str">
        <f ca="1">IFERROR(__xludf.DUMMYFUNCTION((TRANSPOSE(ImportHTML("http://spending.data.al/sq/moneypower/view/id/5/year/2013",  "table", 2)))),"*Kategoria*")</f>
        <v>*Kategoria*</v>
      </c>
      <c r="C9" t="s">
        <v>2589</v>
      </c>
    </row>
    <row r="10" spans="1:10" ht="15">
      <c r="A10" s="7"/>
      <c r="B10" t="s">
        <v>686</v>
      </c>
    </row>
    <row r="11" spans="1:10" ht="15">
      <c r="A11" s="1">
        <v>6</v>
      </c>
      <c r="B11" t="str">
        <f ca="1">IFERROR(__xludf.DUMMYFUNCTION((TRANSPOSE(ImportHTML("http://spending.data.al/sq/moneypower/view/id/6/year/2013",  "table", 2)))),"*Kategoria*")</f>
        <v>*Kategoria*</v>
      </c>
      <c r="D11" t="s">
        <v>719</v>
      </c>
      <c r="E11" t="s">
        <v>720</v>
      </c>
      <c r="F11" t="s">
        <v>721</v>
      </c>
      <c r="G11" t="s">
        <v>722</v>
      </c>
      <c r="H11" t="s">
        <v>723</v>
      </c>
      <c r="I11" t="s">
        <v>724</v>
      </c>
      <c r="J11" t="s">
        <v>685</v>
      </c>
    </row>
    <row r="12" spans="1:10" ht="15">
      <c r="A12" s="7"/>
      <c r="B12" t="s">
        <v>686</v>
      </c>
      <c r="D12" t="s">
        <v>2698</v>
      </c>
      <c r="E12" t="s">
        <v>2699</v>
      </c>
      <c r="F12" t="s">
        <v>727</v>
      </c>
      <c r="G12" t="s">
        <v>727</v>
      </c>
      <c r="H12" t="s">
        <v>727</v>
      </c>
      <c r="I12" t="s">
        <v>2700</v>
      </c>
      <c r="J12" t="s">
        <v>727</v>
      </c>
    </row>
    <row r="13" spans="1:10" ht="15">
      <c r="A13" s="1">
        <v>7</v>
      </c>
      <c r="B13" t="str">
        <f ca="1">IFERROR(__xludf.DUMMYFUNCTION((TRANSPOSE(ImportHTML("http://spending.data.al/sq/moneypower/view/id/7/year/2013",  "table", 2)))),"*Kategoria*")</f>
        <v>*Kategoria*</v>
      </c>
      <c r="C13" t="s">
        <v>2589</v>
      </c>
    </row>
    <row r="14" spans="1:10" ht="15">
      <c r="A14" s="7"/>
      <c r="B14" t="s">
        <v>686</v>
      </c>
    </row>
    <row r="15" spans="1:10" ht="15">
      <c r="A15" s="1">
        <v>8</v>
      </c>
      <c r="B15" t="str">
        <f ca="1">IFERROR(__xludf.DUMMYFUNCTION((TRANSPOSE(ImportHTML("http://spending.data.al/sq/moneypower/view/id/8/year/2013",  "table", 2)))),"*Kategoria*")</f>
        <v>*Kategoria*</v>
      </c>
      <c r="C15" t="s">
        <v>2589</v>
      </c>
    </row>
    <row r="16" spans="1:10" ht="15">
      <c r="A16" s="7"/>
      <c r="B16" t="s">
        <v>686</v>
      </c>
    </row>
    <row r="17" spans="1:10" ht="15">
      <c r="A17" s="1">
        <v>9</v>
      </c>
      <c r="B17" t="str">
        <f ca="1">IFERROR(__xludf.DUMMYFUNCTION((TRANSPOSE(ImportHTML("http://spending.data.al/sq/moneypower/view/id/9/year/2013",  "table", 2)))),"*Kategoria*")</f>
        <v>*Kategoria*</v>
      </c>
      <c r="D17" t="s">
        <v>719</v>
      </c>
      <c r="E17" t="s">
        <v>720</v>
      </c>
      <c r="F17" t="s">
        <v>721</v>
      </c>
      <c r="G17" t="s">
        <v>722</v>
      </c>
      <c r="H17" t="s">
        <v>723</v>
      </c>
      <c r="I17" t="s">
        <v>724</v>
      </c>
      <c r="J17" t="s">
        <v>685</v>
      </c>
    </row>
    <row r="18" spans="1:10" ht="15">
      <c r="A18" s="7"/>
      <c r="B18" t="s">
        <v>686</v>
      </c>
      <c r="D18" t="s">
        <v>2701</v>
      </c>
      <c r="E18" t="s">
        <v>2702</v>
      </c>
      <c r="F18" t="s">
        <v>2703</v>
      </c>
      <c r="G18" t="s">
        <v>727</v>
      </c>
      <c r="H18" t="s">
        <v>727</v>
      </c>
      <c r="I18" t="s">
        <v>727</v>
      </c>
      <c r="J18" t="s">
        <v>707</v>
      </c>
    </row>
    <row r="19" spans="1:10" ht="15">
      <c r="A19" s="1">
        <v>10</v>
      </c>
      <c r="B19" t="str">
        <f ca="1">IFERROR(__xludf.DUMMYFUNCTION((TRANSPOSE(ImportHTML("http://spending.data.al/sq/moneypower/view/id/10/year/2013",  "table", 2)))),"*Kategoria*")</f>
        <v>*Kategoria*</v>
      </c>
      <c r="C19" t="s">
        <v>2589</v>
      </c>
    </row>
    <row r="20" spans="1:10" ht="15">
      <c r="A20" s="7"/>
      <c r="B20" t="s">
        <v>686</v>
      </c>
    </row>
    <row r="21" spans="1:10" ht="15">
      <c r="A21" s="1">
        <v>11</v>
      </c>
      <c r="B21" t="str">
        <f ca="1">IFERROR(__xludf.DUMMYFUNCTION((TRANSPOSE(ImportHTML("http://spending.data.al/sq/moneypower/view/id/11/year/2013",  "table", 2)))),"*Kategoria*")</f>
        <v>*Kategoria*</v>
      </c>
      <c r="D21" t="s">
        <v>719</v>
      </c>
      <c r="E21" t="s">
        <v>720</v>
      </c>
      <c r="F21" t="s">
        <v>721</v>
      </c>
      <c r="G21" t="s">
        <v>722</v>
      </c>
      <c r="H21" t="s">
        <v>723</v>
      </c>
      <c r="I21" t="s">
        <v>724</v>
      </c>
      <c r="J21" t="s">
        <v>685</v>
      </c>
    </row>
    <row r="22" spans="1:10" ht="15">
      <c r="A22" s="7"/>
      <c r="B22" t="s">
        <v>686</v>
      </c>
      <c r="D22" t="s">
        <v>2704</v>
      </c>
      <c r="E22" t="s">
        <v>2705</v>
      </c>
      <c r="F22" t="s">
        <v>727</v>
      </c>
      <c r="G22" t="s">
        <v>727</v>
      </c>
      <c r="H22" t="s">
        <v>727</v>
      </c>
      <c r="I22" t="s">
        <v>727</v>
      </c>
      <c r="J22" t="s">
        <v>2706</v>
      </c>
    </row>
    <row r="23" spans="1:10" ht="15">
      <c r="A23" s="1">
        <v>12</v>
      </c>
      <c r="B23" t="str">
        <f ca="1">IFERROR(__xludf.DUMMYFUNCTION((TRANSPOSE(ImportHTML("http://spending.data.al/sq/moneypower/view/id/12/year/2013",  "table", 2)))),"*Kategoria*")</f>
        <v>*Kategoria*</v>
      </c>
      <c r="C23" t="s">
        <v>2589</v>
      </c>
    </row>
    <row r="24" spans="1:10" ht="15">
      <c r="A24" s="7"/>
      <c r="B24" t="s">
        <v>686</v>
      </c>
    </row>
    <row r="25" spans="1:10" ht="15">
      <c r="A25" s="1">
        <v>13</v>
      </c>
      <c r="B25" t="str">
        <f ca="1">IFERROR(__xludf.DUMMYFUNCTION((TRANSPOSE(ImportHTML("http://spending.data.al/sq/moneypower/view/id/13/year/2013",  "table", 2)))),"*Kategoria*")</f>
        <v>*Kategoria*</v>
      </c>
      <c r="C25" t="s">
        <v>2589</v>
      </c>
    </row>
    <row r="26" spans="1:10" ht="15">
      <c r="A26" s="7"/>
      <c r="B26" t="s">
        <v>686</v>
      </c>
    </row>
    <row r="27" spans="1:10" ht="15">
      <c r="A27" s="1">
        <v>14</v>
      </c>
      <c r="B27" t="str">
        <f ca="1">IFERROR(__xludf.DUMMYFUNCTION((TRANSPOSE(ImportHTML("http://spending.data.al/sq/moneypower/view/id/14/year/2013",  "table", 2)))),"*Kategoria*")</f>
        <v>*Kategoria*</v>
      </c>
      <c r="D27" t="s">
        <v>719</v>
      </c>
      <c r="E27" t="s">
        <v>720</v>
      </c>
      <c r="F27" t="s">
        <v>721</v>
      </c>
      <c r="G27" t="s">
        <v>722</v>
      </c>
      <c r="H27" t="s">
        <v>723</v>
      </c>
      <c r="I27" t="s">
        <v>724</v>
      </c>
      <c r="J27" t="s">
        <v>685</v>
      </c>
    </row>
    <row r="28" spans="1:10" ht="15">
      <c r="A28" s="7"/>
      <c r="B28" t="s">
        <v>686</v>
      </c>
      <c r="D28" t="s">
        <v>2707</v>
      </c>
      <c r="E28" t="s">
        <v>2708</v>
      </c>
      <c r="F28" t="s">
        <v>727</v>
      </c>
      <c r="G28" t="s">
        <v>727</v>
      </c>
      <c r="H28" t="s">
        <v>727</v>
      </c>
      <c r="I28" t="s">
        <v>727</v>
      </c>
      <c r="J28" t="s">
        <v>2709</v>
      </c>
    </row>
    <row r="29" spans="1:10" ht="15">
      <c r="A29" s="1">
        <v>15</v>
      </c>
      <c r="B29" t="str">
        <f ca="1">IFERROR(__xludf.DUMMYFUNCTION((TRANSPOSE(ImportHTML("http://spending.data.al/sq/moneypower/view/id/15/year/2013",  "table", 2)))),"*Kategoria*")</f>
        <v>*Kategoria*</v>
      </c>
      <c r="C29" t="s">
        <v>2589</v>
      </c>
    </row>
    <row r="30" spans="1:10" ht="15">
      <c r="A30" s="7"/>
      <c r="B30" t="s">
        <v>686</v>
      </c>
    </row>
    <row r="31" spans="1:10" ht="15">
      <c r="A31" s="1">
        <v>16</v>
      </c>
      <c r="B31" t="str">
        <f ca="1">IFERROR(__xludf.DUMMYFUNCTION((TRANSPOSE(ImportHTML("http://spending.data.al/sq/moneypower/view/id/16/year/2013",  "table", 2)))),"*Kategoria*")</f>
        <v>*Kategoria*</v>
      </c>
      <c r="C31" t="s">
        <v>2589</v>
      </c>
    </row>
    <row r="32" spans="1:10" ht="15">
      <c r="A32" s="7"/>
      <c r="B32" t="s">
        <v>686</v>
      </c>
    </row>
    <row r="33" spans="1:10" ht="15">
      <c r="A33" s="1">
        <v>17</v>
      </c>
      <c r="B33" t="str">
        <f ca="1">IFERROR(__xludf.DUMMYFUNCTION((TRANSPOSE(ImportHTML("http://spending.data.al/sq/moneypower/view/id/17/year/2013",  "table", 2)))),"*Kategoria*")</f>
        <v>*Kategoria*</v>
      </c>
      <c r="D33" t="s">
        <v>719</v>
      </c>
      <c r="E33" t="s">
        <v>720</v>
      </c>
      <c r="F33" t="s">
        <v>721</v>
      </c>
      <c r="G33" t="s">
        <v>722</v>
      </c>
      <c r="H33" t="s">
        <v>723</v>
      </c>
      <c r="I33" t="s">
        <v>724</v>
      </c>
      <c r="J33" t="s">
        <v>685</v>
      </c>
    </row>
    <row r="34" spans="1:10" ht="15">
      <c r="A34" s="7"/>
      <c r="B34" t="s">
        <v>686</v>
      </c>
      <c r="D34" t="s">
        <v>2710</v>
      </c>
      <c r="E34" t="s">
        <v>2711</v>
      </c>
      <c r="F34" t="s">
        <v>727</v>
      </c>
      <c r="G34" t="s">
        <v>727</v>
      </c>
      <c r="H34" t="s">
        <v>727</v>
      </c>
      <c r="I34" t="s">
        <v>727</v>
      </c>
      <c r="J34" t="s">
        <v>707</v>
      </c>
    </row>
    <row r="35" spans="1:10" ht="15">
      <c r="A35" s="1">
        <v>18</v>
      </c>
      <c r="B35" t="str">
        <f ca="1">IFERROR(__xludf.DUMMYFUNCTION((TRANSPOSE(ImportHTML("http://spending.data.al/sq/moneypower/view/id/18/year/2013",  "table", 2)))),"*Kategoria*")</f>
        <v>*Kategoria*</v>
      </c>
      <c r="C35" t="s">
        <v>2589</v>
      </c>
    </row>
    <row r="36" spans="1:10" ht="15">
      <c r="A36" s="7"/>
      <c r="B36" t="s">
        <v>686</v>
      </c>
    </row>
    <row r="37" spans="1:10" ht="15">
      <c r="A37" s="1">
        <v>19</v>
      </c>
      <c r="B37" t="str">
        <f ca="1">IFERROR(__xludf.DUMMYFUNCTION((TRANSPOSE(ImportHTML("http://spending.data.al/sq/moneypower/view/id/19/year/2013",  "table", 2)))),"*Kategoria*")</f>
        <v>*Kategoria*</v>
      </c>
      <c r="C37" t="s">
        <v>2589</v>
      </c>
    </row>
    <row r="38" spans="1:10" ht="15">
      <c r="A38" s="7"/>
      <c r="B38" t="s">
        <v>686</v>
      </c>
    </row>
    <row r="39" spans="1:10" ht="15">
      <c r="A39" s="1">
        <v>20</v>
      </c>
      <c r="B39" t="str">
        <f ca="1">IFERROR(__xludf.DUMMYFUNCTION((TRANSPOSE(ImportHTML("http://spending.data.al/sq/moneypower/view/id/20/year/2013",  "table", 2)))),"*Kategoria*")</f>
        <v>*Kategoria*</v>
      </c>
      <c r="D39" t="s">
        <v>719</v>
      </c>
      <c r="E39" t="s">
        <v>720</v>
      </c>
      <c r="F39" t="s">
        <v>721</v>
      </c>
      <c r="G39" t="s">
        <v>722</v>
      </c>
      <c r="H39" t="s">
        <v>723</v>
      </c>
      <c r="I39" t="s">
        <v>724</v>
      </c>
      <c r="J39" t="s">
        <v>685</v>
      </c>
    </row>
    <row r="40" spans="1:10" ht="15">
      <c r="A40" s="7"/>
      <c r="B40" t="s">
        <v>686</v>
      </c>
      <c r="D40" t="s">
        <v>2712</v>
      </c>
      <c r="E40" t="s">
        <v>2713</v>
      </c>
      <c r="F40" t="s">
        <v>2714</v>
      </c>
      <c r="G40" t="s">
        <v>727</v>
      </c>
      <c r="H40" t="s">
        <v>2715</v>
      </c>
      <c r="I40" t="s">
        <v>727</v>
      </c>
      <c r="J40" t="s">
        <v>707</v>
      </c>
    </row>
    <row r="41" spans="1:10" ht="15">
      <c r="A41" s="1">
        <v>21</v>
      </c>
      <c r="B41" t="str">
        <f ca="1">IFERROR(__xludf.DUMMYFUNCTION((TRANSPOSE(ImportHTML("http://spending.data.al/sq/moneypower/view/id/21/year/2013",  "table", 2)))),"*Kategoria*")</f>
        <v>*Kategoria*</v>
      </c>
      <c r="C41" t="s">
        <v>2589</v>
      </c>
    </row>
    <row r="42" spans="1:10" ht="15">
      <c r="A42" s="7"/>
      <c r="B42" t="s">
        <v>686</v>
      </c>
    </row>
    <row r="43" spans="1:10" ht="15">
      <c r="A43" s="1">
        <v>22</v>
      </c>
      <c r="B43" t="str">
        <f ca="1">IFERROR(__xludf.DUMMYFUNCTION((TRANSPOSE(ImportHTML("http://spending.data.al/sq/moneypower/view/id/22/year/2013",  "table", 2)))),"*Kategoria*")</f>
        <v>*Kategoria*</v>
      </c>
      <c r="C43" t="s">
        <v>2589</v>
      </c>
    </row>
    <row r="44" spans="1:10" ht="15">
      <c r="A44" s="7"/>
      <c r="B44" t="s">
        <v>686</v>
      </c>
    </row>
    <row r="45" spans="1:10" ht="15">
      <c r="A45" s="1">
        <v>23</v>
      </c>
      <c r="B45" t="str">
        <f ca="1">IFERROR(__xludf.DUMMYFUNCTION((TRANSPOSE(ImportHTML("http://spending.data.al/sq/moneypower/view/id/23/year/2013",  "table", 2)))),"*Kategoria*")</f>
        <v>*Kategoria*</v>
      </c>
      <c r="C45" t="s">
        <v>2589</v>
      </c>
    </row>
    <row r="46" spans="1:10" ht="15">
      <c r="A46" s="7"/>
      <c r="B46" t="s">
        <v>686</v>
      </c>
    </row>
    <row r="47" spans="1:10" ht="15">
      <c r="A47" s="1">
        <v>24</v>
      </c>
      <c r="B47" t="str">
        <f ca="1">IFERROR(__xludf.DUMMYFUNCTION((TRANSPOSE(ImportHTML("http://spending.data.al/sq/moneypower/view/id/24/year/2013",  "table", 2)))),"*Kategoria*")</f>
        <v>*Kategoria*</v>
      </c>
      <c r="C47" t="s">
        <v>2589</v>
      </c>
    </row>
    <row r="48" spans="1:10" ht="15">
      <c r="A48" s="7"/>
      <c r="B48" t="s">
        <v>686</v>
      </c>
    </row>
    <row r="49" spans="1:10" ht="15">
      <c r="A49" s="1">
        <v>25</v>
      </c>
      <c r="B49" t="str">
        <f ca="1">IFERROR(__xludf.DUMMYFUNCTION((TRANSPOSE(ImportHTML("http://spending.data.al/sq/moneypower/view/id/25/year/2013",  "table", 2)))),"*Kategoria*")</f>
        <v>*Kategoria*</v>
      </c>
      <c r="D49" t="s">
        <v>719</v>
      </c>
      <c r="E49" t="s">
        <v>720</v>
      </c>
      <c r="F49" t="s">
        <v>721</v>
      </c>
      <c r="G49" t="s">
        <v>722</v>
      </c>
      <c r="H49" t="s">
        <v>723</v>
      </c>
      <c r="I49" t="s">
        <v>724</v>
      </c>
      <c r="J49" t="s">
        <v>685</v>
      </c>
    </row>
    <row r="50" spans="1:10" ht="15">
      <c r="A50" s="7"/>
      <c r="B50" t="s">
        <v>686</v>
      </c>
      <c r="D50" t="s">
        <v>2716</v>
      </c>
      <c r="E50" t="s">
        <v>2717</v>
      </c>
      <c r="F50" t="s">
        <v>2718</v>
      </c>
      <c r="G50" t="s">
        <v>727</v>
      </c>
      <c r="H50" t="s">
        <v>727</v>
      </c>
      <c r="I50" t="s">
        <v>727</v>
      </c>
      <c r="J50" t="s">
        <v>2719</v>
      </c>
    </row>
    <row r="51" spans="1:10" ht="15">
      <c r="A51" s="1">
        <v>26</v>
      </c>
      <c r="B51" t="str">
        <f ca="1">IFERROR(__xludf.DUMMYFUNCTION((TRANSPOSE(ImportHTML("http://spending.data.al/sq/moneypower/view/id/26/year/2013",  "table", 2)))),"*Kategoria*")</f>
        <v>*Kategoria*</v>
      </c>
      <c r="C51" t="s">
        <v>2589</v>
      </c>
    </row>
    <row r="52" spans="1:10" ht="15">
      <c r="A52" s="7"/>
      <c r="B52" t="s">
        <v>686</v>
      </c>
    </row>
    <row r="53" spans="1:10" ht="15">
      <c r="A53" s="1">
        <v>27</v>
      </c>
      <c r="B53" t="str">
        <f ca="1">IFERROR(__xludf.DUMMYFUNCTION((TRANSPOSE(ImportHTML("http://spending.data.al/sq/moneypower/view/id/27/year/2013",  "table", 2)))),"*Kategoria*")</f>
        <v>*Kategoria*</v>
      </c>
      <c r="C53" t="s">
        <v>2589</v>
      </c>
    </row>
    <row r="54" spans="1:10" ht="15">
      <c r="A54" s="7"/>
      <c r="B54" t="s">
        <v>686</v>
      </c>
    </row>
    <row r="55" spans="1:10" ht="15">
      <c r="A55" s="1">
        <v>28</v>
      </c>
      <c r="B55" t="str">
        <f ca="1">IFERROR(__xludf.DUMMYFUNCTION((TRANSPOSE(ImportHTML("http://spending.data.al/sq/moneypower/view/id/28/year/2013",  "table", 2)))),"*Kategoria*")</f>
        <v>*Kategoria*</v>
      </c>
      <c r="D55" t="s">
        <v>719</v>
      </c>
      <c r="E55" t="s">
        <v>720</v>
      </c>
      <c r="F55" t="s">
        <v>721</v>
      </c>
      <c r="G55" t="s">
        <v>722</v>
      </c>
      <c r="H55" t="s">
        <v>723</v>
      </c>
      <c r="I55" t="s">
        <v>724</v>
      </c>
      <c r="J55" t="s">
        <v>685</v>
      </c>
    </row>
    <row r="56" spans="1:10" ht="66.75" customHeight="1">
      <c r="A56" s="7"/>
      <c r="B56" t="s">
        <v>686</v>
      </c>
      <c r="D56" s="25" t="s">
        <v>2720</v>
      </c>
      <c r="E56" t="s">
        <v>727</v>
      </c>
      <c r="F56" t="s">
        <v>2721</v>
      </c>
      <c r="G56" t="s">
        <v>727</v>
      </c>
      <c r="H56" t="s">
        <v>727</v>
      </c>
      <c r="I56" t="s">
        <v>707</v>
      </c>
      <c r="J56" t="s">
        <v>707</v>
      </c>
    </row>
    <row r="57" spans="1:10" ht="15">
      <c r="A57" s="1">
        <v>29</v>
      </c>
      <c r="B57" t="str">
        <f ca="1">IFERROR(__xludf.DUMMYFUNCTION((TRANSPOSE(ImportHTML("http://spending.data.al/sq/moneypower/view/id/29/year/2013",  "table", 2)))),"*Kategoria*")</f>
        <v>*Kategoria*</v>
      </c>
      <c r="D57" t="s">
        <v>719</v>
      </c>
      <c r="E57" t="s">
        <v>720</v>
      </c>
      <c r="F57" t="s">
        <v>721</v>
      </c>
      <c r="G57" t="s">
        <v>722</v>
      </c>
      <c r="H57" t="s">
        <v>723</v>
      </c>
      <c r="I57" t="s">
        <v>724</v>
      </c>
      <c r="J57" t="s">
        <v>685</v>
      </c>
    </row>
    <row r="58" spans="1:10" ht="15">
      <c r="A58" s="7"/>
      <c r="B58" t="s">
        <v>686</v>
      </c>
      <c r="D58" t="s">
        <v>2722</v>
      </c>
      <c r="E58" t="s">
        <v>2723</v>
      </c>
      <c r="F58" t="s">
        <v>727</v>
      </c>
      <c r="G58" t="s">
        <v>727</v>
      </c>
      <c r="H58" t="s">
        <v>727</v>
      </c>
      <c r="I58" t="s">
        <v>727</v>
      </c>
      <c r="J58" t="s">
        <v>727</v>
      </c>
    </row>
    <row r="59" spans="1:10" ht="15">
      <c r="A59" s="1">
        <v>30</v>
      </c>
      <c r="B59" t="str">
        <f ca="1">IFERROR(__xludf.DUMMYFUNCTION((TRANSPOSE(ImportHTML("http://spending.data.al/sq/moneypower/view/id/30/year/2013",  "table", 2)))),"*Kategoria*")</f>
        <v>*Kategoria*</v>
      </c>
      <c r="D59" t="s">
        <v>719</v>
      </c>
      <c r="E59" t="s">
        <v>720</v>
      </c>
      <c r="F59" t="s">
        <v>721</v>
      </c>
      <c r="G59" t="s">
        <v>722</v>
      </c>
      <c r="H59" t="s">
        <v>723</v>
      </c>
      <c r="I59" t="s">
        <v>724</v>
      </c>
      <c r="J59" t="s">
        <v>685</v>
      </c>
    </row>
    <row r="60" spans="1:10" ht="15">
      <c r="A60" s="7"/>
      <c r="B60" t="s">
        <v>686</v>
      </c>
      <c r="D60" t="s">
        <v>2724</v>
      </c>
      <c r="E60" t="s">
        <v>727</v>
      </c>
      <c r="F60" t="s">
        <v>2725</v>
      </c>
      <c r="G60" t="s">
        <v>727</v>
      </c>
      <c r="H60" t="s">
        <v>727</v>
      </c>
      <c r="I60" t="s">
        <v>727</v>
      </c>
      <c r="J60" t="s">
        <v>2726</v>
      </c>
    </row>
    <row r="61" spans="1:10" ht="15">
      <c r="A61" s="1">
        <v>31</v>
      </c>
      <c r="B61" t="str">
        <f ca="1">IFERROR(__xludf.DUMMYFUNCTION((TRANSPOSE(ImportHTML("http://spending.data.al/sq/moneypower/view/id/31/year/2013",  "table", 2)))),"*Kategoria*")</f>
        <v>*Kategoria*</v>
      </c>
      <c r="D61" t="s">
        <v>719</v>
      </c>
      <c r="E61" t="s">
        <v>720</v>
      </c>
      <c r="F61" t="s">
        <v>721</v>
      </c>
      <c r="G61" t="s">
        <v>722</v>
      </c>
      <c r="H61" t="s">
        <v>723</v>
      </c>
      <c r="I61" t="s">
        <v>724</v>
      </c>
      <c r="J61" t="s">
        <v>685</v>
      </c>
    </row>
    <row r="62" spans="1:10" ht="15">
      <c r="A62" s="7"/>
      <c r="B62" t="s">
        <v>686</v>
      </c>
      <c r="D62" t="s">
        <v>2727</v>
      </c>
      <c r="E62" t="s">
        <v>727</v>
      </c>
      <c r="F62" t="s">
        <v>727</v>
      </c>
      <c r="G62" t="s">
        <v>727</v>
      </c>
      <c r="H62" t="s">
        <v>727</v>
      </c>
      <c r="I62" t="s">
        <v>727</v>
      </c>
      <c r="J62" t="s">
        <v>727</v>
      </c>
    </row>
    <row r="63" spans="1:10" ht="15">
      <c r="A63" s="1">
        <v>32</v>
      </c>
      <c r="B63" t="str">
        <f ca="1">IFERROR(__xludf.DUMMYFUNCTION((TRANSPOSE(ImportHTML("http://spending.data.al/sq/moneypower/view/id/32/year/2013",  "table", 2)))),"*Kategoria*")</f>
        <v>*Kategoria*</v>
      </c>
      <c r="D63" t="s">
        <v>719</v>
      </c>
      <c r="E63" t="s">
        <v>720</v>
      </c>
      <c r="F63" t="s">
        <v>721</v>
      </c>
      <c r="G63" t="s">
        <v>722</v>
      </c>
      <c r="H63" t="s">
        <v>723</v>
      </c>
      <c r="I63" t="s">
        <v>724</v>
      </c>
      <c r="J63" t="s">
        <v>685</v>
      </c>
    </row>
    <row r="64" spans="1:10" ht="15">
      <c r="A64" s="7"/>
      <c r="B64" t="s">
        <v>686</v>
      </c>
      <c r="D64" t="s">
        <v>2728</v>
      </c>
      <c r="E64" t="s">
        <v>727</v>
      </c>
      <c r="F64" t="s">
        <v>727</v>
      </c>
      <c r="G64" t="s">
        <v>727</v>
      </c>
      <c r="H64" t="s">
        <v>727</v>
      </c>
      <c r="I64" t="s">
        <v>727</v>
      </c>
      <c r="J64" t="s">
        <v>727</v>
      </c>
    </row>
    <row r="65" spans="1:10" ht="15">
      <c r="A65" s="1">
        <v>33</v>
      </c>
      <c r="B65" t="str">
        <f ca="1">IFERROR(__xludf.DUMMYFUNCTION((TRANSPOSE(ImportHTML("http://spending.data.al/sq/moneypower/view/id/33/year/2013",  "table", 2)))),"*Kategoria*")</f>
        <v>*Kategoria*</v>
      </c>
      <c r="C65" t="s">
        <v>2589</v>
      </c>
    </row>
    <row r="66" spans="1:10" ht="15">
      <c r="A66" s="7"/>
      <c r="B66" t="s">
        <v>686</v>
      </c>
    </row>
    <row r="67" spans="1:10" ht="15">
      <c r="A67" s="1">
        <v>34</v>
      </c>
      <c r="B67" t="str">
        <f ca="1">IFERROR(__xludf.DUMMYFUNCTION((TRANSPOSE(ImportHTML("http://spending.data.al/sq/moneypower/view/id/34/year/2013",  "table", 2)))),"*Kategoria*")</f>
        <v>*Kategoria*</v>
      </c>
      <c r="C67" t="s">
        <v>2589</v>
      </c>
    </row>
    <row r="68" spans="1:10" ht="15">
      <c r="A68" s="7"/>
      <c r="B68" t="s">
        <v>686</v>
      </c>
    </row>
    <row r="69" spans="1:10" ht="15">
      <c r="A69" s="1">
        <v>35</v>
      </c>
      <c r="B69" t="str">
        <f ca="1">IFERROR(__xludf.DUMMYFUNCTION((TRANSPOSE(ImportHTML("http://spending.data.al/sq/moneypower/view/id/35/year/2013",  "table", 2)))),"*Kategoria*")</f>
        <v>*Kategoria*</v>
      </c>
      <c r="C69" t="s">
        <v>2589</v>
      </c>
    </row>
    <row r="70" spans="1:10" ht="15">
      <c r="A70" s="7"/>
      <c r="B70" t="s">
        <v>686</v>
      </c>
    </row>
    <row r="71" spans="1:10" ht="15">
      <c r="A71" s="1">
        <v>36</v>
      </c>
      <c r="B71" t="str">
        <f ca="1">IFERROR(__xludf.DUMMYFUNCTION((TRANSPOSE(ImportHTML("http://spending.data.al/sq/moneypower/view/id/36/year/2013",  "table", 2)))),"*Kategoria*")</f>
        <v>*Kategoria*</v>
      </c>
      <c r="C71" t="s">
        <v>2589</v>
      </c>
    </row>
    <row r="72" spans="1:10" ht="15">
      <c r="A72" s="7"/>
      <c r="B72" t="s">
        <v>686</v>
      </c>
    </row>
    <row r="73" spans="1:10" ht="15">
      <c r="A73" s="1">
        <v>37</v>
      </c>
      <c r="B73" t="str">
        <f ca="1">IFERROR(__xludf.DUMMYFUNCTION((TRANSPOSE(ImportHTML("http://spending.data.al/sq/moneypower/view/id/37/year/2013",  "table", 2)))),"*Kategoria*")</f>
        <v>*Kategoria*</v>
      </c>
      <c r="D73" t="s">
        <v>719</v>
      </c>
      <c r="E73" t="s">
        <v>720</v>
      </c>
      <c r="F73" t="s">
        <v>721</v>
      </c>
      <c r="G73" t="s">
        <v>722</v>
      </c>
      <c r="H73" t="s">
        <v>723</v>
      </c>
      <c r="I73" t="s">
        <v>724</v>
      </c>
      <c r="J73" t="s">
        <v>685</v>
      </c>
    </row>
    <row r="74" spans="1:10" ht="15">
      <c r="A74" s="7"/>
      <c r="B74" t="s">
        <v>686</v>
      </c>
      <c r="D74" t="s">
        <v>2729</v>
      </c>
      <c r="E74" t="s">
        <v>727</v>
      </c>
      <c r="F74" t="s">
        <v>727</v>
      </c>
      <c r="G74" t="s">
        <v>727</v>
      </c>
      <c r="H74" t="s">
        <v>727</v>
      </c>
      <c r="I74" t="s">
        <v>727</v>
      </c>
      <c r="J74" t="s">
        <v>727</v>
      </c>
    </row>
    <row r="75" spans="1:10" ht="15">
      <c r="A75" s="1">
        <v>38</v>
      </c>
      <c r="B75" t="str">
        <f ca="1">IFERROR(__xludf.DUMMYFUNCTION((TRANSPOSE(ImportHTML("http://spending.data.al/sq/moneypower/view/id/38/year/2013",  "table", 2)))),"*Kategoria*")</f>
        <v>*Kategoria*</v>
      </c>
      <c r="D75" t="s">
        <v>719</v>
      </c>
      <c r="E75" t="s">
        <v>720</v>
      </c>
      <c r="F75" t="s">
        <v>721</v>
      </c>
      <c r="G75" t="s">
        <v>722</v>
      </c>
      <c r="H75" t="s">
        <v>723</v>
      </c>
      <c r="I75" t="s">
        <v>724</v>
      </c>
      <c r="J75" t="s">
        <v>685</v>
      </c>
    </row>
    <row r="76" spans="1:10" ht="15">
      <c r="A76" s="7"/>
      <c r="B76" t="s">
        <v>686</v>
      </c>
      <c r="D76" t="s">
        <v>2730</v>
      </c>
      <c r="E76" t="s">
        <v>727</v>
      </c>
      <c r="F76" t="s">
        <v>2731</v>
      </c>
      <c r="G76" t="s">
        <v>727</v>
      </c>
      <c r="H76" t="s">
        <v>727</v>
      </c>
      <c r="I76" t="s">
        <v>727</v>
      </c>
      <c r="J76" t="s">
        <v>727</v>
      </c>
    </row>
    <row r="77" spans="1:10" ht="15">
      <c r="A77" s="1">
        <v>39</v>
      </c>
      <c r="B77" t="str">
        <f ca="1">IFERROR(__xludf.DUMMYFUNCTION((TRANSPOSE(ImportHTML("http://spending.data.al/sq/moneypower/view/id/39/year/2013",  "table", 2)))),"*Kategoria*")</f>
        <v>*Kategoria*</v>
      </c>
      <c r="D77" t="s">
        <v>719</v>
      </c>
      <c r="E77" t="s">
        <v>720</v>
      </c>
      <c r="F77" t="s">
        <v>721</v>
      </c>
      <c r="G77" t="s">
        <v>722</v>
      </c>
      <c r="H77" t="s">
        <v>723</v>
      </c>
      <c r="I77" t="s">
        <v>724</v>
      </c>
      <c r="J77" t="s">
        <v>685</v>
      </c>
    </row>
    <row r="78" spans="1:10" ht="15">
      <c r="A78" s="7"/>
      <c r="B78" t="s">
        <v>686</v>
      </c>
      <c r="D78" t="s">
        <v>2732</v>
      </c>
      <c r="E78" t="s">
        <v>2733</v>
      </c>
      <c r="F78" t="s">
        <v>2734</v>
      </c>
      <c r="G78" t="s">
        <v>2601</v>
      </c>
      <c r="H78" t="s">
        <v>2601</v>
      </c>
      <c r="I78" t="s">
        <v>2601</v>
      </c>
      <c r="J78" t="s">
        <v>2735</v>
      </c>
    </row>
    <row r="79" spans="1:10" ht="15">
      <c r="A79" s="1">
        <v>40</v>
      </c>
      <c r="B79" t="str">
        <f ca="1">IFERROR(__xludf.DUMMYFUNCTION((TRANSPOSE(ImportHTML("http://spending.data.al/sq/moneypower/view/id/40/year/2013",  "table", 2)))),"*Kategoria*")</f>
        <v>*Kategoria*</v>
      </c>
      <c r="D79" t="s">
        <v>719</v>
      </c>
      <c r="E79" t="s">
        <v>720</v>
      </c>
      <c r="F79" t="s">
        <v>721</v>
      </c>
      <c r="G79" t="s">
        <v>722</v>
      </c>
      <c r="H79" t="s">
        <v>723</v>
      </c>
      <c r="I79" t="s">
        <v>724</v>
      </c>
      <c r="J79" t="s">
        <v>685</v>
      </c>
    </row>
    <row r="80" spans="1:10" ht="15">
      <c r="A80" s="7"/>
      <c r="B80" t="s">
        <v>686</v>
      </c>
      <c r="D80" t="s">
        <v>2736</v>
      </c>
      <c r="E80" t="s">
        <v>2737</v>
      </c>
      <c r="F80" t="s">
        <v>727</v>
      </c>
      <c r="G80" t="s">
        <v>727</v>
      </c>
      <c r="H80" t="s">
        <v>727</v>
      </c>
      <c r="I80" t="s">
        <v>2601</v>
      </c>
      <c r="J80" t="s">
        <v>727</v>
      </c>
    </row>
    <row r="81" spans="1:10" ht="15">
      <c r="A81" s="1">
        <v>41</v>
      </c>
      <c r="B81" t="str">
        <f ca="1">IFERROR(__xludf.DUMMYFUNCTION((TRANSPOSE(ImportHTML("http://spending.data.al/sq/moneypower/view/id/41/year/2013",  "table", 2)))),"*Kategoria*")</f>
        <v>*Kategoria*</v>
      </c>
      <c r="C81" t="s">
        <v>2589</v>
      </c>
    </row>
    <row r="82" spans="1:10" ht="15">
      <c r="A82" s="7"/>
      <c r="B82" t="s">
        <v>686</v>
      </c>
    </row>
    <row r="83" spans="1:10" ht="15">
      <c r="A83" s="1">
        <v>42</v>
      </c>
      <c r="B83" t="str">
        <f ca="1">IFERROR(__xludf.DUMMYFUNCTION((TRANSPOSE(ImportHTML("http://spending.data.al/sq/moneypower/view/id/42/year/2013",  "table", 2)))),"*Kategoria*")</f>
        <v>*Kategoria*</v>
      </c>
      <c r="D83" t="s">
        <v>719</v>
      </c>
      <c r="E83" t="s">
        <v>720</v>
      </c>
      <c r="F83" t="s">
        <v>721</v>
      </c>
      <c r="G83" t="s">
        <v>722</v>
      </c>
      <c r="H83" t="s">
        <v>723</v>
      </c>
      <c r="I83" t="s">
        <v>724</v>
      </c>
      <c r="J83" t="s">
        <v>685</v>
      </c>
    </row>
    <row r="84" spans="1:10" ht="15">
      <c r="A84" s="7"/>
      <c r="B84" t="s">
        <v>686</v>
      </c>
      <c r="D84" t="s">
        <v>2738</v>
      </c>
      <c r="E84" t="s">
        <v>727</v>
      </c>
      <c r="F84" t="s">
        <v>2739</v>
      </c>
      <c r="G84" t="s">
        <v>727</v>
      </c>
      <c r="H84" t="s">
        <v>727</v>
      </c>
      <c r="I84" t="s">
        <v>727</v>
      </c>
      <c r="J84" t="s">
        <v>2740</v>
      </c>
    </row>
    <row r="85" spans="1:10" ht="15">
      <c r="A85" s="1">
        <v>43</v>
      </c>
      <c r="B85" t="str">
        <f ca="1">IFERROR(__xludf.DUMMYFUNCTION((TRANSPOSE(ImportHTML("http://spending.data.al/sq/moneypower/view/id/43/year/2013",  "table", 2)))),"*Kategoria*")</f>
        <v>*Kategoria*</v>
      </c>
      <c r="D85" t="s">
        <v>719</v>
      </c>
      <c r="E85" t="s">
        <v>720</v>
      </c>
      <c r="F85" t="s">
        <v>721</v>
      </c>
      <c r="G85" t="s">
        <v>722</v>
      </c>
      <c r="H85" t="s">
        <v>723</v>
      </c>
      <c r="I85" t="s">
        <v>724</v>
      </c>
      <c r="J85" t="s">
        <v>685</v>
      </c>
    </row>
    <row r="86" spans="1:10" ht="15">
      <c r="A86" s="7"/>
      <c r="B86" t="s">
        <v>686</v>
      </c>
      <c r="D86" t="s">
        <v>2741</v>
      </c>
      <c r="E86" t="s">
        <v>727</v>
      </c>
      <c r="F86" t="s">
        <v>727</v>
      </c>
      <c r="G86" t="s">
        <v>727</v>
      </c>
      <c r="H86" t="s">
        <v>727</v>
      </c>
      <c r="I86" t="s">
        <v>727</v>
      </c>
      <c r="J86" t="s">
        <v>2742</v>
      </c>
    </row>
    <row r="87" spans="1:10" ht="15">
      <c r="A87" s="1">
        <v>44</v>
      </c>
      <c r="B87" t="str">
        <f ca="1">IFERROR(__xludf.DUMMYFUNCTION((TRANSPOSE(ImportHTML("http://spending.data.al/sq/moneypower/view/id/44/year/2013",  "table", 2)))),"*Kategoria*")</f>
        <v>*Kategoria*</v>
      </c>
      <c r="D87" t="s">
        <v>719</v>
      </c>
      <c r="E87" t="s">
        <v>720</v>
      </c>
      <c r="F87" t="s">
        <v>721</v>
      </c>
      <c r="G87" t="s">
        <v>722</v>
      </c>
      <c r="H87" t="s">
        <v>723</v>
      </c>
      <c r="I87" t="s">
        <v>724</v>
      </c>
      <c r="J87" t="s">
        <v>685</v>
      </c>
    </row>
    <row r="88" spans="1:10" ht="15">
      <c r="A88" s="7"/>
      <c r="B88" t="s">
        <v>686</v>
      </c>
      <c r="D88" t="s">
        <v>2743</v>
      </c>
      <c r="E88" t="s">
        <v>2744</v>
      </c>
      <c r="F88" t="s">
        <v>2745</v>
      </c>
      <c r="G88" t="s">
        <v>727</v>
      </c>
      <c r="H88" t="s">
        <v>727</v>
      </c>
      <c r="I88" t="s">
        <v>727</v>
      </c>
      <c r="J88" t="s">
        <v>727</v>
      </c>
    </row>
    <row r="89" spans="1:10" ht="15">
      <c r="A89" s="1">
        <v>45</v>
      </c>
      <c r="B89" t="str">
        <f ca="1">IFERROR(__xludf.DUMMYFUNCTION((TRANSPOSE(ImportHTML("http://spending.data.al/sq/moneypower/view/id/45/year/2013",  "table", 2)))),"*Kategoria*")</f>
        <v>*Kategoria*</v>
      </c>
      <c r="D89" t="s">
        <v>719</v>
      </c>
      <c r="E89" t="s">
        <v>720</v>
      </c>
      <c r="F89" t="s">
        <v>721</v>
      </c>
      <c r="G89" t="s">
        <v>722</v>
      </c>
      <c r="H89" t="s">
        <v>723</v>
      </c>
      <c r="I89" t="s">
        <v>724</v>
      </c>
      <c r="J89" t="s">
        <v>685</v>
      </c>
    </row>
    <row r="90" spans="1:10" ht="15">
      <c r="A90" s="7"/>
      <c r="B90" t="s">
        <v>686</v>
      </c>
      <c r="D90" t="s">
        <v>2746</v>
      </c>
      <c r="E90" t="s">
        <v>2747</v>
      </c>
      <c r="F90" t="s">
        <v>2601</v>
      </c>
      <c r="G90" t="s">
        <v>2601</v>
      </c>
      <c r="H90" t="s">
        <v>2601</v>
      </c>
      <c r="I90" t="s">
        <v>2601</v>
      </c>
      <c r="J90" t="s">
        <v>2748</v>
      </c>
    </row>
    <row r="91" spans="1:10" ht="15">
      <c r="A91" s="1">
        <v>46</v>
      </c>
      <c r="B91" t="str">
        <f ca="1">IFERROR(__xludf.DUMMYFUNCTION((TRANSPOSE(ImportHTML("http://spending.data.al/sq/moneypower/view/id/46/year/2013",  "table", 2)))),"*Kategoria*")</f>
        <v>*Kategoria*</v>
      </c>
      <c r="D91" t="s">
        <v>719</v>
      </c>
      <c r="E91" t="s">
        <v>720</v>
      </c>
      <c r="F91" t="s">
        <v>721</v>
      </c>
      <c r="G91" t="s">
        <v>722</v>
      </c>
      <c r="H91" t="s">
        <v>723</v>
      </c>
      <c r="I91" t="s">
        <v>724</v>
      </c>
      <c r="J91" t="s">
        <v>685</v>
      </c>
    </row>
    <row r="92" spans="1:10" ht="15">
      <c r="A92" s="7"/>
      <c r="B92" t="s">
        <v>686</v>
      </c>
      <c r="D92" t="s">
        <v>2749</v>
      </c>
      <c r="E92" t="s">
        <v>2750</v>
      </c>
      <c r="F92" t="s">
        <v>2751</v>
      </c>
      <c r="G92" t="s">
        <v>727</v>
      </c>
      <c r="H92" t="s">
        <v>727</v>
      </c>
      <c r="I92" t="s">
        <v>727</v>
      </c>
      <c r="J92" t="s">
        <v>727</v>
      </c>
    </row>
    <row r="93" spans="1:10" ht="15">
      <c r="A93" s="1">
        <v>47</v>
      </c>
      <c r="B93" t="str">
        <f ca="1">IFERROR(__xludf.DUMMYFUNCTION((TRANSPOSE(ImportHTML("http://spending.data.al/sq/moneypower/view/id/47/year/2013",  "table", 2)))),"*Kategoria*")</f>
        <v>*Kategoria*</v>
      </c>
      <c r="D93" t="s">
        <v>719</v>
      </c>
      <c r="E93" t="s">
        <v>720</v>
      </c>
      <c r="F93" t="s">
        <v>721</v>
      </c>
      <c r="G93" t="s">
        <v>722</v>
      </c>
      <c r="H93" t="s">
        <v>723</v>
      </c>
      <c r="I93" t="s">
        <v>724</v>
      </c>
      <c r="J93" t="s">
        <v>685</v>
      </c>
    </row>
    <row r="94" spans="1:10" ht="15">
      <c r="A94" s="7"/>
      <c r="B94" t="s">
        <v>686</v>
      </c>
      <c r="D94" t="s">
        <v>2601</v>
      </c>
      <c r="E94" t="s">
        <v>2601</v>
      </c>
      <c r="F94" t="s">
        <v>2752</v>
      </c>
      <c r="G94" t="s">
        <v>2601</v>
      </c>
      <c r="H94" t="s">
        <v>2601</v>
      </c>
      <c r="I94" t="s">
        <v>2601</v>
      </c>
      <c r="J94" t="s">
        <v>2753</v>
      </c>
    </row>
    <row r="95" spans="1:10" ht="15">
      <c r="A95" s="1">
        <v>48</v>
      </c>
      <c r="B95" t="str">
        <f ca="1">IFERROR(__xludf.DUMMYFUNCTION((TRANSPOSE(ImportHTML("http://spending.data.al/sq/moneypower/view/id/48/year/2013",  "table", 2)))),"*Kategoria*")</f>
        <v>*Kategoria*</v>
      </c>
      <c r="D95" t="s">
        <v>719</v>
      </c>
      <c r="E95" t="s">
        <v>720</v>
      </c>
      <c r="F95" t="s">
        <v>721</v>
      </c>
      <c r="G95" t="s">
        <v>722</v>
      </c>
      <c r="H95" t="s">
        <v>723</v>
      </c>
      <c r="I95" t="s">
        <v>724</v>
      </c>
      <c r="J95" t="s">
        <v>685</v>
      </c>
    </row>
    <row r="96" spans="1:10" ht="15">
      <c r="A96" s="7"/>
      <c r="B96" t="s">
        <v>686</v>
      </c>
      <c r="D96" t="s">
        <v>2754</v>
      </c>
      <c r="E96" t="s">
        <v>2755</v>
      </c>
      <c r="F96" t="s">
        <v>2601</v>
      </c>
      <c r="G96" t="s">
        <v>2601</v>
      </c>
      <c r="H96" t="s">
        <v>2601</v>
      </c>
      <c r="I96" t="s">
        <v>2601</v>
      </c>
      <c r="J96" t="s">
        <v>2601</v>
      </c>
    </row>
    <row r="97" spans="1:10" ht="15">
      <c r="A97" s="1">
        <v>49</v>
      </c>
      <c r="B97" t="str">
        <f ca="1">IFERROR(__xludf.DUMMYFUNCTION((TRANSPOSE(ImportHTML("http://spending.data.al/sq/moneypower/view/id/49/year/2013",  "table", 2)))),"*Kategoria*")</f>
        <v>*Kategoria*</v>
      </c>
      <c r="C97" t="s">
        <v>2589</v>
      </c>
    </row>
    <row r="98" spans="1:10" ht="15">
      <c r="A98" s="7"/>
      <c r="B98" t="s">
        <v>686</v>
      </c>
    </row>
    <row r="99" spans="1:10" ht="15">
      <c r="A99" s="1">
        <v>50</v>
      </c>
      <c r="B99" t="str">
        <f ca="1">IFERROR(__xludf.DUMMYFUNCTION((TRANSPOSE(ImportHTML("http://spending.data.al/sq/moneypower/view/id/50/year/2013",  "table", 2)))),"*Kategoria*")</f>
        <v>*Kategoria*</v>
      </c>
      <c r="D99" t="s">
        <v>719</v>
      </c>
      <c r="E99" t="s">
        <v>720</v>
      </c>
      <c r="F99" t="s">
        <v>721</v>
      </c>
      <c r="G99" t="s">
        <v>722</v>
      </c>
      <c r="H99" t="s">
        <v>723</v>
      </c>
      <c r="I99" t="s">
        <v>724</v>
      </c>
      <c r="J99" t="s">
        <v>685</v>
      </c>
    </row>
    <row r="100" spans="1:10" ht="15">
      <c r="A100" s="7"/>
      <c r="B100" t="s">
        <v>686</v>
      </c>
      <c r="D100" t="s">
        <v>2601</v>
      </c>
      <c r="E100" t="s">
        <v>2601</v>
      </c>
      <c r="F100" t="s">
        <v>2756</v>
      </c>
      <c r="G100" t="s">
        <v>2601</v>
      </c>
      <c r="H100" t="s">
        <v>2601</v>
      </c>
      <c r="I100" t="s">
        <v>2601</v>
      </c>
      <c r="J100" t="s">
        <v>2601</v>
      </c>
    </row>
    <row r="101" spans="1:10" ht="15">
      <c r="A101" s="1">
        <v>51</v>
      </c>
      <c r="B101" t="str">
        <f ca="1">IFERROR(__xludf.DUMMYFUNCTION((TRANSPOSE(ImportHTML("http://spending.data.al/sq/moneypower/view/id/51/year/2013",  "table", 2)))),"*Kategoria*")</f>
        <v>*Kategoria*</v>
      </c>
      <c r="D101" t="s">
        <v>719</v>
      </c>
      <c r="E101" t="s">
        <v>720</v>
      </c>
      <c r="F101" t="s">
        <v>721</v>
      </c>
      <c r="G101" t="s">
        <v>722</v>
      </c>
      <c r="H101" t="s">
        <v>723</v>
      </c>
      <c r="I101" t="s">
        <v>724</v>
      </c>
      <c r="J101" t="s">
        <v>685</v>
      </c>
    </row>
    <row r="102" spans="1:10" ht="15">
      <c r="A102" s="7"/>
      <c r="B102" t="s">
        <v>686</v>
      </c>
      <c r="D102" t="s">
        <v>2757</v>
      </c>
      <c r="E102" t="s">
        <v>727</v>
      </c>
      <c r="F102" t="s">
        <v>727</v>
      </c>
      <c r="G102" t="s">
        <v>727</v>
      </c>
      <c r="H102" t="s">
        <v>727</v>
      </c>
      <c r="I102" t="s">
        <v>2758</v>
      </c>
      <c r="J102" t="s">
        <v>727</v>
      </c>
    </row>
    <row r="103" spans="1:10" ht="15">
      <c r="A103" s="1">
        <v>52</v>
      </c>
      <c r="B103" t="str">
        <f ca="1">IFERROR(__xludf.DUMMYFUNCTION((TRANSPOSE(ImportHTML("http://spending.data.al/sq/moneypower/view/id/52/year/2013",  "table", 2)))),"*Kategoria*")</f>
        <v>*Kategoria*</v>
      </c>
      <c r="C103" t="s">
        <v>2589</v>
      </c>
    </row>
    <row r="104" spans="1:10" ht="15">
      <c r="A104" s="7"/>
      <c r="B104" t="s">
        <v>686</v>
      </c>
    </row>
    <row r="105" spans="1:10" ht="15">
      <c r="A105" s="1">
        <v>53</v>
      </c>
      <c r="B105" t="str">
        <f ca="1">IFERROR(__xludf.DUMMYFUNCTION((TRANSPOSE(ImportHTML("http://spending.data.al/sq/moneypower/view/id/53/year/2013",  "table", 2)))),"*Kategoria*")</f>
        <v>*Kategoria*</v>
      </c>
      <c r="D105" t="s">
        <v>719</v>
      </c>
      <c r="E105" t="s">
        <v>720</v>
      </c>
      <c r="F105" t="s">
        <v>721</v>
      </c>
      <c r="G105" t="s">
        <v>722</v>
      </c>
      <c r="H105" t="s">
        <v>723</v>
      </c>
      <c r="I105" t="s">
        <v>724</v>
      </c>
      <c r="J105" t="s">
        <v>685</v>
      </c>
    </row>
    <row r="106" spans="1:10" ht="15">
      <c r="A106" s="7"/>
      <c r="B106" t="s">
        <v>686</v>
      </c>
      <c r="D106" t="s">
        <v>2759</v>
      </c>
      <c r="E106" t="s">
        <v>2760</v>
      </c>
      <c r="F106" t="s">
        <v>2761</v>
      </c>
      <c r="G106" t="s">
        <v>2601</v>
      </c>
      <c r="H106" t="s">
        <v>2601</v>
      </c>
      <c r="I106" t="s">
        <v>2601</v>
      </c>
      <c r="J106" t="s">
        <v>2601</v>
      </c>
    </row>
    <row r="107" spans="1:10" ht="15">
      <c r="A107" s="1">
        <v>54</v>
      </c>
      <c r="B107" t="str">
        <f ca="1">IFERROR(__xludf.DUMMYFUNCTION((TRANSPOSE(ImportHTML("http://spending.data.al/sq/moneypower/view/id/54/year/2013",  "table", 2)))),"*Kategoria*")</f>
        <v>*Kategoria*</v>
      </c>
      <c r="C107" t="s">
        <v>2589</v>
      </c>
    </row>
    <row r="108" spans="1:10" ht="15">
      <c r="A108" s="7"/>
      <c r="B108" t="s">
        <v>686</v>
      </c>
    </row>
    <row r="109" spans="1:10" ht="15">
      <c r="A109" s="1">
        <v>55</v>
      </c>
      <c r="B109" t="str">
        <f ca="1">IFERROR(__xludf.DUMMYFUNCTION((TRANSPOSE(ImportHTML("http://spending.data.al/sq/moneypower/view/id/55/year/2013",  "table", 2)))),"*Kategoria*")</f>
        <v>*Kategoria*</v>
      </c>
      <c r="D109" t="s">
        <v>719</v>
      </c>
      <c r="E109" t="s">
        <v>720</v>
      </c>
      <c r="F109" t="s">
        <v>721</v>
      </c>
      <c r="G109" t="s">
        <v>722</v>
      </c>
      <c r="H109" t="s">
        <v>723</v>
      </c>
      <c r="I109" t="s">
        <v>724</v>
      </c>
      <c r="J109" t="s">
        <v>685</v>
      </c>
    </row>
    <row r="110" spans="1:10" ht="15">
      <c r="A110" s="7"/>
      <c r="B110" t="s">
        <v>686</v>
      </c>
      <c r="D110" t="s">
        <v>2762</v>
      </c>
      <c r="E110" t="s">
        <v>2601</v>
      </c>
      <c r="F110" t="s">
        <v>2763</v>
      </c>
      <c r="G110" t="s">
        <v>2601</v>
      </c>
      <c r="H110" t="s">
        <v>2601</v>
      </c>
      <c r="I110" t="s">
        <v>2601</v>
      </c>
      <c r="J110" t="s">
        <v>2601</v>
      </c>
    </row>
    <row r="111" spans="1:10" ht="15">
      <c r="A111" s="1">
        <v>56</v>
      </c>
      <c r="B111" t="str">
        <f ca="1">IFERROR(__xludf.DUMMYFUNCTION((TRANSPOSE(ImportHTML("http://spending.data.al/sq/moneypower/view/id/56/year/2013",  "table", 2)))),"*Kategoria*")</f>
        <v>*Kategoria*</v>
      </c>
      <c r="D111" t="s">
        <v>719</v>
      </c>
      <c r="E111" t="s">
        <v>720</v>
      </c>
      <c r="F111" t="s">
        <v>721</v>
      </c>
      <c r="G111" t="s">
        <v>722</v>
      </c>
      <c r="H111" t="s">
        <v>723</v>
      </c>
      <c r="I111" t="s">
        <v>724</v>
      </c>
      <c r="J111" t="s">
        <v>685</v>
      </c>
    </row>
    <row r="112" spans="1:10" ht="15">
      <c r="A112" s="7"/>
      <c r="B112" t="s">
        <v>686</v>
      </c>
      <c r="D112" t="s">
        <v>2601</v>
      </c>
      <c r="E112" t="s">
        <v>2764</v>
      </c>
      <c r="F112" t="s">
        <v>2601</v>
      </c>
      <c r="G112" t="s">
        <v>2601</v>
      </c>
      <c r="H112" t="s">
        <v>2601</v>
      </c>
      <c r="I112" t="s">
        <v>2601</v>
      </c>
      <c r="J112" t="s">
        <v>2765</v>
      </c>
    </row>
    <row r="113" spans="1:10" ht="15">
      <c r="A113" s="1">
        <v>57</v>
      </c>
      <c r="B113" t="str">
        <f ca="1">IFERROR(__xludf.DUMMYFUNCTION((TRANSPOSE(ImportHTML("http://spending.data.al/sq/moneypower/view/id/57/year/2013",  "table", 2)))),"*Kategoria*")</f>
        <v>*Kategoria*</v>
      </c>
      <c r="D113" t="s">
        <v>719</v>
      </c>
      <c r="E113" t="s">
        <v>720</v>
      </c>
      <c r="F113" t="s">
        <v>721</v>
      </c>
      <c r="G113" t="s">
        <v>722</v>
      </c>
      <c r="H113" t="s">
        <v>723</v>
      </c>
      <c r="I113" t="s">
        <v>724</v>
      </c>
      <c r="J113" t="s">
        <v>685</v>
      </c>
    </row>
    <row r="114" spans="1:10" ht="15">
      <c r="A114" s="7"/>
      <c r="B114" t="s">
        <v>686</v>
      </c>
      <c r="D114" t="s">
        <v>2766</v>
      </c>
      <c r="E114" t="s">
        <v>2767</v>
      </c>
      <c r="F114" t="s">
        <v>2768</v>
      </c>
      <c r="G114" t="s">
        <v>2769</v>
      </c>
      <c r="H114" t="s">
        <v>2770</v>
      </c>
      <c r="I114" t="s">
        <v>727</v>
      </c>
      <c r="J114" t="s">
        <v>2771</v>
      </c>
    </row>
    <row r="115" spans="1:10" ht="15">
      <c r="A115" s="1">
        <v>58</v>
      </c>
      <c r="B115" t="str">
        <f ca="1">IFERROR(__xludf.DUMMYFUNCTION((TRANSPOSE(ImportHTML("http://spending.data.al/sq/moneypower/view/id/58/year/2013",  "table", 2)))),"*Kategoria*")</f>
        <v>*Kategoria*</v>
      </c>
      <c r="C115" t="s">
        <v>2589</v>
      </c>
    </row>
    <row r="116" spans="1:10" ht="15">
      <c r="A116" s="7"/>
      <c r="B116" t="s">
        <v>686</v>
      </c>
    </row>
    <row r="117" spans="1:10" ht="15">
      <c r="A117" s="1">
        <v>59</v>
      </c>
      <c r="B117" t="str">
        <f ca="1">IFERROR(__xludf.DUMMYFUNCTION((TRANSPOSE(ImportHTML("http://spending.data.al/sq/moneypower/view/id/59/year/2013",  "table", 2)))),"*Kategoria*")</f>
        <v>*Kategoria*</v>
      </c>
      <c r="D117" t="s">
        <v>719</v>
      </c>
      <c r="E117" t="s">
        <v>720</v>
      </c>
      <c r="F117" t="s">
        <v>721</v>
      </c>
      <c r="G117" t="s">
        <v>722</v>
      </c>
      <c r="H117" t="s">
        <v>723</v>
      </c>
      <c r="I117" t="s">
        <v>724</v>
      </c>
      <c r="J117" t="s">
        <v>685</v>
      </c>
    </row>
    <row r="118" spans="1:10" ht="15">
      <c r="A118" s="7"/>
      <c r="B118" t="s">
        <v>686</v>
      </c>
      <c r="D118" t="s">
        <v>2772</v>
      </c>
      <c r="E118" t="s">
        <v>2601</v>
      </c>
      <c r="F118" t="s">
        <v>2773</v>
      </c>
      <c r="G118" t="s">
        <v>2601</v>
      </c>
      <c r="H118" t="s">
        <v>2601</v>
      </c>
      <c r="I118" t="s">
        <v>2601</v>
      </c>
      <c r="J118" t="s">
        <v>2774</v>
      </c>
    </row>
    <row r="119" spans="1:10" ht="15">
      <c r="A119" s="1">
        <v>60</v>
      </c>
      <c r="B119" t="str">
        <f ca="1">IFERROR(__xludf.DUMMYFUNCTION((TRANSPOSE(ImportHTML("http://spending.data.al/sq/moneypower/view/id/60/year/2013",  "table", 2)))),"*Kategoria*")</f>
        <v>*Kategoria*</v>
      </c>
      <c r="D119" t="s">
        <v>719</v>
      </c>
      <c r="E119" t="s">
        <v>720</v>
      </c>
      <c r="F119" t="s">
        <v>721</v>
      </c>
      <c r="G119" t="s">
        <v>722</v>
      </c>
      <c r="H119" t="s">
        <v>723</v>
      </c>
      <c r="I119" t="s">
        <v>724</v>
      </c>
      <c r="J119" t="s">
        <v>685</v>
      </c>
    </row>
    <row r="120" spans="1:10" ht="15">
      <c r="A120" s="7"/>
      <c r="B120" t="s">
        <v>686</v>
      </c>
      <c r="D120" t="s">
        <v>2775</v>
      </c>
      <c r="E120" t="s">
        <v>727</v>
      </c>
      <c r="F120" t="s">
        <v>2776</v>
      </c>
      <c r="G120" t="s">
        <v>727</v>
      </c>
      <c r="H120" t="s">
        <v>727</v>
      </c>
      <c r="I120" t="s">
        <v>727</v>
      </c>
      <c r="J120" t="s">
        <v>2777</v>
      </c>
    </row>
    <row r="121" spans="1:10" ht="15">
      <c r="A121" s="1">
        <v>61</v>
      </c>
      <c r="B121" t="str">
        <f ca="1">IFERROR(__xludf.DUMMYFUNCTION((TRANSPOSE(ImportHTML("http://spending.data.al/sq/moneypower/view/id/61/year/2013",  "table", 2)))),"*Kategoria*")</f>
        <v>*Kategoria*</v>
      </c>
      <c r="D121" t="s">
        <v>719</v>
      </c>
      <c r="E121" t="s">
        <v>720</v>
      </c>
      <c r="F121" t="s">
        <v>721</v>
      </c>
      <c r="G121" t="s">
        <v>722</v>
      </c>
      <c r="H121" t="s">
        <v>723</v>
      </c>
      <c r="I121" t="s">
        <v>724</v>
      </c>
      <c r="J121" t="s">
        <v>685</v>
      </c>
    </row>
    <row r="122" spans="1:10" ht="15">
      <c r="A122" s="7"/>
      <c r="B122" t="s">
        <v>686</v>
      </c>
      <c r="D122" t="s">
        <v>2778</v>
      </c>
      <c r="E122" t="s">
        <v>2779</v>
      </c>
      <c r="F122" t="s">
        <v>2780</v>
      </c>
      <c r="G122" t="s">
        <v>727</v>
      </c>
      <c r="H122" t="s">
        <v>727</v>
      </c>
      <c r="I122" t="s">
        <v>727</v>
      </c>
      <c r="J122" t="s">
        <v>727</v>
      </c>
    </row>
    <row r="123" spans="1:10" ht="15">
      <c r="A123" s="1">
        <v>62</v>
      </c>
      <c r="B123" t="str">
        <f ca="1">IFERROR(__xludf.DUMMYFUNCTION((TRANSPOSE(ImportHTML("http://spending.data.al/sq/moneypower/view/id/62/year/2013",  "table", 2)))),"*Kategoria*")</f>
        <v>*Kategoria*</v>
      </c>
      <c r="D123" t="s">
        <v>719</v>
      </c>
      <c r="E123" t="s">
        <v>720</v>
      </c>
      <c r="F123" t="s">
        <v>721</v>
      </c>
      <c r="G123" t="s">
        <v>722</v>
      </c>
      <c r="H123" t="s">
        <v>723</v>
      </c>
      <c r="I123" t="s">
        <v>724</v>
      </c>
      <c r="J123" t="s">
        <v>685</v>
      </c>
    </row>
    <row r="124" spans="1:10" ht="15">
      <c r="A124" s="7"/>
      <c r="B124" t="s">
        <v>686</v>
      </c>
      <c r="D124" t="s">
        <v>2781</v>
      </c>
      <c r="E124" t="s">
        <v>2782</v>
      </c>
      <c r="F124" t="s">
        <v>707</v>
      </c>
      <c r="I124" t="s">
        <v>707</v>
      </c>
      <c r="J124" t="s">
        <v>707</v>
      </c>
    </row>
    <row r="125" spans="1:10" ht="15">
      <c r="A125" s="1">
        <v>63</v>
      </c>
      <c r="B125" t="str">
        <f ca="1">IFERROR(__xludf.DUMMYFUNCTION((TRANSPOSE(ImportHTML("http://spending.data.al/sq/moneypower/view/id/63/year/2013",  "table", 2)))),"*Kategoria*")</f>
        <v>*Kategoria*</v>
      </c>
      <c r="D125" t="s">
        <v>719</v>
      </c>
      <c r="E125" t="s">
        <v>720</v>
      </c>
      <c r="F125" t="s">
        <v>721</v>
      </c>
      <c r="G125" t="s">
        <v>722</v>
      </c>
      <c r="H125" t="s">
        <v>723</v>
      </c>
      <c r="I125" t="s">
        <v>724</v>
      </c>
      <c r="J125" t="s">
        <v>685</v>
      </c>
    </row>
    <row r="126" spans="1:10" ht="15">
      <c r="A126" s="7"/>
      <c r="B126" t="s">
        <v>686</v>
      </c>
      <c r="D126" t="s">
        <v>2783</v>
      </c>
      <c r="E126" t="s">
        <v>2784</v>
      </c>
      <c r="F126" t="s">
        <v>2785</v>
      </c>
      <c r="G126" t="s">
        <v>2601</v>
      </c>
      <c r="H126" t="s">
        <v>2786</v>
      </c>
      <c r="I126" t="s">
        <v>2601</v>
      </c>
      <c r="J126" t="s">
        <v>2787</v>
      </c>
    </row>
    <row r="127" spans="1:10" ht="15">
      <c r="A127" s="1">
        <v>64</v>
      </c>
      <c r="B127" t="str">
        <f ca="1">IFERROR(__xludf.DUMMYFUNCTION((TRANSPOSE(ImportHTML("http://spending.data.al/sq/moneypower/view/id/64/year/2013",  "table", 2)))),"*Kategoria*")</f>
        <v>*Kategoria*</v>
      </c>
      <c r="D127" t="s">
        <v>719</v>
      </c>
      <c r="E127" t="s">
        <v>720</v>
      </c>
      <c r="F127" t="s">
        <v>721</v>
      </c>
      <c r="G127" t="s">
        <v>722</v>
      </c>
      <c r="H127" t="s">
        <v>723</v>
      </c>
      <c r="I127" t="s">
        <v>724</v>
      </c>
      <c r="J127" t="s">
        <v>685</v>
      </c>
    </row>
    <row r="128" spans="1:10" ht="15">
      <c r="A128" s="7"/>
      <c r="B128" t="s">
        <v>686</v>
      </c>
      <c r="D128" t="s">
        <v>2788</v>
      </c>
      <c r="E128" t="s">
        <v>2601</v>
      </c>
      <c r="F128" t="s">
        <v>2601</v>
      </c>
      <c r="G128" t="s">
        <v>2601</v>
      </c>
      <c r="H128" t="s">
        <v>2601</v>
      </c>
      <c r="I128" t="s">
        <v>2601</v>
      </c>
      <c r="J128" t="s">
        <v>2601</v>
      </c>
    </row>
    <row r="129" spans="1:10" ht="15">
      <c r="A129" s="1">
        <v>65</v>
      </c>
      <c r="B129" t="str">
        <f ca="1">IFERROR(__xludf.DUMMYFUNCTION((TRANSPOSE(ImportHTML("http://spending.data.al/sq/moneypower/view/id/65/year/2013",  "table", 2)))),"*Kategoria*")</f>
        <v>*Kategoria*</v>
      </c>
      <c r="D129" t="s">
        <v>719</v>
      </c>
      <c r="E129" t="s">
        <v>720</v>
      </c>
      <c r="F129" t="s">
        <v>721</v>
      </c>
      <c r="G129" t="s">
        <v>722</v>
      </c>
      <c r="H129" t="s">
        <v>723</v>
      </c>
      <c r="I129" t="s">
        <v>724</v>
      </c>
      <c r="J129" t="s">
        <v>685</v>
      </c>
    </row>
    <row r="130" spans="1:10" ht="15">
      <c r="A130" s="7"/>
      <c r="B130" t="s">
        <v>686</v>
      </c>
      <c r="D130" t="s">
        <v>2789</v>
      </c>
      <c r="E130" t="s">
        <v>707</v>
      </c>
      <c r="F130" t="s">
        <v>2790</v>
      </c>
      <c r="G130" t="s">
        <v>707</v>
      </c>
      <c r="I130" t="s">
        <v>707</v>
      </c>
      <c r="J130" t="s">
        <v>707</v>
      </c>
    </row>
    <row r="131" spans="1:10" ht="15">
      <c r="A131" s="1">
        <v>66</v>
      </c>
      <c r="B131" t="str">
        <f ca="1">IFERROR(__xludf.DUMMYFUNCTION((TRANSPOSE(ImportHTML("http://spending.data.al/sq/moneypower/view/id/66/year/2013",  "table", 2)))),"*Kategoria*")</f>
        <v>*Kategoria*</v>
      </c>
      <c r="D131" t="s">
        <v>719</v>
      </c>
      <c r="E131" t="s">
        <v>720</v>
      </c>
      <c r="F131" t="s">
        <v>721</v>
      </c>
      <c r="G131" t="s">
        <v>722</v>
      </c>
      <c r="H131" t="s">
        <v>723</v>
      </c>
      <c r="I131" t="s">
        <v>724</v>
      </c>
      <c r="J131" t="s">
        <v>685</v>
      </c>
    </row>
    <row r="132" spans="1:10" ht="15">
      <c r="A132" s="7"/>
      <c r="B132" t="s">
        <v>686</v>
      </c>
      <c r="D132" t="s">
        <v>2791</v>
      </c>
      <c r="E132" t="s">
        <v>2601</v>
      </c>
      <c r="F132" t="s">
        <v>2792</v>
      </c>
      <c r="G132" t="s">
        <v>2601</v>
      </c>
      <c r="H132" t="s">
        <v>2601</v>
      </c>
      <c r="I132" t="s">
        <v>2601</v>
      </c>
      <c r="J132" t="s">
        <v>2601</v>
      </c>
    </row>
    <row r="133" spans="1:10" ht="15">
      <c r="A133" s="1">
        <v>67</v>
      </c>
      <c r="B133" t="str">
        <f ca="1">IFERROR(__xludf.DUMMYFUNCTION((TRANSPOSE(ImportHTML("http://spending.data.al/sq/moneypower/view/id/67/year/2013",  "table", 2)))),"*Kategoria*")</f>
        <v>*Kategoria*</v>
      </c>
      <c r="D133" t="s">
        <v>719</v>
      </c>
      <c r="E133" t="s">
        <v>720</v>
      </c>
      <c r="F133" t="s">
        <v>721</v>
      </c>
      <c r="G133" t="s">
        <v>722</v>
      </c>
      <c r="H133" t="s">
        <v>723</v>
      </c>
      <c r="I133" t="s">
        <v>724</v>
      </c>
      <c r="J133" t="s">
        <v>685</v>
      </c>
    </row>
    <row r="134" spans="1:10" ht="15">
      <c r="A134" s="7"/>
      <c r="B134" t="s">
        <v>686</v>
      </c>
      <c r="D134" t="s">
        <v>2793</v>
      </c>
      <c r="E134" t="s">
        <v>2794</v>
      </c>
      <c r="F134" t="s">
        <v>2795</v>
      </c>
      <c r="G134" t="s">
        <v>2601</v>
      </c>
      <c r="H134" t="s">
        <v>2601</v>
      </c>
      <c r="I134" t="s">
        <v>2601</v>
      </c>
      <c r="J134" t="s">
        <v>2601</v>
      </c>
    </row>
    <row r="135" spans="1:10" ht="15">
      <c r="A135" s="1">
        <v>68</v>
      </c>
      <c r="B135" t="str">
        <f ca="1">IFERROR(__xludf.DUMMYFUNCTION((TRANSPOSE(ImportHTML("http://spending.data.al/sq/moneypower/view/id/68/year/2013",  "table", 2)))),"*Kategoria*")</f>
        <v>*Kategoria*</v>
      </c>
      <c r="D135" t="s">
        <v>719</v>
      </c>
      <c r="E135" t="s">
        <v>720</v>
      </c>
      <c r="F135" t="s">
        <v>721</v>
      </c>
      <c r="G135" t="s">
        <v>722</v>
      </c>
      <c r="H135" t="s">
        <v>723</v>
      </c>
      <c r="I135" t="s">
        <v>724</v>
      </c>
      <c r="J135" t="s">
        <v>685</v>
      </c>
    </row>
    <row r="136" spans="1:10" ht="15">
      <c r="A136" s="7"/>
      <c r="B136" t="s">
        <v>686</v>
      </c>
      <c r="D136" t="s">
        <v>2796</v>
      </c>
      <c r="E136" t="s">
        <v>727</v>
      </c>
      <c r="F136" t="s">
        <v>727</v>
      </c>
      <c r="G136" t="s">
        <v>727</v>
      </c>
      <c r="H136" t="s">
        <v>727</v>
      </c>
      <c r="I136" t="s">
        <v>727</v>
      </c>
      <c r="J136" t="s">
        <v>727</v>
      </c>
    </row>
    <row r="137" spans="1:10" ht="15">
      <c r="A137" s="1">
        <v>69</v>
      </c>
      <c r="B137" t="str">
        <f ca="1">IFERROR(__xludf.DUMMYFUNCTION((TRANSPOSE(ImportHTML("http://spending.data.al/sq/moneypower/view/id/69/year/2013",  "table", 2)))),"*Kategoria*")</f>
        <v>*Kategoria*</v>
      </c>
      <c r="D137" t="s">
        <v>719</v>
      </c>
      <c r="E137" t="s">
        <v>720</v>
      </c>
      <c r="F137" t="s">
        <v>721</v>
      </c>
      <c r="G137" t="s">
        <v>722</v>
      </c>
      <c r="H137" t="s">
        <v>723</v>
      </c>
      <c r="I137" t="s">
        <v>724</v>
      </c>
      <c r="J137" t="s">
        <v>685</v>
      </c>
    </row>
    <row r="138" spans="1:10" ht="15">
      <c r="A138" s="7"/>
      <c r="B138" t="s">
        <v>686</v>
      </c>
      <c r="D138" t="s">
        <v>2797</v>
      </c>
      <c r="E138" t="s">
        <v>2798</v>
      </c>
      <c r="F138" t="s">
        <v>2799</v>
      </c>
      <c r="G138" t="s">
        <v>727</v>
      </c>
      <c r="H138" t="s">
        <v>727</v>
      </c>
      <c r="I138" t="s">
        <v>727</v>
      </c>
      <c r="J138" t="s">
        <v>727</v>
      </c>
    </row>
    <row r="139" spans="1:10" ht="15">
      <c r="A139" s="1">
        <v>70</v>
      </c>
      <c r="B139" t="str">
        <f ca="1">IFERROR(__xludf.DUMMYFUNCTION((TRANSPOSE(ImportHTML("http://spending.data.al/sq/moneypower/view/id/70/year/2013",  "table", 2)))),"*Kategoria*")</f>
        <v>*Kategoria*</v>
      </c>
      <c r="D139" t="s">
        <v>719</v>
      </c>
      <c r="E139" t="s">
        <v>720</v>
      </c>
      <c r="F139" t="s">
        <v>721</v>
      </c>
      <c r="G139" t="s">
        <v>722</v>
      </c>
      <c r="H139" t="s">
        <v>723</v>
      </c>
      <c r="I139" t="s">
        <v>724</v>
      </c>
      <c r="J139" t="s">
        <v>685</v>
      </c>
    </row>
    <row r="140" spans="1:10" ht="15">
      <c r="A140" s="7"/>
      <c r="B140" t="s">
        <v>686</v>
      </c>
      <c r="D140" t="s">
        <v>2800</v>
      </c>
      <c r="E140" t="s">
        <v>2801</v>
      </c>
      <c r="F140" t="s">
        <v>727</v>
      </c>
      <c r="G140" t="s">
        <v>727</v>
      </c>
      <c r="H140" t="s">
        <v>727</v>
      </c>
      <c r="I140" t="s">
        <v>727</v>
      </c>
      <c r="J140" t="s">
        <v>2802</v>
      </c>
    </row>
    <row r="141" spans="1:10" ht="15">
      <c r="A141" s="1">
        <v>71</v>
      </c>
      <c r="B141" t="str">
        <f ca="1">IFERROR(__xludf.DUMMYFUNCTION((TRANSPOSE(ImportHTML("http://spending.data.al/sq/moneypower/view/id/71/year/2013",  "table", 2)))),"*Kategoria*")</f>
        <v>*Kategoria*</v>
      </c>
      <c r="C141" t="s">
        <v>2589</v>
      </c>
    </row>
    <row r="142" spans="1:10" ht="15">
      <c r="A142" s="7"/>
      <c r="B142" t="s">
        <v>686</v>
      </c>
    </row>
    <row r="143" spans="1:10" ht="15">
      <c r="A143" s="1">
        <v>72</v>
      </c>
      <c r="B143" t="str">
        <f ca="1">IFERROR(__xludf.DUMMYFUNCTION((TRANSPOSE(ImportHTML("http://spending.data.al/sq/moneypower/view/id/72/year/2013",  "table", 2)))),"*Kategoria*")</f>
        <v>*Kategoria*</v>
      </c>
      <c r="D143" t="s">
        <v>719</v>
      </c>
      <c r="E143" t="s">
        <v>720</v>
      </c>
      <c r="F143" t="s">
        <v>721</v>
      </c>
      <c r="G143" t="s">
        <v>722</v>
      </c>
      <c r="H143" t="s">
        <v>723</v>
      </c>
      <c r="I143" t="s">
        <v>724</v>
      </c>
      <c r="J143" t="s">
        <v>685</v>
      </c>
    </row>
    <row r="144" spans="1:10" ht="15">
      <c r="A144" s="7"/>
      <c r="B144" t="s">
        <v>686</v>
      </c>
      <c r="D144" t="s">
        <v>2803</v>
      </c>
      <c r="E144" t="s">
        <v>727</v>
      </c>
      <c r="F144" t="s">
        <v>2804</v>
      </c>
      <c r="G144" t="s">
        <v>727</v>
      </c>
      <c r="H144" t="s">
        <v>727</v>
      </c>
      <c r="I144" t="s">
        <v>727</v>
      </c>
      <c r="J144" t="s">
        <v>727</v>
      </c>
    </row>
    <row r="145" spans="1:3" ht="15">
      <c r="A145" s="1">
        <v>73</v>
      </c>
      <c r="B145" t="str">
        <f ca="1">IFERROR(__xludf.DUMMYFUNCTION((TRANSPOSE(ImportHTML("http://spending.data.al/sq/moneypower/view/id/73/year/2013",  "table", 2)))),"*Kategoria*")</f>
        <v>*Kategoria*</v>
      </c>
      <c r="C145" t="s">
        <v>2589</v>
      </c>
    </row>
    <row r="146" spans="1:3" ht="15">
      <c r="A146" s="7"/>
      <c r="B146" t="s">
        <v>686</v>
      </c>
    </row>
    <row r="147" spans="1:3" ht="15">
      <c r="A147" s="1">
        <v>74</v>
      </c>
      <c r="B147" t="str">
        <f ca="1">IFERROR(__xludf.DUMMYFUNCTION((TRANSPOSE(ImportHTML("http://spending.data.al/sq/moneypower/view/id/74/year/2013",  "table", 2)))),"*Kategoria*")</f>
        <v>*Kategoria*</v>
      </c>
      <c r="C147" t="s">
        <v>2589</v>
      </c>
    </row>
    <row r="148" spans="1:3" ht="15">
      <c r="A148" s="7"/>
      <c r="B148" t="s">
        <v>686</v>
      </c>
    </row>
    <row r="149" spans="1:3" ht="15">
      <c r="A149" s="1">
        <v>75</v>
      </c>
      <c r="B149" t="str">
        <f ca="1">IFERROR(__xludf.DUMMYFUNCTION((TRANSPOSE(ImportHTML("http://spending.data.al/sq/moneypower/view/id/75/year/2013",  "table", 2)))),"*Kategoria*")</f>
        <v>*Kategoria*</v>
      </c>
      <c r="C149" t="s">
        <v>2589</v>
      </c>
    </row>
    <row r="150" spans="1:3" ht="15">
      <c r="A150" s="7"/>
      <c r="B150" t="s">
        <v>686</v>
      </c>
    </row>
    <row r="151" spans="1:3" ht="15">
      <c r="A151" s="1">
        <v>76</v>
      </c>
      <c r="B151" t="str">
        <f ca="1">IFERROR(__xludf.DUMMYFUNCTION((TRANSPOSE(ImportHTML("http://spending.data.al/sq/moneypower/view/id/76/year/2013",  "table", 2)))),"*Kategoria*")</f>
        <v>*Kategoria*</v>
      </c>
      <c r="C151" t="s">
        <v>2589</v>
      </c>
    </row>
    <row r="152" spans="1:3" ht="15">
      <c r="A152" s="7"/>
      <c r="B152" t="s">
        <v>686</v>
      </c>
    </row>
    <row r="153" spans="1:3" ht="15">
      <c r="A153" s="1">
        <v>77</v>
      </c>
      <c r="B153" t="str">
        <f ca="1">IFERROR(__xludf.DUMMYFUNCTION((TRANSPOSE(ImportHTML("http://spending.data.al/sq/moneypower/view/id/77/year/2013",  "table", 2)))),"*Kategoria*")</f>
        <v>*Kategoria*</v>
      </c>
      <c r="C153" t="s">
        <v>2589</v>
      </c>
    </row>
    <row r="154" spans="1:3" ht="15">
      <c r="A154" s="7"/>
      <c r="B154" t="s">
        <v>686</v>
      </c>
    </row>
    <row r="155" spans="1:3" ht="15">
      <c r="A155" s="1">
        <v>78</v>
      </c>
      <c r="B155" t="str">
        <f ca="1">IFERROR(__xludf.DUMMYFUNCTION((TRANSPOSE(ImportHTML("http://spending.data.al/sq/moneypower/view/id/78/year/2013",  "table", 2)))),"*Kategoria*")</f>
        <v>*Kategoria*</v>
      </c>
      <c r="C155" t="s">
        <v>2589</v>
      </c>
    </row>
    <row r="156" spans="1:3" ht="15">
      <c r="A156" s="7"/>
      <c r="B156" t="s">
        <v>686</v>
      </c>
    </row>
    <row r="157" spans="1:3" ht="15">
      <c r="A157" s="1">
        <v>79</v>
      </c>
      <c r="B157" t="str">
        <f ca="1">IFERROR(__xludf.DUMMYFUNCTION((TRANSPOSE(ImportHTML("http://spending.data.al/sq/moneypower/view/id/79/year/2013",  "table", 2)))),"*Kategoria*")</f>
        <v>*Kategoria*</v>
      </c>
      <c r="C157" t="s">
        <v>2589</v>
      </c>
    </row>
    <row r="158" spans="1:3" ht="15">
      <c r="A158" s="7"/>
      <c r="B158" t="s">
        <v>686</v>
      </c>
    </row>
    <row r="159" spans="1:3" ht="15">
      <c r="A159" s="1">
        <v>80</v>
      </c>
      <c r="B159" t="str">
        <f ca="1">IFERROR(__xludf.DUMMYFUNCTION((TRANSPOSE(ImportHTML("http://spending.data.al/sq/moneypower/view/id/80/year/2013",  "table", 2)))),"*Kategoria*")</f>
        <v>*Kategoria*</v>
      </c>
      <c r="C159" t="s">
        <v>2589</v>
      </c>
    </row>
    <row r="160" spans="1:3" ht="15">
      <c r="A160" s="7"/>
      <c r="B160" t="s">
        <v>686</v>
      </c>
    </row>
    <row r="161" spans="1:3" ht="15">
      <c r="A161" s="1">
        <v>81</v>
      </c>
      <c r="B161" t="str">
        <f ca="1">IFERROR(__xludf.DUMMYFUNCTION((TRANSPOSE(ImportHTML("http://spending.data.al/sq/moneypower/view/id/81/year/2013",  "table", 2)))),"*Kategoria*")</f>
        <v>*Kategoria*</v>
      </c>
      <c r="C161" t="s">
        <v>2589</v>
      </c>
    </row>
    <row r="162" spans="1:3" ht="15">
      <c r="A162" s="7"/>
      <c r="B162" t="s">
        <v>686</v>
      </c>
    </row>
    <row r="163" spans="1:3" ht="15">
      <c r="A163" s="1">
        <v>82</v>
      </c>
      <c r="B163" t="str">
        <f ca="1">IFERROR(__xludf.DUMMYFUNCTION((TRANSPOSE(ImportHTML("http://spending.data.al/sq/moneypower/view/id/82/year/2013",  "table", 2)))),"*Kategoria*")</f>
        <v>*Kategoria*</v>
      </c>
      <c r="C163" t="s">
        <v>2589</v>
      </c>
    </row>
    <row r="164" spans="1:3" ht="15">
      <c r="A164" s="7"/>
      <c r="B164" t="s">
        <v>686</v>
      </c>
    </row>
    <row r="165" spans="1:3" ht="15">
      <c r="A165" s="1">
        <v>83</v>
      </c>
      <c r="B165" t="str">
        <f ca="1">IFERROR(__xludf.DUMMYFUNCTION((TRANSPOSE(ImportHTML("http://spending.data.al/sq/moneypower/view/id/83/year/2013",  "table", 2)))),"*Kategoria*")</f>
        <v>*Kategoria*</v>
      </c>
      <c r="C165" t="s">
        <v>2589</v>
      </c>
    </row>
    <row r="166" spans="1:3" ht="15">
      <c r="A166" s="7"/>
      <c r="B166" t="s">
        <v>686</v>
      </c>
    </row>
    <row r="167" spans="1:3" ht="15">
      <c r="A167" s="1">
        <v>84</v>
      </c>
      <c r="B167" t="str">
        <f ca="1">IFERROR(__xludf.DUMMYFUNCTION((TRANSPOSE(ImportHTML("http://spending.data.al/sq/moneypower/view/id/84/year/2013",  "table", 2)))),"*Kategoria*")</f>
        <v>*Kategoria*</v>
      </c>
      <c r="C167" t="s">
        <v>2589</v>
      </c>
    </row>
    <row r="168" spans="1:3" ht="15">
      <c r="A168" s="7"/>
      <c r="B168" t="s">
        <v>686</v>
      </c>
    </row>
    <row r="169" spans="1:3" ht="15">
      <c r="A169" s="1">
        <v>85</v>
      </c>
      <c r="B169" t="str">
        <f ca="1">IFERROR(__xludf.DUMMYFUNCTION((TRANSPOSE(ImportHTML("http://spending.data.al/sq/moneypower/view/id/85/year/2013",  "table", 2)))),"*Kategoria*")</f>
        <v>*Kategoria*</v>
      </c>
      <c r="C169" t="s">
        <v>2589</v>
      </c>
    </row>
    <row r="170" spans="1:3" ht="15">
      <c r="A170" s="7"/>
      <c r="B170" t="s">
        <v>686</v>
      </c>
    </row>
    <row r="171" spans="1:3" ht="15">
      <c r="A171" s="1">
        <v>86</v>
      </c>
      <c r="B171" t="str">
        <f ca="1">IFERROR(__xludf.DUMMYFUNCTION((TRANSPOSE(ImportHTML("http://spending.data.al/sq/moneypower/view/id/86/year/2013",  "table", 2)))),"*Kategoria*")</f>
        <v>*Kategoria*</v>
      </c>
      <c r="C171" t="s">
        <v>2589</v>
      </c>
    </row>
    <row r="172" spans="1:3" ht="15">
      <c r="A172" s="7"/>
      <c r="B172" t="s">
        <v>686</v>
      </c>
    </row>
    <row r="173" spans="1:3" ht="15">
      <c r="A173" s="1">
        <v>87</v>
      </c>
      <c r="B173" t="str">
        <f ca="1">IFERROR(__xludf.DUMMYFUNCTION((TRANSPOSE(ImportHTML("http://spending.data.al/sq/moneypower/view/id/87/year/2013",  "table", 2)))),"*Kategoria*")</f>
        <v>*Kategoria*</v>
      </c>
      <c r="C173" t="s">
        <v>2589</v>
      </c>
    </row>
    <row r="174" spans="1:3" ht="15">
      <c r="A174" s="7"/>
      <c r="B174" t="s">
        <v>686</v>
      </c>
    </row>
    <row r="175" spans="1:3" ht="15">
      <c r="A175" s="1">
        <v>88</v>
      </c>
      <c r="B175" t="str">
        <f ca="1">IFERROR(__xludf.DUMMYFUNCTION((TRANSPOSE(ImportHTML("http://spending.data.al/sq/moneypower/view/id/88/year/2013",  "table", 2)))),"*Kategoria*")</f>
        <v>*Kategoria*</v>
      </c>
      <c r="C175" t="s">
        <v>2589</v>
      </c>
    </row>
    <row r="176" spans="1:3" ht="15">
      <c r="A176" s="7"/>
      <c r="B176" t="s">
        <v>686</v>
      </c>
    </row>
    <row r="177" spans="1:10" ht="15">
      <c r="A177" s="1">
        <v>89</v>
      </c>
      <c r="B177" t="str">
        <f ca="1">IFERROR(__xludf.DUMMYFUNCTION((TRANSPOSE(ImportHTML("http://spending.data.al/sq/moneypower/view/id/89/year/2013",  "table", 2)))),"*Kategoria*")</f>
        <v>*Kategoria*</v>
      </c>
      <c r="C177" t="s">
        <v>2589</v>
      </c>
    </row>
    <row r="178" spans="1:10" ht="15">
      <c r="A178" s="7"/>
      <c r="B178" t="s">
        <v>686</v>
      </c>
    </row>
    <row r="179" spans="1:10" ht="15">
      <c r="A179" s="1">
        <v>90</v>
      </c>
      <c r="B179" t="str">
        <f ca="1">IFERROR(__xludf.DUMMYFUNCTION((TRANSPOSE(ImportHTML("http://spending.data.al/sq/moneypower/view/id/90/year/2013",  "table", 2)))),"*Kategoria*")</f>
        <v>*Kategoria*</v>
      </c>
      <c r="C179" t="s">
        <v>2589</v>
      </c>
    </row>
    <row r="180" spans="1:10" ht="15">
      <c r="A180" s="7"/>
      <c r="B180" t="s">
        <v>686</v>
      </c>
    </row>
    <row r="181" spans="1:10" ht="15">
      <c r="A181" s="1">
        <v>91</v>
      </c>
      <c r="B181" t="str">
        <f ca="1">IFERROR(__xludf.DUMMYFUNCTION((TRANSPOSE(ImportHTML("http://spending.data.al/sq/moneypower/view/id/91/year/2013",  "table", 2)))),"*Kategoria*")</f>
        <v>*Kategoria*</v>
      </c>
      <c r="D181" t="s">
        <v>719</v>
      </c>
      <c r="E181" t="s">
        <v>720</v>
      </c>
      <c r="F181" t="s">
        <v>721</v>
      </c>
      <c r="G181" t="s">
        <v>722</v>
      </c>
      <c r="H181" t="s">
        <v>723</v>
      </c>
      <c r="I181" t="s">
        <v>724</v>
      </c>
      <c r="J181" t="s">
        <v>685</v>
      </c>
    </row>
    <row r="182" spans="1:10" ht="15">
      <c r="A182" s="7"/>
      <c r="B182" t="s">
        <v>686</v>
      </c>
      <c r="D182" t="s">
        <v>2805</v>
      </c>
      <c r="E182" t="s">
        <v>2806</v>
      </c>
      <c r="F182" t="s">
        <v>2807</v>
      </c>
      <c r="G182" t="s">
        <v>727</v>
      </c>
      <c r="H182" t="s">
        <v>727</v>
      </c>
      <c r="I182" t="s">
        <v>727</v>
      </c>
      <c r="J182" t="s">
        <v>707</v>
      </c>
    </row>
    <row r="183" spans="1:10" ht="15">
      <c r="A183" s="1">
        <v>92</v>
      </c>
      <c r="B183" t="str">
        <f ca="1">IFERROR(__xludf.DUMMYFUNCTION((TRANSPOSE(ImportHTML("http://spending.data.al/sq/moneypower/view/id/92/year/2013",  "table", 2)))),"*Kategoria*")</f>
        <v>*Kategoria*</v>
      </c>
      <c r="D183" t="s">
        <v>719</v>
      </c>
      <c r="E183" t="s">
        <v>720</v>
      </c>
      <c r="F183" t="s">
        <v>721</v>
      </c>
      <c r="G183" t="s">
        <v>722</v>
      </c>
      <c r="H183" t="s">
        <v>723</v>
      </c>
      <c r="I183" t="s">
        <v>724</v>
      </c>
      <c r="J183" t="s">
        <v>685</v>
      </c>
    </row>
    <row r="184" spans="1:10" ht="15">
      <c r="A184" s="7"/>
      <c r="B184" t="s">
        <v>686</v>
      </c>
      <c r="D184" t="s">
        <v>2808</v>
      </c>
      <c r="E184" t="s">
        <v>2809</v>
      </c>
      <c r="F184" t="s">
        <v>2810</v>
      </c>
      <c r="G184" t="s">
        <v>2811</v>
      </c>
      <c r="H184" t="s">
        <v>2601</v>
      </c>
      <c r="I184" t="s">
        <v>2601</v>
      </c>
      <c r="J184" t="s">
        <v>707</v>
      </c>
    </row>
    <row r="185" spans="1:10" ht="15">
      <c r="A185" s="1">
        <v>93</v>
      </c>
      <c r="B185" t="str">
        <f ca="1">IFERROR(__xludf.DUMMYFUNCTION((TRANSPOSE(ImportHTML("http://spending.data.al/sq/moneypower/view/id/93/year/2013",  "table", 2)))),"*Kategoria*")</f>
        <v>*Kategoria*</v>
      </c>
      <c r="D185" t="s">
        <v>719</v>
      </c>
      <c r="E185" t="s">
        <v>720</v>
      </c>
      <c r="F185" t="s">
        <v>721</v>
      </c>
      <c r="G185" t="s">
        <v>722</v>
      </c>
      <c r="H185" t="s">
        <v>723</v>
      </c>
      <c r="I185" t="s">
        <v>724</v>
      </c>
      <c r="J185" t="s">
        <v>685</v>
      </c>
    </row>
    <row r="186" spans="1:10" ht="15">
      <c r="A186" s="7"/>
      <c r="B186" t="s">
        <v>686</v>
      </c>
      <c r="D186" t="s">
        <v>2812</v>
      </c>
      <c r="E186" t="s">
        <v>2813</v>
      </c>
      <c r="F186" t="s">
        <v>727</v>
      </c>
      <c r="G186" t="s">
        <v>727</v>
      </c>
      <c r="H186" t="s">
        <v>727</v>
      </c>
      <c r="I186" t="s">
        <v>727</v>
      </c>
      <c r="J186" t="s">
        <v>707</v>
      </c>
    </row>
    <row r="187" spans="1:10" ht="15">
      <c r="A187" s="1">
        <v>94</v>
      </c>
      <c r="B187" t="str">
        <f ca="1">IFERROR(__xludf.DUMMYFUNCTION((TRANSPOSE(ImportHTML("http://spending.data.al/sq/moneypower/view/id/94/year/2013",  "table", 2)))),"*Kategoria*")</f>
        <v>*Kategoria*</v>
      </c>
      <c r="C187" t="s">
        <v>2589</v>
      </c>
    </row>
    <row r="188" spans="1:10" ht="15">
      <c r="A188" s="7"/>
      <c r="B188" t="s">
        <v>686</v>
      </c>
    </row>
    <row r="189" spans="1:10" ht="15">
      <c r="A189" s="1">
        <v>95</v>
      </c>
      <c r="B189" t="str">
        <f ca="1">IFERROR(__xludf.DUMMYFUNCTION((TRANSPOSE(ImportHTML("http://spending.data.al/sq/moneypower/view/id/95/year/2013",  "table", 2)))),"*Kategoria*")</f>
        <v>*Kategoria*</v>
      </c>
      <c r="C189" t="s">
        <v>2589</v>
      </c>
    </row>
    <row r="190" spans="1:10" ht="15">
      <c r="A190" s="7"/>
      <c r="B190" t="s">
        <v>686</v>
      </c>
    </row>
    <row r="191" spans="1:10" ht="15">
      <c r="A191" s="1">
        <v>96</v>
      </c>
      <c r="B191" t="str">
        <f ca="1">IFERROR(__xludf.DUMMYFUNCTION((TRANSPOSE(ImportHTML("http://spending.data.al/sq/moneypower/view/id/96/year/2013",  "table", 2)))),"*Kategoria*")</f>
        <v>*Kategoria*</v>
      </c>
      <c r="D191" t="s">
        <v>719</v>
      </c>
      <c r="E191" t="s">
        <v>720</v>
      </c>
      <c r="F191" t="s">
        <v>721</v>
      </c>
      <c r="G191" t="s">
        <v>722</v>
      </c>
      <c r="H191" t="s">
        <v>723</v>
      </c>
      <c r="I191" t="s">
        <v>724</v>
      </c>
      <c r="J191" t="s">
        <v>685</v>
      </c>
    </row>
    <row r="192" spans="1:10" ht="15">
      <c r="A192" s="7"/>
      <c r="B192" t="s">
        <v>686</v>
      </c>
      <c r="D192" t="s">
        <v>2601</v>
      </c>
      <c r="E192" t="s">
        <v>2814</v>
      </c>
      <c r="F192" t="s">
        <v>2815</v>
      </c>
      <c r="G192" t="s">
        <v>2601</v>
      </c>
      <c r="H192" t="s">
        <v>2601</v>
      </c>
      <c r="I192" t="s">
        <v>2601</v>
      </c>
      <c r="J192" t="s">
        <v>707</v>
      </c>
    </row>
    <row r="193" spans="1:9" ht="15">
      <c r="A193" s="1">
        <v>97</v>
      </c>
      <c r="B193" t="str">
        <f ca="1">IFERROR(__xludf.DUMMYFUNCTION((TRANSPOSE(ImportHTML("http://spending.data.al/sq/moneypower/view/id/97/year/2013",  "table", 2)))),"*Kategoria*")</f>
        <v>*Kategoria*</v>
      </c>
      <c r="C193" t="s">
        <v>2589</v>
      </c>
    </row>
    <row r="194" spans="1:9" ht="15">
      <c r="A194" s="7"/>
      <c r="B194" t="s">
        <v>686</v>
      </c>
    </row>
    <row r="195" spans="1:9" ht="15">
      <c r="A195" s="1">
        <v>98</v>
      </c>
      <c r="B195" t="str">
        <f ca="1">IFERROR(__xludf.DUMMYFUNCTION((TRANSPOSE(ImportHTML("http://spending.data.al/sq/moneypower/view/id/98/year/2013",  "table", 2)))),"*Kategoria*")</f>
        <v>*Kategoria*</v>
      </c>
      <c r="C195" t="s">
        <v>2589</v>
      </c>
    </row>
    <row r="196" spans="1:9" ht="15">
      <c r="A196" s="7"/>
      <c r="B196" t="s">
        <v>686</v>
      </c>
    </row>
    <row r="197" spans="1:9" ht="15">
      <c r="A197" s="1">
        <v>99</v>
      </c>
      <c r="B197" t="str">
        <f ca="1">IFERROR(__xludf.DUMMYFUNCTION((TRANSPOSE(ImportHTML("http://spending.data.al/sq/moneypower/view/id/99/year/2013",  "table", 2)))),"*Kategoria*")</f>
        <v>*Kategoria*</v>
      </c>
      <c r="C197" t="s">
        <v>2589</v>
      </c>
    </row>
    <row r="198" spans="1:9" ht="15">
      <c r="A198" s="7"/>
      <c r="B198" t="s">
        <v>686</v>
      </c>
    </row>
    <row r="199" spans="1:9" ht="15">
      <c r="A199" s="1">
        <v>100</v>
      </c>
      <c r="B199" t="str">
        <f ca="1">IFERROR(__xludf.DUMMYFUNCTION((TRANSPOSE(ImportHTML("http://spending.data.al/sq/moneypower/view/id/100/year/2013",  "table", 2)))),"*Kategoria*")</f>
        <v>*Kategoria*</v>
      </c>
      <c r="D199" t="s">
        <v>719</v>
      </c>
      <c r="E199" t="s">
        <v>720</v>
      </c>
      <c r="F199" t="s">
        <v>721</v>
      </c>
      <c r="G199" t="s">
        <v>722</v>
      </c>
      <c r="H199" t="s">
        <v>723</v>
      </c>
      <c r="I199" t="s">
        <v>724</v>
      </c>
    </row>
    <row r="200" spans="1:9" ht="15">
      <c r="A200" s="7"/>
      <c r="B200" t="s">
        <v>686</v>
      </c>
      <c r="D200" t="s">
        <v>2816</v>
      </c>
      <c r="E200" t="s">
        <v>2817</v>
      </c>
      <c r="F200" t="s">
        <v>727</v>
      </c>
      <c r="G200" t="s">
        <v>727</v>
      </c>
      <c r="H200" t="s">
        <v>727</v>
      </c>
      <c r="I200" t="s">
        <v>727</v>
      </c>
    </row>
    <row r="201" spans="1:9" ht="15">
      <c r="A201" s="1">
        <v>101</v>
      </c>
      <c r="B201" t="str">
        <f ca="1">IFERROR(__xludf.DUMMYFUNCTION((TRANSPOSE(ImportHTML("http://spending.data.al/sq/moneypower/view/id/101/year/2013",  "table", 2)))),"*Kategoria*")</f>
        <v>*Kategoria*</v>
      </c>
      <c r="C201" t="s">
        <v>2589</v>
      </c>
    </row>
    <row r="202" spans="1:9" ht="15">
      <c r="A202" s="7"/>
      <c r="B202" t="s">
        <v>686</v>
      </c>
    </row>
    <row r="203" spans="1:9" ht="15">
      <c r="A203" s="1">
        <v>102</v>
      </c>
      <c r="B203" t="str">
        <f ca="1">IFERROR(__xludf.DUMMYFUNCTION((TRANSPOSE(ImportHTML("http://spending.data.al/sq/moneypower/view/id/102/year/2013",  "table", 2)))),"*Kategoria*")</f>
        <v>*Kategoria*</v>
      </c>
      <c r="C203" t="s">
        <v>2589</v>
      </c>
    </row>
    <row r="204" spans="1:9" ht="15">
      <c r="A204" s="7"/>
      <c r="B204" t="s">
        <v>686</v>
      </c>
    </row>
    <row r="205" spans="1:9" ht="15">
      <c r="A205" s="1">
        <v>103</v>
      </c>
      <c r="B205" t="str">
        <f ca="1">IFERROR(__xludf.DUMMYFUNCTION((TRANSPOSE(ImportHTML("http://spending.data.al/sq/moneypower/view/id/103/year/2013",  "table", 2)))),"*Kategoria*")</f>
        <v>*Kategoria*</v>
      </c>
      <c r="C205" t="s">
        <v>2589</v>
      </c>
    </row>
    <row r="206" spans="1:9" ht="15">
      <c r="A206" s="7"/>
      <c r="B206" t="s">
        <v>686</v>
      </c>
    </row>
    <row r="207" spans="1:9" ht="15">
      <c r="A207" s="1">
        <v>104</v>
      </c>
      <c r="B207" t="str">
        <f ca="1">IFERROR(__xludf.DUMMYFUNCTION((TRANSPOSE(ImportHTML("http://spending.data.al/sq/moneypower/view/id/104/year/2013",  "table", 2)))),"*Kategoria*")</f>
        <v>*Kategoria*</v>
      </c>
      <c r="C207" t="s">
        <v>2589</v>
      </c>
    </row>
    <row r="208" spans="1:9" ht="15">
      <c r="A208" s="7"/>
      <c r="B208" t="s">
        <v>686</v>
      </c>
    </row>
    <row r="209" spans="1:10" ht="15">
      <c r="A209" s="1">
        <v>105</v>
      </c>
      <c r="B209" t="str">
        <f ca="1">IFERROR(__xludf.DUMMYFUNCTION((TRANSPOSE(ImportHTML("http://spending.data.al/sq/moneypower/view/id/105/year/2013",  "table", 2)))),"*Kategoria*")</f>
        <v>*Kategoria*</v>
      </c>
      <c r="C209" t="s">
        <v>2589</v>
      </c>
    </row>
    <row r="210" spans="1:10" ht="15">
      <c r="A210" s="7"/>
      <c r="B210" t="s">
        <v>686</v>
      </c>
    </row>
    <row r="211" spans="1:10" ht="15">
      <c r="A211" s="1">
        <v>106</v>
      </c>
      <c r="B211" t="str">
        <f ca="1">IFERROR(__xludf.DUMMYFUNCTION((TRANSPOSE(ImportHTML("http://spending.data.al/sq/moneypower/view/id/106/year/2013",  "table", 2)))),"*Kategoria*")</f>
        <v>*Kategoria*</v>
      </c>
      <c r="C211" t="s">
        <v>2589</v>
      </c>
    </row>
    <row r="212" spans="1:10" ht="15">
      <c r="A212" s="7"/>
      <c r="B212" t="s">
        <v>686</v>
      </c>
    </row>
    <row r="213" spans="1:10" ht="15">
      <c r="A213" s="1">
        <v>107</v>
      </c>
      <c r="B213" t="str">
        <f ca="1">IFERROR(__xludf.DUMMYFUNCTION((TRANSPOSE(ImportHTML("http://spending.data.al/sq/moneypower/view/id/107/year/2013",  "table", 2)))),"*Kategoria*")</f>
        <v>*Kategoria*</v>
      </c>
      <c r="C213" t="s">
        <v>2589</v>
      </c>
    </row>
    <row r="214" spans="1:10" ht="15">
      <c r="A214" s="7"/>
      <c r="B214" t="s">
        <v>686</v>
      </c>
    </row>
    <row r="215" spans="1:10" ht="15">
      <c r="A215" s="1">
        <v>108</v>
      </c>
      <c r="B215" t="str">
        <f ca="1">IFERROR(__xludf.DUMMYFUNCTION((TRANSPOSE(ImportHTML("http://spending.data.al/sq/moneypower/view/id/108/year/2013",  "table", 2)))),"*Kategoria*")</f>
        <v>*Kategoria*</v>
      </c>
      <c r="C215" t="s">
        <v>2589</v>
      </c>
    </row>
    <row r="216" spans="1:10" ht="15">
      <c r="A216" s="7"/>
      <c r="B216" t="s">
        <v>686</v>
      </c>
    </row>
    <row r="217" spans="1:10" ht="15">
      <c r="A217" s="1">
        <v>109</v>
      </c>
      <c r="B217" t="str">
        <f ca="1">IFERROR(__xludf.DUMMYFUNCTION((TRANSPOSE(ImportHTML("http://spending.data.al/sq/moneypower/view/id/109/year/2013",  "table", 2)))),"*Kategoria*")</f>
        <v>*Kategoria*</v>
      </c>
      <c r="C217" t="s">
        <v>2589</v>
      </c>
    </row>
    <row r="218" spans="1:10" ht="15">
      <c r="A218" s="7"/>
      <c r="B218" t="s">
        <v>686</v>
      </c>
    </row>
    <row r="219" spans="1:10" ht="15">
      <c r="A219" s="1">
        <v>110</v>
      </c>
      <c r="B219" t="str">
        <f ca="1">IFERROR(__xludf.DUMMYFUNCTION((TRANSPOSE(ImportHTML("http://spending.data.al/sq/moneypower/view/id/110/year/2013",  "table", 2)))),"*Kategoria*")</f>
        <v>*Kategoria*</v>
      </c>
      <c r="D219" t="s">
        <v>719</v>
      </c>
      <c r="E219" t="s">
        <v>720</v>
      </c>
      <c r="F219" t="s">
        <v>721</v>
      </c>
      <c r="G219" t="s">
        <v>722</v>
      </c>
      <c r="H219" t="s">
        <v>723</v>
      </c>
      <c r="I219" t="s">
        <v>724</v>
      </c>
      <c r="J219" t="s">
        <v>685</v>
      </c>
    </row>
    <row r="220" spans="1:10" ht="15">
      <c r="A220" s="7"/>
      <c r="B220" t="s">
        <v>686</v>
      </c>
      <c r="D220" t="s">
        <v>2818</v>
      </c>
      <c r="E220" t="s">
        <v>2819</v>
      </c>
      <c r="F220" t="s">
        <v>2820</v>
      </c>
      <c r="G220" t="s">
        <v>688</v>
      </c>
      <c r="H220" t="s">
        <v>688</v>
      </c>
      <c r="I220" t="s">
        <v>688</v>
      </c>
      <c r="J220" t="s">
        <v>688</v>
      </c>
    </row>
    <row r="221" spans="1:10" ht="15">
      <c r="A221" s="1">
        <v>111</v>
      </c>
      <c r="B221" t="str">
        <f ca="1">IFERROR(__xludf.DUMMYFUNCTION((TRANSPOSE(ImportHTML("http://spending.data.al/sq/moneypower/view/id/111/year/2013",  "table", 2)))),"*Kategoria*")</f>
        <v>*Kategoria*</v>
      </c>
      <c r="D221" t="s">
        <v>719</v>
      </c>
      <c r="E221" t="s">
        <v>720</v>
      </c>
      <c r="F221" t="s">
        <v>721</v>
      </c>
      <c r="G221" t="s">
        <v>722</v>
      </c>
      <c r="H221" t="s">
        <v>723</v>
      </c>
      <c r="I221" t="s">
        <v>724</v>
      </c>
      <c r="J221" t="s">
        <v>685</v>
      </c>
    </row>
    <row r="222" spans="1:10" ht="15">
      <c r="A222" s="7"/>
      <c r="B222" t="s">
        <v>686</v>
      </c>
      <c r="D222" t="s">
        <v>2821</v>
      </c>
      <c r="E222" t="s">
        <v>2822</v>
      </c>
      <c r="F222" t="s">
        <v>2823</v>
      </c>
      <c r="G222" t="s">
        <v>688</v>
      </c>
      <c r="H222" t="s">
        <v>688</v>
      </c>
      <c r="I222" t="s">
        <v>688</v>
      </c>
      <c r="J222" t="s">
        <v>2824</v>
      </c>
    </row>
    <row r="223" spans="1:10" ht="15">
      <c r="A223" s="1">
        <v>112</v>
      </c>
      <c r="B223" t="str">
        <f ca="1">IFERROR(__xludf.DUMMYFUNCTION((TRANSPOSE(ImportHTML("http://spending.data.al/sq/moneypower/view/id/112/year/2013",  "table", 2)))),"*Kategoria*")</f>
        <v>*Kategoria*</v>
      </c>
      <c r="D223" t="s">
        <v>719</v>
      </c>
      <c r="E223" t="s">
        <v>720</v>
      </c>
      <c r="F223" t="s">
        <v>721</v>
      </c>
      <c r="G223" t="s">
        <v>722</v>
      </c>
      <c r="H223" t="s">
        <v>723</v>
      </c>
      <c r="I223" t="s">
        <v>724</v>
      </c>
      <c r="J223" t="s">
        <v>685</v>
      </c>
    </row>
    <row r="224" spans="1:10" ht="15">
      <c r="A224" s="7"/>
      <c r="B224" t="s">
        <v>686</v>
      </c>
      <c r="D224" t="s">
        <v>2825</v>
      </c>
      <c r="E224" t="s">
        <v>688</v>
      </c>
      <c r="F224" t="s">
        <v>2826</v>
      </c>
      <c r="G224" t="s">
        <v>688</v>
      </c>
      <c r="H224" t="s">
        <v>688</v>
      </c>
      <c r="I224" t="s">
        <v>2827</v>
      </c>
      <c r="J224" t="s">
        <v>2828</v>
      </c>
    </row>
    <row r="225" spans="1:3" ht="15">
      <c r="A225" s="1">
        <v>113</v>
      </c>
      <c r="B225" t="str">
        <f ca="1">IFERROR(__xludf.DUMMYFUNCTION((TRANSPOSE(ImportHTML("http://spending.data.al/sq/moneypower/view/id/113/year/2013",  "table", 2)))),"*Kategoria*")</f>
        <v>*Kategoria*</v>
      </c>
      <c r="C225" t="s">
        <v>2589</v>
      </c>
    </row>
    <row r="226" spans="1:3" ht="15">
      <c r="A226" s="7"/>
      <c r="B226" t="s">
        <v>686</v>
      </c>
    </row>
    <row r="227" spans="1:3" ht="15">
      <c r="A227" s="1">
        <v>114</v>
      </c>
      <c r="B227" t="str">
        <f ca="1">IFERROR(__xludf.DUMMYFUNCTION((TRANSPOSE(ImportHTML("http://spending.data.al/sq/moneypower/view/id/114/year/2013",  "table", 2)))),"*Kategoria*")</f>
        <v>*Kategoria*</v>
      </c>
      <c r="C227" t="s">
        <v>2589</v>
      </c>
    </row>
    <row r="228" spans="1:3" ht="15">
      <c r="A228" s="7"/>
      <c r="B228" t="s">
        <v>686</v>
      </c>
    </row>
    <row r="229" spans="1:3" ht="15">
      <c r="A229" s="1">
        <v>115</v>
      </c>
      <c r="B229" t="str">
        <f ca="1">IFERROR(__xludf.DUMMYFUNCTION((TRANSPOSE(ImportHTML("http://spending.data.al/sq/moneypower/view/id/115/year/2013",  "table", 2)))),"*Kategoria*")</f>
        <v>*Kategoria*</v>
      </c>
      <c r="C229" t="s">
        <v>2589</v>
      </c>
    </row>
    <row r="230" spans="1:3" ht="15">
      <c r="A230" s="7"/>
      <c r="B230" t="s">
        <v>686</v>
      </c>
    </row>
    <row r="231" spans="1:3" ht="15">
      <c r="A231" s="1">
        <v>116</v>
      </c>
      <c r="B231" t="str">
        <f ca="1">IFERROR(__xludf.DUMMYFUNCTION((TRANSPOSE(ImportHTML("http://spending.data.al/sq/moneypower/view/id/116/year/2013",  "table", 2)))),"*Kategoria*")</f>
        <v>*Kategoria*</v>
      </c>
      <c r="C231" t="s">
        <v>2589</v>
      </c>
    </row>
    <row r="232" spans="1:3" ht="15">
      <c r="A232" s="7"/>
      <c r="B232" t="s">
        <v>686</v>
      </c>
    </row>
    <row r="233" spans="1:3" ht="15">
      <c r="A233" s="1">
        <v>117</v>
      </c>
      <c r="B233" t="str">
        <f ca="1">IFERROR(__xludf.DUMMYFUNCTION((TRANSPOSE(ImportHTML("http://spending.data.al/sq/moneypower/view/id/117/year/2013",  "table", 2)))),"*Kategoria*")</f>
        <v>*Kategoria*</v>
      </c>
      <c r="C233" t="s">
        <v>2589</v>
      </c>
    </row>
    <row r="234" spans="1:3" ht="15">
      <c r="A234" s="7"/>
      <c r="B234" t="s">
        <v>686</v>
      </c>
    </row>
    <row r="235" spans="1:3" ht="15">
      <c r="A235" s="1">
        <v>118</v>
      </c>
      <c r="B235" t="str">
        <f ca="1">IFERROR(__xludf.DUMMYFUNCTION((TRANSPOSE(ImportHTML("http://spending.data.al/sq/moneypower/view/id/118/year/2013",  "table", 2)))),"*Kategoria*")</f>
        <v>*Kategoria*</v>
      </c>
      <c r="C235" t="s">
        <v>2589</v>
      </c>
    </row>
    <row r="236" spans="1:3" ht="15">
      <c r="A236" s="7"/>
      <c r="B236" t="s">
        <v>686</v>
      </c>
    </row>
    <row r="237" spans="1:3" ht="15">
      <c r="A237" s="1">
        <v>119</v>
      </c>
      <c r="B237" t="str">
        <f ca="1">IFERROR(__xludf.DUMMYFUNCTION((TRANSPOSE(ImportHTML("http://spending.data.al/sq/moneypower/view/id/119/year/2013",  "table", 2)))),"*Kategoria*")</f>
        <v>*Kategoria*</v>
      </c>
      <c r="C237" t="s">
        <v>2589</v>
      </c>
    </row>
    <row r="238" spans="1:3" ht="15">
      <c r="A238" s="7"/>
      <c r="B238" t="s">
        <v>686</v>
      </c>
    </row>
    <row r="239" spans="1:3" ht="15">
      <c r="A239" s="1">
        <v>120</v>
      </c>
      <c r="B239" t="str">
        <f ca="1">IFERROR(__xludf.DUMMYFUNCTION((TRANSPOSE(ImportHTML("http://spending.data.al/sq/moneypower/view/id/120/year/2013",  "table", 2)))),"*Kategoria*")</f>
        <v>*Kategoria*</v>
      </c>
      <c r="C239" t="s">
        <v>2589</v>
      </c>
    </row>
    <row r="240" spans="1:3" ht="15">
      <c r="A240" s="7"/>
      <c r="B240" t="s">
        <v>686</v>
      </c>
    </row>
    <row r="241" spans="1:10" ht="15">
      <c r="A241" s="1">
        <v>121</v>
      </c>
      <c r="B241" t="str">
        <f ca="1">IFERROR(__xludf.DUMMYFUNCTION((TRANSPOSE(ImportHTML("http://spending.data.al/sq/moneypower/view/id/121/year/2013",  "table", 2)))),"*Kategoria*")</f>
        <v>*Kategoria*</v>
      </c>
      <c r="C241" t="s">
        <v>2589</v>
      </c>
    </row>
    <row r="242" spans="1:10" ht="15">
      <c r="A242" s="7"/>
      <c r="B242" t="s">
        <v>686</v>
      </c>
    </row>
    <row r="243" spans="1:10" ht="15">
      <c r="A243" s="1">
        <v>122</v>
      </c>
      <c r="B243" t="str">
        <f ca="1">IFERROR(__xludf.DUMMYFUNCTION((TRANSPOSE(ImportHTML("http://spending.data.al/sq/moneypower/view/id/122/year/2013",  "table", 2)))),"*Kategoria*")</f>
        <v>*Kategoria*</v>
      </c>
      <c r="C243" t="s">
        <v>2589</v>
      </c>
    </row>
    <row r="244" spans="1:10" ht="15">
      <c r="A244" s="7"/>
      <c r="B244" t="s">
        <v>686</v>
      </c>
    </row>
    <row r="245" spans="1:10" ht="15">
      <c r="A245" s="1">
        <v>123</v>
      </c>
      <c r="B245" t="str">
        <f ca="1">IFERROR(__xludf.DUMMYFUNCTION((TRANSPOSE(ImportHTML("http://spending.data.al/sq/moneypower/view/id/123/year/2013",  "table", 2)))),"*Kategoria*")</f>
        <v>*Kategoria*</v>
      </c>
      <c r="C245" t="s">
        <v>2589</v>
      </c>
    </row>
    <row r="246" spans="1:10" ht="15">
      <c r="A246" s="7"/>
      <c r="B246" t="s">
        <v>686</v>
      </c>
    </row>
    <row r="247" spans="1:10" ht="15">
      <c r="A247" s="1">
        <v>124</v>
      </c>
      <c r="B247" t="str">
        <f ca="1">IFERROR(__xludf.DUMMYFUNCTION((TRANSPOSE(ImportHTML("http://spending.data.al/sq/moneypower/view/id/124/year/2013",  "table", 2)))),"*Kategoria*")</f>
        <v>*Kategoria*</v>
      </c>
      <c r="D247" t="s">
        <v>719</v>
      </c>
      <c r="E247" t="s">
        <v>720</v>
      </c>
      <c r="F247" t="s">
        <v>721</v>
      </c>
      <c r="G247" t="s">
        <v>722</v>
      </c>
      <c r="H247" t="s">
        <v>723</v>
      </c>
      <c r="I247" t="s">
        <v>724</v>
      </c>
      <c r="J247" t="s">
        <v>685</v>
      </c>
    </row>
    <row r="248" spans="1:10" ht="15">
      <c r="A248" s="7"/>
      <c r="B248" t="s">
        <v>686</v>
      </c>
      <c r="D248" t="s">
        <v>2829</v>
      </c>
      <c r="E248" t="s">
        <v>2830</v>
      </c>
      <c r="F248" t="s">
        <v>2831</v>
      </c>
      <c r="G248" t="s">
        <v>688</v>
      </c>
      <c r="H248" t="s">
        <v>2832</v>
      </c>
      <c r="I248" t="s">
        <v>688</v>
      </c>
      <c r="J248" t="s">
        <v>2833</v>
      </c>
    </row>
    <row r="249" spans="1:10" ht="15">
      <c r="A249" s="1">
        <v>125</v>
      </c>
      <c r="B249" t="str">
        <f ca="1">IFERROR(__xludf.DUMMYFUNCTION((TRANSPOSE(ImportHTML("http://spending.data.al/sq/moneypower/view/id/125/year/2013",  "table", 2)))),"*Kategoria*")</f>
        <v>*Kategoria*</v>
      </c>
      <c r="C249" t="s">
        <v>2589</v>
      </c>
    </row>
    <row r="250" spans="1:10" ht="15">
      <c r="A250" s="7"/>
      <c r="B250" t="s">
        <v>686</v>
      </c>
    </row>
    <row r="251" spans="1:10" ht="15">
      <c r="A251" s="1">
        <v>126</v>
      </c>
      <c r="B251" t="str">
        <f ca="1">IFERROR(__xludf.DUMMYFUNCTION((TRANSPOSE(ImportHTML("http://spending.data.al/sq/moneypower/view/id/126/year/2013",  "table", 2)))),"*Kategoria*")</f>
        <v>*Kategoria*</v>
      </c>
      <c r="D251" t="s">
        <v>719</v>
      </c>
      <c r="E251" t="s">
        <v>720</v>
      </c>
      <c r="F251" t="s">
        <v>721</v>
      </c>
      <c r="G251" t="s">
        <v>722</v>
      </c>
      <c r="H251" t="s">
        <v>723</v>
      </c>
      <c r="I251" t="s">
        <v>724</v>
      </c>
      <c r="J251" t="s">
        <v>685</v>
      </c>
    </row>
    <row r="252" spans="1:10" ht="15">
      <c r="A252" s="7"/>
      <c r="B252" t="s">
        <v>686</v>
      </c>
      <c r="D252" t="s">
        <v>2834</v>
      </c>
      <c r="E252" t="s">
        <v>2835</v>
      </c>
      <c r="F252" t="s">
        <v>2836</v>
      </c>
      <c r="G252" t="s">
        <v>688</v>
      </c>
      <c r="H252" t="s">
        <v>688</v>
      </c>
      <c r="I252" t="s">
        <v>688</v>
      </c>
      <c r="J252" t="s">
        <v>688</v>
      </c>
    </row>
    <row r="253" spans="1:10" ht="15">
      <c r="A253" s="1">
        <v>127</v>
      </c>
      <c r="B253" t="str">
        <f ca="1">IFERROR(__xludf.DUMMYFUNCTION((TRANSPOSE(ImportHTML("http://spending.data.al/sq/moneypower/view/id/127/year/2013",  "table", 2)))),"*Kategoria*")</f>
        <v>*Kategoria*</v>
      </c>
      <c r="D253" t="s">
        <v>719</v>
      </c>
      <c r="E253" t="s">
        <v>720</v>
      </c>
      <c r="F253" t="s">
        <v>721</v>
      </c>
      <c r="G253" t="s">
        <v>722</v>
      </c>
      <c r="H253" t="s">
        <v>723</v>
      </c>
      <c r="I253" t="s">
        <v>724</v>
      </c>
      <c r="J253" t="s">
        <v>685</v>
      </c>
    </row>
    <row r="254" spans="1:10" ht="15">
      <c r="A254" s="7"/>
      <c r="B254" t="s">
        <v>686</v>
      </c>
      <c r="D254" t="s">
        <v>2837</v>
      </c>
      <c r="E254" t="s">
        <v>2838</v>
      </c>
      <c r="F254" t="s">
        <v>688</v>
      </c>
      <c r="G254" t="s">
        <v>688</v>
      </c>
      <c r="H254" t="s">
        <v>688</v>
      </c>
      <c r="I254" t="s">
        <v>688</v>
      </c>
      <c r="J254" t="s">
        <v>688</v>
      </c>
    </row>
    <row r="255" spans="1:10" ht="15">
      <c r="A255" s="1">
        <v>128</v>
      </c>
      <c r="B255" t="str">
        <f ca="1">IFERROR(__xludf.DUMMYFUNCTION((TRANSPOSE(ImportHTML("http://spending.data.al/sq/moneypower/view/id/128/year/2013",  "table", 2)))),"*Kategoria*")</f>
        <v>*Kategoria*</v>
      </c>
      <c r="D255" t="s">
        <v>719</v>
      </c>
      <c r="E255" t="s">
        <v>720</v>
      </c>
      <c r="F255" t="s">
        <v>721</v>
      </c>
      <c r="G255" t="s">
        <v>722</v>
      </c>
      <c r="H255" t="s">
        <v>723</v>
      </c>
      <c r="I255" t="s">
        <v>724</v>
      </c>
      <c r="J255" t="s">
        <v>685</v>
      </c>
    </row>
    <row r="256" spans="1:10" ht="15">
      <c r="A256" s="7"/>
      <c r="B256" t="s">
        <v>686</v>
      </c>
      <c r="D256" t="s">
        <v>2839</v>
      </c>
      <c r="E256" t="s">
        <v>2840</v>
      </c>
      <c r="F256" t="s">
        <v>2841</v>
      </c>
      <c r="G256" t="s">
        <v>688</v>
      </c>
      <c r="H256" t="s">
        <v>2842</v>
      </c>
      <c r="I256" t="s">
        <v>688</v>
      </c>
      <c r="J256" t="s">
        <v>688</v>
      </c>
    </row>
    <row r="257" spans="1:10" ht="15">
      <c r="A257" s="1">
        <v>129</v>
      </c>
      <c r="B257" t="str">
        <f ca="1">IFERROR(__xludf.DUMMYFUNCTION((TRANSPOSE(ImportHTML("http://spending.data.al/sq/moneypower/view/id/129/year/2013",  "table", 2)))),"*Kategoria*")</f>
        <v>*Kategoria*</v>
      </c>
      <c r="D257" t="s">
        <v>719</v>
      </c>
      <c r="E257" t="s">
        <v>720</v>
      </c>
      <c r="F257" t="s">
        <v>721</v>
      </c>
      <c r="G257" t="s">
        <v>722</v>
      </c>
      <c r="H257" t="s">
        <v>723</v>
      </c>
      <c r="I257" t="s">
        <v>724</v>
      </c>
      <c r="J257" t="s">
        <v>685</v>
      </c>
    </row>
    <row r="258" spans="1:10" ht="15">
      <c r="A258" s="7"/>
      <c r="B258" t="s">
        <v>686</v>
      </c>
      <c r="D258" t="s">
        <v>2843</v>
      </c>
      <c r="E258" t="s">
        <v>2844</v>
      </c>
      <c r="F258" t="s">
        <v>2845</v>
      </c>
      <c r="G258" t="s">
        <v>688</v>
      </c>
      <c r="H258" t="s">
        <v>688</v>
      </c>
      <c r="I258" t="s">
        <v>688</v>
      </c>
      <c r="J258" t="s">
        <v>688</v>
      </c>
    </row>
    <row r="259" spans="1:10" ht="15">
      <c r="A259" s="1">
        <v>130</v>
      </c>
      <c r="B259" t="str">
        <f ca="1">IFERROR(__xludf.DUMMYFUNCTION((TRANSPOSE(ImportHTML("http://spending.data.al/sq/moneypower/view/id/130/year/2013",  "table", 2)))),"*Kategoria*")</f>
        <v>*Kategoria*</v>
      </c>
      <c r="C259" t="s">
        <v>2589</v>
      </c>
    </row>
    <row r="260" spans="1:10" ht="15">
      <c r="A260" s="7"/>
      <c r="B260" t="s">
        <v>686</v>
      </c>
    </row>
    <row r="261" spans="1:10" ht="15">
      <c r="A261" s="1">
        <v>131</v>
      </c>
      <c r="B261" t="str">
        <f ca="1">IFERROR(__xludf.DUMMYFUNCTION((TRANSPOSE(ImportHTML("http://spending.data.al/sq/moneypower/view/id/131/year/2013",  "table", 2)))),"*Kategoria*")</f>
        <v>*Kategoria*</v>
      </c>
      <c r="D261" t="s">
        <v>719</v>
      </c>
      <c r="E261" t="s">
        <v>720</v>
      </c>
      <c r="F261" t="s">
        <v>721</v>
      </c>
      <c r="G261" t="s">
        <v>722</v>
      </c>
      <c r="H261" t="s">
        <v>723</v>
      </c>
      <c r="I261" t="s">
        <v>724</v>
      </c>
      <c r="J261" t="s">
        <v>685</v>
      </c>
    </row>
    <row r="262" spans="1:10" ht="15">
      <c r="A262" s="7"/>
      <c r="B262" t="s">
        <v>686</v>
      </c>
      <c r="D262" t="s">
        <v>2846</v>
      </c>
      <c r="E262" t="s">
        <v>2847</v>
      </c>
      <c r="F262" t="s">
        <v>2848</v>
      </c>
      <c r="H262" t="s">
        <v>2849</v>
      </c>
      <c r="I262" t="s">
        <v>688</v>
      </c>
      <c r="J262" t="s">
        <v>2850</v>
      </c>
    </row>
    <row r="263" spans="1:10" ht="15">
      <c r="A263" s="1">
        <v>132</v>
      </c>
      <c r="B263" t="str">
        <f ca="1">IFERROR(__xludf.DUMMYFUNCTION((TRANSPOSE(ImportHTML("http://spending.data.al/sq/moneypower/view/id/132/year/2013",  "table", 2)))),"*Kategoria*")</f>
        <v>*Kategoria*</v>
      </c>
      <c r="C263" t="s">
        <v>2589</v>
      </c>
    </row>
    <row r="264" spans="1:10" ht="15">
      <c r="A264" s="7"/>
      <c r="B264" t="s">
        <v>686</v>
      </c>
    </row>
    <row r="265" spans="1:10" ht="15">
      <c r="A265" s="1">
        <v>133</v>
      </c>
      <c r="B265" t="str">
        <f ca="1">IFERROR(__xludf.DUMMYFUNCTION((TRANSPOSE(ImportHTML("http://spending.data.al/sq/moneypower/view/id/133/year/2013",  "table", 2)))),"*Kategoria*")</f>
        <v>*Kategoria*</v>
      </c>
      <c r="C265" t="s">
        <v>2589</v>
      </c>
    </row>
    <row r="266" spans="1:10" ht="15">
      <c r="A266" s="7"/>
      <c r="B266" t="s">
        <v>686</v>
      </c>
    </row>
    <row r="267" spans="1:10" ht="15">
      <c r="A267" s="1">
        <v>134</v>
      </c>
      <c r="B267" t="str">
        <f ca="1">IFERROR(__xludf.DUMMYFUNCTION((TRANSPOSE(ImportHTML("http://spending.data.al/sq/moneypower/view/id/134/year/2013",  "table", 2)))),"*Kategoria*")</f>
        <v>*Kategoria*</v>
      </c>
      <c r="D267" t="s">
        <v>719</v>
      </c>
      <c r="E267" t="s">
        <v>720</v>
      </c>
      <c r="F267" t="s">
        <v>721</v>
      </c>
      <c r="G267" t="s">
        <v>722</v>
      </c>
      <c r="H267" t="s">
        <v>723</v>
      </c>
      <c r="I267" t="s">
        <v>724</v>
      </c>
      <c r="J267" t="s">
        <v>685</v>
      </c>
    </row>
    <row r="268" spans="1:10" ht="15">
      <c r="A268" s="7"/>
      <c r="B268" t="s">
        <v>686</v>
      </c>
      <c r="D268" t="s">
        <v>2851</v>
      </c>
      <c r="E268" t="s">
        <v>2852</v>
      </c>
      <c r="F268" t="s">
        <v>2853</v>
      </c>
      <c r="G268" t="s">
        <v>688</v>
      </c>
      <c r="H268" t="s">
        <v>688</v>
      </c>
      <c r="I268" t="s">
        <v>688</v>
      </c>
      <c r="J268" t="s">
        <v>2854</v>
      </c>
    </row>
    <row r="269" spans="1:10" ht="15">
      <c r="A269" s="1">
        <v>135</v>
      </c>
      <c r="B269" t="str">
        <f ca="1">IFERROR(__xludf.DUMMYFUNCTION((TRANSPOSE(ImportHTML("http://spending.data.al/sq/moneypower/view/id/135/year/2013",  "table", 2)))),"*Kategoria*")</f>
        <v>*Kategoria*</v>
      </c>
      <c r="C269" t="s">
        <v>2589</v>
      </c>
    </row>
    <row r="270" spans="1:10" ht="15">
      <c r="A270" s="7"/>
      <c r="B270" t="s">
        <v>686</v>
      </c>
    </row>
    <row r="271" spans="1:10" ht="15">
      <c r="A271" s="1">
        <v>136</v>
      </c>
      <c r="B271" t="str">
        <f ca="1">IFERROR(__xludf.DUMMYFUNCTION((TRANSPOSE(ImportHTML("http://spending.data.al/sq/moneypower/view/id/136/year/2013",  "table", 2)))),"*Kategoria*")</f>
        <v>*Kategoria*</v>
      </c>
      <c r="C271" t="s">
        <v>2589</v>
      </c>
    </row>
    <row r="272" spans="1:10" ht="15">
      <c r="A272" s="7"/>
      <c r="B272" t="s">
        <v>686</v>
      </c>
    </row>
    <row r="273" spans="1:10" ht="15">
      <c r="A273" s="1">
        <v>137</v>
      </c>
      <c r="B273" t="str">
        <f ca="1">IFERROR(__xludf.DUMMYFUNCTION((TRANSPOSE(ImportHTML("http://spending.data.al/sq/moneypower/view/id/137/year/2013",  "table", 2)))),"*Kategoria*")</f>
        <v>*Kategoria*</v>
      </c>
      <c r="C273" t="s">
        <v>2589</v>
      </c>
    </row>
    <row r="274" spans="1:10" ht="15">
      <c r="A274" s="7"/>
      <c r="B274" t="s">
        <v>686</v>
      </c>
    </row>
    <row r="275" spans="1:10" ht="15">
      <c r="A275" s="1">
        <v>138</v>
      </c>
      <c r="B275" t="str">
        <f ca="1">IFERROR(__xludf.DUMMYFUNCTION((TRANSPOSE(ImportHTML("http://spending.data.al/sq/moneypower/view/id/138/year/2013",  "table", 2)))),"*Kategoria*")</f>
        <v>*Kategoria*</v>
      </c>
      <c r="C275" t="s">
        <v>2589</v>
      </c>
    </row>
    <row r="276" spans="1:10" ht="15">
      <c r="A276" s="7"/>
      <c r="B276" t="s">
        <v>686</v>
      </c>
    </row>
    <row r="277" spans="1:10" ht="15">
      <c r="A277" s="1">
        <v>139</v>
      </c>
      <c r="B277" t="str">
        <f ca="1">IFERROR(__xludf.DUMMYFUNCTION((TRANSPOSE(ImportHTML("http://spending.data.al/sq/moneypower/view/id/139/year/2013",  "table", 2)))),"*Kategoria*")</f>
        <v>*Kategoria*</v>
      </c>
      <c r="C277" t="s">
        <v>2589</v>
      </c>
    </row>
    <row r="278" spans="1:10" ht="15">
      <c r="A278" s="7"/>
      <c r="B278" t="s">
        <v>686</v>
      </c>
    </row>
    <row r="279" spans="1:10" ht="15">
      <c r="A279" s="1">
        <v>140</v>
      </c>
      <c r="B279" t="str">
        <f ca="1">IFERROR(__xludf.DUMMYFUNCTION((TRANSPOSE(ImportHTML("http://spending.data.al/sq/moneypower/view/id/140/year/2013",  "table", 2)))),"*Kategoria*")</f>
        <v>*Kategoria*</v>
      </c>
      <c r="C279" t="s">
        <v>2589</v>
      </c>
    </row>
    <row r="280" spans="1:10" ht="15">
      <c r="A280" s="7"/>
      <c r="B280" t="s">
        <v>686</v>
      </c>
    </row>
    <row r="281" spans="1:10" ht="15">
      <c r="A281" s="1">
        <v>141</v>
      </c>
      <c r="B281" t="str">
        <f ca="1">IFERROR(__xludf.DUMMYFUNCTION((TRANSPOSE(ImportHTML("http://spending.data.al/sq/moneypower/view/id/141/year/2013",  "table", 2)))),"*Kategoria*")</f>
        <v>*Kategoria*</v>
      </c>
      <c r="C281" t="s">
        <v>2589</v>
      </c>
    </row>
    <row r="282" spans="1:10" ht="15">
      <c r="A282" s="7"/>
      <c r="B282" t="s">
        <v>686</v>
      </c>
    </row>
    <row r="283" spans="1:10" ht="15">
      <c r="A283" s="1">
        <v>142</v>
      </c>
      <c r="B283" t="str">
        <f ca="1">IFERROR(__xludf.DUMMYFUNCTION((TRANSPOSE(ImportHTML("http://spending.data.al/sq/moneypower/view/id/142/year/2013",  "table", 2)))),"*Kategoria*")</f>
        <v>*Kategoria*</v>
      </c>
      <c r="C283" t="s">
        <v>2589</v>
      </c>
    </row>
    <row r="284" spans="1:10" ht="15">
      <c r="A284" s="7"/>
      <c r="B284" t="s">
        <v>686</v>
      </c>
    </row>
    <row r="285" spans="1:10" ht="15">
      <c r="A285" s="1">
        <v>143</v>
      </c>
      <c r="B285" t="str">
        <f ca="1">IFERROR(__xludf.DUMMYFUNCTION((TRANSPOSE(ImportHTML("http://spending.data.al/sq/moneypower/view/id/143/year/2013",  "table", 2)))),"*Kategoria*")</f>
        <v>*Kategoria*</v>
      </c>
      <c r="D285" t="s">
        <v>719</v>
      </c>
      <c r="E285" t="s">
        <v>720</v>
      </c>
      <c r="F285" t="s">
        <v>721</v>
      </c>
      <c r="G285" t="s">
        <v>722</v>
      </c>
      <c r="H285" t="s">
        <v>723</v>
      </c>
      <c r="I285" t="s">
        <v>724</v>
      </c>
      <c r="J285" t="s">
        <v>685</v>
      </c>
    </row>
    <row r="286" spans="1:10" ht="15">
      <c r="A286" s="7"/>
      <c r="B286" t="s">
        <v>686</v>
      </c>
      <c r="D286" t="s">
        <v>2855</v>
      </c>
      <c r="E286" t="s">
        <v>2856</v>
      </c>
      <c r="F286" t="s">
        <v>2857</v>
      </c>
      <c r="G286" t="s">
        <v>2858</v>
      </c>
      <c r="H286" t="s">
        <v>2859</v>
      </c>
      <c r="I286" t="s">
        <v>2860</v>
      </c>
      <c r="J286" t="s">
        <v>688</v>
      </c>
    </row>
    <row r="287" spans="1:10" ht="15">
      <c r="A287" s="1">
        <v>144</v>
      </c>
      <c r="B287" t="str">
        <f ca="1">IFERROR(__xludf.DUMMYFUNCTION((TRANSPOSE(ImportHTML("http://spending.data.al/sq/moneypower/view/id/144/year/2013",  "table", 2)))),"*Kategoria*")</f>
        <v>*Kategoria*</v>
      </c>
      <c r="C287" t="s">
        <v>2589</v>
      </c>
    </row>
    <row r="288" spans="1:10" ht="15">
      <c r="A288" s="7"/>
      <c r="B288" t="s">
        <v>686</v>
      </c>
    </row>
    <row r="289" spans="1:10" ht="15">
      <c r="A289" s="1">
        <v>145</v>
      </c>
      <c r="B289" t="str">
        <f ca="1">IFERROR(__xludf.DUMMYFUNCTION((TRANSPOSE(ImportHTML("http://spending.data.al/sq/moneypower/view/id/145/year/2013",  "table", 2)))),"*Kategoria*")</f>
        <v>*Kategoria*</v>
      </c>
      <c r="C289" t="s">
        <v>2589</v>
      </c>
    </row>
    <row r="290" spans="1:10" ht="15">
      <c r="A290" s="7"/>
      <c r="B290" t="s">
        <v>686</v>
      </c>
    </row>
    <row r="291" spans="1:10" ht="15">
      <c r="A291" s="1">
        <v>146</v>
      </c>
      <c r="B291" t="str">
        <f ca="1">IFERROR(__xludf.DUMMYFUNCTION((TRANSPOSE(ImportHTML("http://spending.data.al/sq/moneypower/view/id/146/year/2013",  "table", 2)))),"*Kategoria*")</f>
        <v>*Kategoria*</v>
      </c>
      <c r="C291" t="s">
        <v>2589</v>
      </c>
    </row>
    <row r="292" spans="1:10" ht="15">
      <c r="A292" s="7"/>
      <c r="B292" t="s">
        <v>686</v>
      </c>
    </row>
    <row r="293" spans="1:10" ht="15">
      <c r="A293" s="1">
        <v>147</v>
      </c>
      <c r="B293" t="str">
        <f ca="1">IFERROR(__xludf.DUMMYFUNCTION((TRANSPOSE(ImportHTML("http://spending.data.al/sq/moneypower/view/id/147/year/2013",  "table", 2)))),"*Kategoria*")</f>
        <v>*Kategoria*</v>
      </c>
      <c r="C293" t="s">
        <v>2589</v>
      </c>
    </row>
    <row r="294" spans="1:10" ht="15">
      <c r="A294" s="7"/>
      <c r="B294" t="s">
        <v>686</v>
      </c>
    </row>
    <row r="295" spans="1:10" ht="15">
      <c r="A295" s="1">
        <v>148</v>
      </c>
      <c r="B295" t="str">
        <f ca="1">IFERROR(__xludf.DUMMYFUNCTION((TRANSPOSE(ImportHTML("http://spending.data.al/sq/moneypower/view/id/148/year/2013",  "table", 2)))),"*Kategoria*")</f>
        <v>*Kategoria*</v>
      </c>
      <c r="C295" t="s">
        <v>2589</v>
      </c>
    </row>
    <row r="296" spans="1:10" ht="15">
      <c r="A296" s="7"/>
      <c r="B296" t="s">
        <v>686</v>
      </c>
    </row>
    <row r="297" spans="1:10" ht="15">
      <c r="A297" s="1">
        <v>149</v>
      </c>
      <c r="B297" t="str">
        <f ca="1">IFERROR(__xludf.DUMMYFUNCTION((TRANSPOSE(ImportHTML("http://spending.data.al/sq/moneypower/view/id/149/year/2013",  "table", 2)))),"*Kategoria*")</f>
        <v>*Kategoria*</v>
      </c>
      <c r="C297" t="s">
        <v>2589</v>
      </c>
    </row>
    <row r="298" spans="1:10" ht="15">
      <c r="A298" s="7"/>
      <c r="B298" t="s">
        <v>686</v>
      </c>
    </row>
    <row r="299" spans="1:10" ht="15">
      <c r="A299" s="1">
        <v>150</v>
      </c>
      <c r="B299" t="str">
        <f ca="1">IFERROR(__xludf.DUMMYFUNCTION((TRANSPOSE(ImportHTML("http://spending.data.al/sq/moneypower/view/id/150/year/2013",  "table", 2)))),"*Kategoria*")</f>
        <v>*Kategoria*</v>
      </c>
      <c r="C299" t="s">
        <v>2589</v>
      </c>
    </row>
    <row r="300" spans="1:10" ht="15">
      <c r="A300" s="7"/>
      <c r="B300" t="s">
        <v>686</v>
      </c>
    </row>
    <row r="301" spans="1:10" ht="15">
      <c r="A301" s="1">
        <v>151</v>
      </c>
      <c r="B301" t="str">
        <f ca="1">IFERROR(__xludf.DUMMYFUNCTION((TRANSPOSE(ImportHTML("http://spending.data.al/sq/moneypower/view/id/151/year/2013",  "table", 2)))),"*Kategoria*")</f>
        <v>*Kategoria*</v>
      </c>
      <c r="D301" t="s">
        <v>719</v>
      </c>
      <c r="E301" t="s">
        <v>720</v>
      </c>
      <c r="F301" t="s">
        <v>721</v>
      </c>
      <c r="G301" t="s">
        <v>722</v>
      </c>
      <c r="H301" t="s">
        <v>723</v>
      </c>
      <c r="I301" t="s">
        <v>724</v>
      </c>
      <c r="J301" t="s">
        <v>685</v>
      </c>
    </row>
    <row r="302" spans="1:10" ht="15">
      <c r="A302" s="7"/>
      <c r="B302" t="s">
        <v>686</v>
      </c>
      <c r="D302" t="s">
        <v>2861</v>
      </c>
      <c r="E302" t="s">
        <v>2862</v>
      </c>
      <c r="F302" t="s">
        <v>2863</v>
      </c>
      <c r="G302" t="s">
        <v>2601</v>
      </c>
      <c r="H302" t="s">
        <v>2601</v>
      </c>
      <c r="I302" t="s">
        <v>2601</v>
      </c>
      <c r="J302" t="s">
        <v>707</v>
      </c>
    </row>
    <row r="303" spans="1:10" ht="15">
      <c r="A303" s="1">
        <v>152</v>
      </c>
      <c r="B303" t="str">
        <f ca="1">IFERROR(__xludf.DUMMYFUNCTION((TRANSPOSE(ImportHTML("http://spending.data.al/sq/moneypower/view/id/152/year/2013",  "table", 2)))),"*Kategoria*")</f>
        <v>*Kategoria*</v>
      </c>
      <c r="C303" t="s">
        <v>2589</v>
      </c>
    </row>
    <row r="304" spans="1:10" ht="15">
      <c r="A304" s="7"/>
      <c r="B304" t="s">
        <v>686</v>
      </c>
    </row>
    <row r="305" spans="1:10" ht="15">
      <c r="A305" s="1">
        <v>153</v>
      </c>
      <c r="B305" t="str">
        <f ca="1">IFERROR(__xludf.DUMMYFUNCTION((TRANSPOSE(ImportHTML("http://spending.data.al/sq/moneypower/view/id/153/year/2013",  "table", 2)))),"*Kategoria*")</f>
        <v>*Kategoria*</v>
      </c>
      <c r="C305" t="s">
        <v>2589</v>
      </c>
    </row>
    <row r="306" spans="1:10" ht="15">
      <c r="A306" s="7"/>
      <c r="B306" t="s">
        <v>686</v>
      </c>
    </row>
    <row r="307" spans="1:10" ht="15">
      <c r="A307" s="1">
        <v>154</v>
      </c>
      <c r="B307" t="str">
        <f ca="1">IFERROR(__xludf.DUMMYFUNCTION((TRANSPOSE(ImportHTML("http://spending.data.al/sq/moneypower/view/id/154/year/2013",  "table", 2)))),"*Kategoria*")</f>
        <v>*Kategoria*</v>
      </c>
      <c r="C307" t="s">
        <v>2589</v>
      </c>
    </row>
    <row r="308" spans="1:10" ht="15">
      <c r="A308" s="7"/>
      <c r="B308" t="s">
        <v>686</v>
      </c>
    </row>
    <row r="309" spans="1:10" ht="15">
      <c r="A309" s="1">
        <v>155</v>
      </c>
      <c r="B309" t="str">
        <f ca="1">IFERROR(__xludf.DUMMYFUNCTION((TRANSPOSE(ImportHTML("http://spending.data.al/sq/moneypower/view/id/155/year/2013",  "table", 2)))),"*Kategoria*")</f>
        <v>*Kategoria*</v>
      </c>
      <c r="C309" t="s">
        <v>2589</v>
      </c>
    </row>
    <row r="310" spans="1:10" ht="15">
      <c r="A310" s="7"/>
      <c r="B310" t="s">
        <v>686</v>
      </c>
    </row>
    <row r="311" spans="1:10" ht="15">
      <c r="A311" s="1">
        <v>156</v>
      </c>
      <c r="B311" t="str">
        <f ca="1">IFERROR(__xludf.DUMMYFUNCTION((TRANSPOSE(ImportHTML("http://spending.data.al/sq/moneypower/view/id/156/year/2013",  "table", 2)))),"*Kategoria*")</f>
        <v>*Kategoria*</v>
      </c>
      <c r="C311" t="s">
        <v>2589</v>
      </c>
    </row>
    <row r="312" spans="1:10" ht="15">
      <c r="A312" s="7"/>
      <c r="B312" t="s">
        <v>686</v>
      </c>
    </row>
    <row r="313" spans="1:10" ht="15">
      <c r="A313" s="1">
        <v>157</v>
      </c>
      <c r="B313" t="str">
        <f ca="1">IFERROR(__xludf.DUMMYFUNCTION((TRANSPOSE(ImportHTML("http://spending.data.al/sq/moneypower/view/id/157/year/2013",  "table", 2)))),"*Kategoria*")</f>
        <v>*Kategoria*</v>
      </c>
      <c r="D313" t="s">
        <v>719</v>
      </c>
      <c r="E313" t="s">
        <v>720</v>
      </c>
      <c r="F313" t="s">
        <v>721</v>
      </c>
      <c r="G313" t="s">
        <v>722</v>
      </c>
      <c r="H313" t="s">
        <v>723</v>
      </c>
      <c r="I313" t="s">
        <v>724</v>
      </c>
      <c r="J313" t="s">
        <v>685</v>
      </c>
    </row>
    <row r="314" spans="1:10" ht="15">
      <c r="A314" s="7"/>
      <c r="B314" t="s">
        <v>686</v>
      </c>
      <c r="D314" t="s">
        <v>2864</v>
      </c>
      <c r="E314" t="s">
        <v>2865</v>
      </c>
      <c r="F314" t="s">
        <v>2866</v>
      </c>
      <c r="G314" t="s">
        <v>727</v>
      </c>
      <c r="H314" t="s">
        <v>2867</v>
      </c>
      <c r="I314" t="s">
        <v>2868</v>
      </c>
      <c r="J314" t="s">
        <v>707</v>
      </c>
    </row>
    <row r="315" spans="1:10" ht="15">
      <c r="A315" s="1">
        <v>158</v>
      </c>
      <c r="B315" t="str">
        <f ca="1">IFERROR(__xludf.DUMMYFUNCTION((TRANSPOSE(ImportHTML("http://spending.data.al/sq/moneypower/view/id/158/year/2013",  "table", 2)))),"*Kategoria*")</f>
        <v>*Kategoria*</v>
      </c>
      <c r="C315" t="s">
        <v>2589</v>
      </c>
    </row>
    <row r="316" spans="1:10" ht="15">
      <c r="A316" s="7"/>
      <c r="B316" t="s">
        <v>686</v>
      </c>
    </row>
    <row r="317" spans="1:10" ht="15">
      <c r="A317" s="1">
        <v>159</v>
      </c>
      <c r="B317" t="str">
        <f ca="1">IFERROR(__xludf.DUMMYFUNCTION((TRANSPOSE(ImportHTML("http://spending.data.al/sq/moneypower/view/id/159/year/2013",  "table", 2)))),"*Kategoria*")</f>
        <v>*Kategoria*</v>
      </c>
      <c r="C317" t="s">
        <v>2589</v>
      </c>
    </row>
    <row r="318" spans="1:10" ht="15">
      <c r="A318" s="7"/>
      <c r="B318" t="s">
        <v>686</v>
      </c>
    </row>
    <row r="319" spans="1:10" ht="15">
      <c r="A319" s="1">
        <v>160</v>
      </c>
      <c r="B319" t="str">
        <f ca="1">IFERROR(__xludf.DUMMYFUNCTION((TRANSPOSE(ImportHTML("http://spending.data.al/sq/moneypower/view/id/160/year/2013",  "table", 2)))),"*Kategoria*")</f>
        <v>*Kategoria*</v>
      </c>
      <c r="C319" t="s">
        <v>2589</v>
      </c>
    </row>
    <row r="320" spans="1:10" ht="15">
      <c r="A320" s="7"/>
      <c r="B320" t="s">
        <v>686</v>
      </c>
    </row>
    <row r="321" spans="1:3" ht="15">
      <c r="A321" s="1">
        <v>161</v>
      </c>
      <c r="B321" t="str">
        <f ca="1">IFERROR(__xludf.DUMMYFUNCTION((TRANSPOSE(ImportHTML("http://spending.data.al/sq/moneypower/view/id/161/year/2013",  "table", 2)))),"*Kategoria*")</f>
        <v>*Kategoria*</v>
      </c>
      <c r="C321" t="s">
        <v>2589</v>
      </c>
    </row>
    <row r="322" spans="1:3" ht="15">
      <c r="A322" s="7"/>
      <c r="B322" t="s">
        <v>686</v>
      </c>
    </row>
    <row r="323" spans="1:3" ht="15">
      <c r="A323" s="1">
        <v>162</v>
      </c>
      <c r="B323" t="str">
        <f ca="1">IFERROR(__xludf.DUMMYFUNCTION((TRANSPOSE(ImportHTML("http://spending.data.al/sq/moneypower/view/id/162/year/2013",  "table", 2)))),"*Kategoria*")</f>
        <v>*Kategoria*</v>
      </c>
      <c r="C323" t="s">
        <v>2589</v>
      </c>
    </row>
    <row r="324" spans="1:3" ht="15">
      <c r="A324" s="7"/>
      <c r="B324" t="s">
        <v>686</v>
      </c>
    </row>
    <row r="325" spans="1:3" ht="15">
      <c r="A325" s="1">
        <v>163</v>
      </c>
      <c r="B325" t="str">
        <f ca="1">IFERROR(__xludf.DUMMYFUNCTION((TRANSPOSE(ImportHTML("http://spending.data.al/sq/moneypower/view/id/163/year/2013",  "table", 2)))),"*Kategoria*")</f>
        <v>*Kategoria*</v>
      </c>
      <c r="C325" t="s">
        <v>2589</v>
      </c>
    </row>
    <row r="326" spans="1:3" ht="15">
      <c r="A326" s="7"/>
      <c r="B326" t="s">
        <v>686</v>
      </c>
    </row>
    <row r="327" spans="1:3" ht="15">
      <c r="A327" s="1">
        <v>164</v>
      </c>
      <c r="B327" t="str">
        <f ca="1">IFERROR(__xludf.DUMMYFUNCTION((TRANSPOSE(ImportHTML("http://spending.data.al/sq/moneypower/view/id/164/year/2013",  "table", 2)))),"*Kategoria*")</f>
        <v>*Kategoria*</v>
      </c>
      <c r="C327" t="s">
        <v>2589</v>
      </c>
    </row>
    <row r="328" spans="1:3" ht="15">
      <c r="A328" s="7"/>
      <c r="B328" t="s">
        <v>686</v>
      </c>
    </row>
    <row r="329" spans="1:3" ht="15">
      <c r="A329" s="1">
        <v>165</v>
      </c>
      <c r="B329" t="str">
        <f ca="1">IFERROR(__xludf.DUMMYFUNCTION((TRANSPOSE(ImportHTML("http://spending.data.al/sq/moneypower/view/id/165/year/2013",  "table", 2)))),"*Kategoria*")</f>
        <v>*Kategoria*</v>
      </c>
      <c r="C329" t="s">
        <v>2589</v>
      </c>
    </row>
    <row r="330" spans="1:3" ht="15">
      <c r="A330" s="7"/>
      <c r="B330" t="s">
        <v>686</v>
      </c>
    </row>
    <row r="331" spans="1:3" ht="15">
      <c r="A331" s="1">
        <v>166</v>
      </c>
      <c r="B331" t="str">
        <f ca="1">IFERROR(__xludf.DUMMYFUNCTION((TRANSPOSE(ImportHTML("http://spending.data.al/sq/moneypower/view/id/166/year/2013",  "table", 2)))),"*Kategoria*")</f>
        <v>*Kategoria*</v>
      </c>
      <c r="C331" t="s">
        <v>2589</v>
      </c>
    </row>
    <row r="332" spans="1:3" ht="15">
      <c r="A332" s="7"/>
      <c r="B332" t="s">
        <v>686</v>
      </c>
    </row>
    <row r="333" spans="1:3" ht="15">
      <c r="A333" s="1">
        <v>167</v>
      </c>
      <c r="B333" t="str">
        <f ca="1">IFERROR(__xludf.DUMMYFUNCTION((TRANSPOSE(ImportHTML("http://spending.data.al/sq/moneypower/view/id/167/year/2013",  "table", 2)))),"*Kategoria*")</f>
        <v>*Kategoria*</v>
      </c>
      <c r="C333" t="s">
        <v>2589</v>
      </c>
    </row>
    <row r="334" spans="1:3" ht="15">
      <c r="A334" s="7"/>
      <c r="B334" t="s">
        <v>686</v>
      </c>
    </row>
    <row r="335" spans="1:3" ht="15">
      <c r="A335" s="1">
        <v>168</v>
      </c>
      <c r="B335" t="str">
        <f ca="1">IFERROR(__xludf.DUMMYFUNCTION((TRANSPOSE(ImportHTML("http://spending.data.al/sq/moneypower/view/id/168/year/2013",  "table", 2)))),"*Kategoria*")</f>
        <v>*Kategoria*</v>
      </c>
      <c r="C335" t="s">
        <v>2589</v>
      </c>
    </row>
    <row r="336" spans="1:3" ht="15">
      <c r="A336" s="7"/>
      <c r="B336" t="s">
        <v>686</v>
      </c>
    </row>
    <row r="337" spans="1:10" ht="15">
      <c r="A337" s="1">
        <v>169</v>
      </c>
      <c r="B337" t="str">
        <f ca="1">IFERROR(__xludf.DUMMYFUNCTION((TRANSPOSE(ImportHTML("http://spending.data.al/sq/moneypower/view/id/169/year/2013",  "table", 2)))),"*Kategoria*")</f>
        <v>*Kategoria*</v>
      </c>
      <c r="D337" t="s">
        <v>719</v>
      </c>
      <c r="E337" t="s">
        <v>720</v>
      </c>
      <c r="F337" t="s">
        <v>721</v>
      </c>
      <c r="G337" t="s">
        <v>722</v>
      </c>
      <c r="H337" t="s">
        <v>723</v>
      </c>
      <c r="I337" t="s">
        <v>724</v>
      </c>
      <c r="J337" t="s">
        <v>685</v>
      </c>
    </row>
    <row r="338" spans="1:10" ht="15">
      <c r="A338" s="7"/>
      <c r="B338" t="s">
        <v>686</v>
      </c>
      <c r="D338" t="s">
        <v>2869</v>
      </c>
      <c r="E338" t="s">
        <v>2870</v>
      </c>
      <c r="F338" t="s">
        <v>2871</v>
      </c>
      <c r="G338" t="s">
        <v>727</v>
      </c>
      <c r="H338" t="s">
        <v>727</v>
      </c>
      <c r="I338" t="s">
        <v>727</v>
      </c>
      <c r="J338" t="s">
        <v>707</v>
      </c>
    </row>
    <row r="339" spans="1:10" ht="15">
      <c r="A339" s="1">
        <v>170</v>
      </c>
      <c r="B339" t="str">
        <f ca="1">IFERROR(__xludf.DUMMYFUNCTION((TRANSPOSE(ImportHTML("http://spending.data.al/sq/moneypower/view/id/170/year/2013",  "table", 2)))),"*Kategoria*")</f>
        <v>*Kategoria*</v>
      </c>
      <c r="C339" t="s">
        <v>2589</v>
      </c>
    </row>
    <row r="340" spans="1:10" ht="15">
      <c r="A340" s="7"/>
      <c r="B340" t="s">
        <v>686</v>
      </c>
    </row>
    <row r="341" spans="1:10" ht="15">
      <c r="A341" s="1">
        <v>171</v>
      </c>
      <c r="B341" t="str">
        <f ca="1">IFERROR(__xludf.DUMMYFUNCTION((TRANSPOSE(ImportHTML("http://spending.data.al/sq/moneypower/view/id/171/year/2013",  "table", 2)))),"*Kategoria*")</f>
        <v>*Kategoria*</v>
      </c>
      <c r="C341" t="s">
        <v>2589</v>
      </c>
    </row>
    <row r="342" spans="1:10" ht="15">
      <c r="A342" s="7"/>
      <c r="B342" t="s">
        <v>686</v>
      </c>
    </row>
    <row r="343" spans="1:10" ht="15">
      <c r="A343" s="1">
        <v>172</v>
      </c>
      <c r="B343" t="str">
        <f ca="1">IFERROR(__xludf.DUMMYFUNCTION((TRANSPOSE(ImportHTML("http://spending.data.al/sq/moneypower/view/id/172/year/2013",  "table", 2)))),"*Kategoria*")</f>
        <v>*Kategoria*</v>
      </c>
      <c r="D343" t="s">
        <v>719</v>
      </c>
      <c r="E343" t="s">
        <v>720</v>
      </c>
      <c r="F343" t="s">
        <v>721</v>
      </c>
      <c r="G343" t="s">
        <v>722</v>
      </c>
      <c r="H343" t="s">
        <v>723</v>
      </c>
      <c r="I343" t="s">
        <v>724</v>
      </c>
      <c r="J343" t="s">
        <v>685</v>
      </c>
    </row>
    <row r="344" spans="1:10" ht="15">
      <c r="A344" s="7"/>
      <c r="B344" t="s">
        <v>686</v>
      </c>
      <c r="D344" t="s">
        <v>727</v>
      </c>
      <c r="E344" t="s">
        <v>2872</v>
      </c>
      <c r="F344" t="s">
        <v>727</v>
      </c>
      <c r="G344" t="s">
        <v>727</v>
      </c>
      <c r="H344" t="s">
        <v>727</v>
      </c>
      <c r="I344" t="s">
        <v>727</v>
      </c>
      <c r="J344" t="s">
        <v>2873</v>
      </c>
    </row>
    <row r="345" spans="1:10" ht="15">
      <c r="A345" s="1">
        <v>173</v>
      </c>
      <c r="B345" t="str">
        <f ca="1">IFERROR(__xludf.DUMMYFUNCTION((TRANSPOSE(ImportHTML("http://spending.data.al/sq/moneypower/view/id/173/year/2013",  "table", 2)))),"*Kategoria*")</f>
        <v>*Kategoria*</v>
      </c>
      <c r="C345" t="s">
        <v>2589</v>
      </c>
    </row>
    <row r="346" spans="1:10" ht="15">
      <c r="A346" s="7"/>
      <c r="B346" t="s">
        <v>686</v>
      </c>
    </row>
    <row r="347" spans="1:10" ht="15">
      <c r="A347" s="1">
        <v>174</v>
      </c>
      <c r="B347" t="str">
        <f ca="1">IFERROR(__xludf.DUMMYFUNCTION((TRANSPOSE(ImportHTML("http://spending.data.al/sq/moneypower/view/id/174/year/2013",  "table", 2)))),"*Kategoria*")</f>
        <v>*Kategoria*</v>
      </c>
      <c r="C347" t="s">
        <v>2589</v>
      </c>
    </row>
    <row r="348" spans="1:10" ht="15">
      <c r="A348" s="7"/>
      <c r="B348" t="s">
        <v>686</v>
      </c>
    </row>
    <row r="349" spans="1:10" ht="15">
      <c r="A349" s="1">
        <v>175</v>
      </c>
      <c r="B349" t="str">
        <f ca="1">IFERROR(__xludf.DUMMYFUNCTION((TRANSPOSE(ImportHTML("http://spending.data.al/sq/moneypower/view/id/175/year/2013",  "table", 2)))),"*Kategoria*")</f>
        <v>*Kategoria*</v>
      </c>
      <c r="C349" t="s">
        <v>2589</v>
      </c>
    </row>
    <row r="350" spans="1:10" ht="15">
      <c r="A350" s="7"/>
      <c r="B350" t="s">
        <v>686</v>
      </c>
    </row>
    <row r="351" spans="1:10" ht="15">
      <c r="A351" s="1">
        <v>176</v>
      </c>
      <c r="B351" t="str">
        <f ca="1">IFERROR(__xludf.DUMMYFUNCTION((TRANSPOSE(ImportHTML("http://spending.data.al/sq/moneypower/view/id/176/year/2013",  "table", 2)))),"*Kategoria*")</f>
        <v>*Kategoria*</v>
      </c>
      <c r="C351" t="s">
        <v>2589</v>
      </c>
    </row>
    <row r="352" spans="1:10" ht="15">
      <c r="A352" s="7"/>
      <c r="B352" t="s">
        <v>686</v>
      </c>
    </row>
    <row r="353" spans="1:10" ht="15">
      <c r="A353" s="1">
        <v>177</v>
      </c>
      <c r="B353" t="str">
        <f ca="1">IFERROR(__xludf.DUMMYFUNCTION((TRANSPOSE(ImportHTML("http://spending.data.al/sq/moneypower/view/id/177/year/2013",  "table", 2)))),"*Kategoria*")</f>
        <v>*Kategoria*</v>
      </c>
      <c r="C353" t="s">
        <v>2589</v>
      </c>
    </row>
    <row r="354" spans="1:10" ht="15">
      <c r="A354" s="7"/>
      <c r="B354" t="s">
        <v>686</v>
      </c>
    </row>
    <row r="355" spans="1:10" ht="15">
      <c r="A355" s="1">
        <v>178</v>
      </c>
      <c r="B355" t="str">
        <f ca="1">IFERROR(__xludf.DUMMYFUNCTION((TRANSPOSE(ImportHTML("http://spending.data.al/sq/moneypower/view/id/178/year/2013",  "table", 2)))),"*Kategoria*")</f>
        <v>*Kategoria*</v>
      </c>
      <c r="C355" t="s">
        <v>2589</v>
      </c>
    </row>
    <row r="356" spans="1:10" ht="15">
      <c r="A356" s="7"/>
      <c r="B356" t="s">
        <v>686</v>
      </c>
    </row>
    <row r="357" spans="1:10" ht="15">
      <c r="A357" s="1">
        <v>179</v>
      </c>
      <c r="B357" t="str">
        <f ca="1">IFERROR(__xludf.DUMMYFUNCTION((TRANSPOSE(ImportHTML("http://spending.data.al/sq/moneypower/view/id/179/year/2013",  "table", 2)))),"*Kategoria*")</f>
        <v>*Kategoria*</v>
      </c>
      <c r="C357" t="s">
        <v>2589</v>
      </c>
    </row>
    <row r="358" spans="1:10" ht="15">
      <c r="A358" s="7"/>
      <c r="B358" t="s">
        <v>686</v>
      </c>
    </row>
    <row r="359" spans="1:10" ht="15">
      <c r="A359" s="1">
        <v>180</v>
      </c>
      <c r="B359" t="str">
        <f ca="1">IFERROR(__xludf.DUMMYFUNCTION((TRANSPOSE(ImportHTML("http://spending.data.al/sq/moneypower/view/id/180/year/2013",  "table", 2)))),"*Kategoria*")</f>
        <v>*Kategoria*</v>
      </c>
      <c r="C359" t="s">
        <v>2589</v>
      </c>
    </row>
    <row r="360" spans="1:10" ht="15">
      <c r="A360" s="7"/>
      <c r="B360" t="s">
        <v>686</v>
      </c>
    </row>
    <row r="361" spans="1:10" ht="15">
      <c r="A361" s="1">
        <v>181</v>
      </c>
      <c r="B361" t="str">
        <f ca="1">IFERROR(__xludf.DUMMYFUNCTION((TRANSPOSE(ImportHTML("http://spending.data.al/sq/moneypower/view/id/181/year/2013",  "table", 2)))),"*Kategoria*")</f>
        <v>*Kategoria*</v>
      </c>
      <c r="C361" t="s">
        <v>2589</v>
      </c>
    </row>
    <row r="362" spans="1:10" ht="15">
      <c r="A362" s="7"/>
      <c r="B362" t="s">
        <v>686</v>
      </c>
    </row>
    <row r="363" spans="1:10" ht="15">
      <c r="A363" s="1">
        <v>182</v>
      </c>
      <c r="B363" t="str">
        <f ca="1">IFERROR(__xludf.DUMMYFUNCTION((TRANSPOSE(ImportHTML("http://spending.data.al/sq/moneypower/view/id/182/year/2013",  "table", 2)))),"*Kategoria*")</f>
        <v>*Kategoria*</v>
      </c>
      <c r="C363" t="s">
        <v>2589</v>
      </c>
    </row>
    <row r="364" spans="1:10" ht="15">
      <c r="A364" s="7"/>
      <c r="B364" t="s">
        <v>686</v>
      </c>
    </row>
    <row r="365" spans="1:10" ht="15">
      <c r="A365" s="1">
        <v>183</v>
      </c>
      <c r="B365" t="str">
        <f ca="1">IFERROR(__xludf.DUMMYFUNCTION((TRANSPOSE(ImportHTML("http://spending.data.al/sq/moneypower/view/id/183/year/2013",  "table", 2)))),"*Kategoria*")</f>
        <v>*Kategoria*</v>
      </c>
      <c r="D365" t="s">
        <v>719</v>
      </c>
      <c r="E365" t="s">
        <v>720</v>
      </c>
      <c r="F365" t="s">
        <v>721</v>
      </c>
      <c r="G365" t="s">
        <v>722</v>
      </c>
      <c r="H365" t="s">
        <v>723</v>
      </c>
      <c r="I365" t="s">
        <v>724</v>
      </c>
      <c r="J365" t="s">
        <v>685</v>
      </c>
    </row>
    <row r="366" spans="1:10" ht="15">
      <c r="A366" s="7"/>
      <c r="B366" t="s">
        <v>686</v>
      </c>
      <c r="D366" t="s">
        <v>2874</v>
      </c>
      <c r="E366" t="s">
        <v>2875</v>
      </c>
      <c r="F366" t="s">
        <v>2601</v>
      </c>
      <c r="G366" t="s">
        <v>2601</v>
      </c>
      <c r="H366" t="s">
        <v>2601</v>
      </c>
      <c r="I366" t="s">
        <v>2601</v>
      </c>
      <c r="J366" t="s">
        <v>2601</v>
      </c>
    </row>
    <row r="367" spans="1:10" ht="15">
      <c r="A367" s="1">
        <v>184</v>
      </c>
      <c r="B367" t="str">
        <f ca="1">IFERROR(__xludf.DUMMYFUNCTION((TRANSPOSE(ImportHTML("http://spending.data.al/sq/moneypower/view/id/184/year/2013",  "table", 2)))),"*Kategoria*")</f>
        <v>*Kategoria*</v>
      </c>
      <c r="C367" t="s">
        <v>2589</v>
      </c>
    </row>
    <row r="368" spans="1:10" ht="15">
      <c r="A368" s="7"/>
      <c r="B368" t="s">
        <v>686</v>
      </c>
    </row>
    <row r="369" spans="1:10" ht="15">
      <c r="A369" s="1">
        <v>185</v>
      </c>
      <c r="B369" t="str">
        <f ca="1">IFERROR(__xludf.DUMMYFUNCTION((TRANSPOSE(ImportHTML("http://spending.data.al/sq/moneypower/view/id/185/year/2013",  "table", 2)))),"*Kategoria*")</f>
        <v>*Kategoria*</v>
      </c>
      <c r="C369" t="s">
        <v>2589</v>
      </c>
    </row>
    <row r="370" spans="1:10" ht="15">
      <c r="A370" s="7"/>
      <c r="B370" t="s">
        <v>686</v>
      </c>
    </row>
    <row r="371" spans="1:10" ht="15">
      <c r="A371" s="1">
        <v>186</v>
      </c>
      <c r="B371" t="str">
        <f ca="1">IFERROR(__xludf.DUMMYFUNCTION((TRANSPOSE(ImportHTML("http://spending.data.al/sq/moneypower/view/id/186/year/2013",  "table", 2)))),"*Kategoria*")</f>
        <v>*Kategoria*</v>
      </c>
      <c r="C371" t="s">
        <v>2589</v>
      </c>
    </row>
    <row r="372" spans="1:10" ht="15">
      <c r="A372" s="7"/>
      <c r="B372" t="s">
        <v>686</v>
      </c>
    </row>
    <row r="373" spans="1:10" ht="15">
      <c r="A373" s="1">
        <v>187</v>
      </c>
      <c r="B373" t="str">
        <f ca="1">IFERROR(__xludf.DUMMYFUNCTION((TRANSPOSE(ImportHTML("http://spending.data.al/sq/moneypower/view/id/187/year/2013",  "table", 2)))),"*Kategoria*")</f>
        <v>*Kategoria*</v>
      </c>
      <c r="C373" t="s">
        <v>2589</v>
      </c>
    </row>
    <row r="374" spans="1:10" ht="15">
      <c r="A374" s="7"/>
      <c r="B374" t="s">
        <v>686</v>
      </c>
    </row>
    <row r="375" spans="1:10" ht="15">
      <c r="A375" s="1">
        <v>188</v>
      </c>
      <c r="B375" t="str">
        <f ca="1">IFERROR(__xludf.DUMMYFUNCTION((TRANSPOSE(ImportHTML("http://spending.data.al/sq/moneypower/view/id/188/year/2013",  "table", 2)))),"*Kategoria*")</f>
        <v>*Kategoria*</v>
      </c>
      <c r="C375" t="s">
        <v>2589</v>
      </c>
    </row>
    <row r="376" spans="1:10" ht="15">
      <c r="A376" s="7"/>
      <c r="B376" t="s">
        <v>686</v>
      </c>
    </row>
    <row r="377" spans="1:10" ht="15">
      <c r="A377" s="1">
        <v>189</v>
      </c>
      <c r="B377" t="str">
        <f ca="1">IFERROR(__xludf.DUMMYFUNCTION((TRANSPOSE(ImportHTML("http://spending.data.al/sq/moneypower/view/id/189/year/2013",  "table", 2)))),"*Kategoria*")</f>
        <v>*Kategoria*</v>
      </c>
      <c r="C377" t="s">
        <v>2589</v>
      </c>
    </row>
    <row r="378" spans="1:10" ht="15">
      <c r="A378" s="7"/>
      <c r="B378" t="s">
        <v>686</v>
      </c>
    </row>
    <row r="379" spans="1:10" ht="15">
      <c r="A379" s="1">
        <v>190</v>
      </c>
      <c r="B379" t="str">
        <f ca="1">IFERROR(__xludf.DUMMYFUNCTION((TRANSPOSE(ImportHTML("http://spending.data.al/sq/moneypower/view/id/190/year/2013",  "table", 2)))),"*Kategoria*")</f>
        <v>*Kategoria*</v>
      </c>
      <c r="C379" t="s">
        <v>2589</v>
      </c>
    </row>
    <row r="380" spans="1:10" ht="15">
      <c r="A380" s="7"/>
      <c r="B380" t="s">
        <v>686</v>
      </c>
    </row>
    <row r="381" spans="1:10" ht="15">
      <c r="A381" s="1">
        <v>191</v>
      </c>
      <c r="B381" t="str">
        <f ca="1">IFERROR(__xludf.DUMMYFUNCTION((TRANSPOSE(ImportHTML("http://spending.data.al/sq/moneypower/view/id/191/year/2013",  "table", 2)))),"*Kategoria*")</f>
        <v>*Kategoria*</v>
      </c>
      <c r="C381" t="s">
        <v>2589</v>
      </c>
    </row>
    <row r="382" spans="1:10" ht="15">
      <c r="A382" s="7"/>
      <c r="B382" t="s">
        <v>686</v>
      </c>
    </row>
    <row r="383" spans="1:10" ht="15">
      <c r="A383" s="1">
        <v>192</v>
      </c>
      <c r="B383" t="str">
        <f ca="1">IFERROR(__xludf.DUMMYFUNCTION((TRANSPOSE(ImportHTML("http://spending.data.al/sq/moneypower/view/id/192/year/2013",  "table", 2)))),"*Kategoria*")</f>
        <v>*Kategoria*</v>
      </c>
      <c r="D383" t="s">
        <v>719</v>
      </c>
      <c r="E383" t="s">
        <v>720</v>
      </c>
      <c r="F383" t="s">
        <v>721</v>
      </c>
      <c r="G383" t="s">
        <v>722</v>
      </c>
      <c r="H383" t="s">
        <v>723</v>
      </c>
      <c r="I383" t="s">
        <v>724</v>
      </c>
      <c r="J383" t="s">
        <v>685</v>
      </c>
    </row>
    <row r="384" spans="1:10" ht="15">
      <c r="A384" s="7"/>
      <c r="B384" t="s">
        <v>686</v>
      </c>
      <c r="D384" t="s">
        <v>2876</v>
      </c>
      <c r="E384" t="s">
        <v>2877</v>
      </c>
      <c r="F384" t="s">
        <v>2878</v>
      </c>
      <c r="G384" t="s">
        <v>688</v>
      </c>
      <c r="H384" t="s">
        <v>2879</v>
      </c>
      <c r="I384" t="s">
        <v>688</v>
      </c>
      <c r="J384" t="s">
        <v>2880</v>
      </c>
    </row>
    <row r="385" spans="1:10" ht="15">
      <c r="A385" s="1">
        <v>193</v>
      </c>
      <c r="B385" t="str">
        <f ca="1">IFERROR(__xludf.DUMMYFUNCTION((TRANSPOSE(ImportHTML("http://spending.data.al/sq/moneypower/view/id/193/year/2013",  "table", 2)))),"*Kategoria*")</f>
        <v>*Kategoria*</v>
      </c>
      <c r="C385" t="s">
        <v>2589</v>
      </c>
    </row>
    <row r="386" spans="1:10" ht="15">
      <c r="A386" s="7"/>
      <c r="B386" t="s">
        <v>686</v>
      </c>
    </row>
    <row r="387" spans="1:10" ht="15">
      <c r="A387" s="1">
        <v>194</v>
      </c>
      <c r="B387" t="str">
        <f ca="1">IFERROR(__xludf.DUMMYFUNCTION((TRANSPOSE(ImportHTML("http://spending.data.al/sq/moneypower/view/id/194/year/2013",  "table", 2)))),"*Kategoria*")</f>
        <v>*Kategoria*</v>
      </c>
      <c r="D387" t="s">
        <v>719</v>
      </c>
      <c r="E387" t="s">
        <v>720</v>
      </c>
      <c r="F387" t="s">
        <v>721</v>
      </c>
      <c r="G387" t="s">
        <v>722</v>
      </c>
      <c r="H387" t="s">
        <v>723</v>
      </c>
      <c r="I387" t="s">
        <v>724</v>
      </c>
      <c r="J387" t="s">
        <v>685</v>
      </c>
    </row>
    <row r="388" spans="1:10" ht="15">
      <c r="A388" s="7"/>
      <c r="B388" t="s">
        <v>686</v>
      </c>
      <c r="D388" t="s">
        <v>2881</v>
      </c>
      <c r="E388" t="s">
        <v>2882</v>
      </c>
      <c r="F388" t="s">
        <v>2883</v>
      </c>
      <c r="G388" t="s">
        <v>688</v>
      </c>
      <c r="H388" t="s">
        <v>688</v>
      </c>
      <c r="I388" t="s">
        <v>688</v>
      </c>
      <c r="J388" t="s">
        <v>688</v>
      </c>
    </row>
    <row r="389" spans="1:10" ht="15">
      <c r="A389" s="1">
        <v>195</v>
      </c>
      <c r="B389" t="str">
        <f ca="1">IFERROR(__xludf.DUMMYFUNCTION((TRANSPOSE(ImportHTML("http://spending.data.al/sq/moneypower/view/id/195/year/2013",  "table", 2)))),"*Kategoria*")</f>
        <v>*Kategoria*</v>
      </c>
      <c r="C389" t="s">
        <v>2589</v>
      </c>
    </row>
    <row r="390" spans="1:10" ht="15">
      <c r="A390" s="7"/>
      <c r="B390" t="s">
        <v>686</v>
      </c>
    </row>
    <row r="391" spans="1:10" ht="15">
      <c r="A391" s="1">
        <v>196</v>
      </c>
      <c r="B391" t="str">
        <f ca="1">IFERROR(__xludf.DUMMYFUNCTION((TRANSPOSE(ImportHTML("http://spending.data.al/sq/moneypower/view/id/196/year/2013",  "table", 2)))),"*Kategoria*")</f>
        <v>*Kategoria*</v>
      </c>
      <c r="D391" t="s">
        <v>719</v>
      </c>
      <c r="E391" t="s">
        <v>720</v>
      </c>
      <c r="F391" t="s">
        <v>721</v>
      </c>
      <c r="G391" t="s">
        <v>722</v>
      </c>
      <c r="H391" t="s">
        <v>723</v>
      </c>
      <c r="I391" t="s">
        <v>724</v>
      </c>
      <c r="J391" t="s">
        <v>685</v>
      </c>
    </row>
    <row r="392" spans="1:10" ht="15">
      <c r="A392" s="7"/>
      <c r="B392" t="s">
        <v>686</v>
      </c>
      <c r="D392" t="s">
        <v>2884</v>
      </c>
      <c r="E392" t="s">
        <v>2885</v>
      </c>
      <c r="F392" t="s">
        <v>2886</v>
      </c>
      <c r="G392" t="s">
        <v>688</v>
      </c>
      <c r="H392" t="s">
        <v>688</v>
      </c>
      <c r="I392" t="s">
        <v>688</v>
      </c>
      <c r="J392" t="s">
        <v>688</v>
      </c>
    </row>
    <row r="393" spans="1:10" ht="15">
      <c r="A393" s="1">
        <v>197</v>
      </c>
      <c r="B393" t="str">
        <f ca="1">IFERROR(__xludf.DUMMYFUNCTION((TRANSPOSE(ImportHTML("http://spending.data.al/sq/moneypower/view/id/197/year/2013",  "table", 2)))),"*Kategoria*")</f>
        <v>*Kategoria*</v>
      </c>
      <c r="C393" t="s">
        <v>2589</v>
      </c>
    </row>
    <row r="394" spans="1:10" ht="15">
      <c r="A394" s="7"/>
      <c r="B394" t="s">
        <v>686</v>
      </c>
    </row>
    <row r="395" spans="1:10" ht="15">
      <c r="A395" s="1">
        <v>198</v>
      </c>
      <c r="B395" t="str">
        <f ca="1">IFERROR(__xludf.DUMMYFUNCTION((TRANSPOSE(ImportHTML("http://spending.data.al/sq/moneypower/view/id/198/year/2013",  "table", 2)))),"*Kategoria*")</f>
        <v>*Kategoria*</v>
      </c>
      <c r="D395" t="s">
        <v>719</v>
      </c>
      <c r="E395" t="s">
        <v>720</v>
      </c>
      <c r="F395" t="s">
        <v>721</v>
      </c>
      <c r="G395" t="s">
        <v>722</v>
      </c>
      <c r="H395" t="s">
        <v>723</v>
      </c>
      <c r="I395" t="s">
        <v>724</v>
      </c>
      <c r="J395" t="s">
        <v>685</v>
      </c>
    </row>
    <row r="396" spans="1:10" ht="15">
      <c r="A396" s="7"/>
      <c r="B396" t="s">
        <v>686</v>
      </c>
      <c r="D396" t="s">
        <v>688</v>
      </c>
      <c r="E396" t="s">
        <v>2887</v>
      </c>
      <c r="F396" t="s">
        <v>2888</v>
      </c>
      <c r="G396" t="s">
        <v>688</v>
      </c>
      <c r="H396" t="s">
        <v>688</v>
      </c>
      <c r="I396" t="s">
        <v>688</v>
      </c>
      <c r="J396" t="s">
        <v>688</v>
      </c>
    </row>
    <row r="397" spans="1:10" ht="15">
      <c r="A397" s="1">
        <v>199</v>
      </c>
      <c r="B397" t="str">
        <f ca="1">IFERROR(__xludf.DUMMYFUNCTION((TRANSPOSE(ImportHTML("http://spending.data.al/sq/moneypower/view/id/199/year/2013",  "table", 2)))),"*Kategoria*")</f>
        <v>*Kategoria*</v>
      </c>
      <c r="D397" t="s">
        <v>719</v>
      </c>
      <c r="E397" t="s">
        <v>720</v>
      </c>
      <c r="F397" t="s">
        <v>721</v>
      </c>
      <c r="G397" t="s">
        <v>722</v>
      </c>
      <c r="H397" t="s">
        <v>723</v>
      </c>
      <c r="I397" t="s">
        <v>724</v>
      </c>
      <c r="J397" t="s">
        <v>685</v>
      </c>
    </row>
    <row r="398" spans="1:10" ht="15">
      <c r="A398" s="7"/>
      <c r="B398" t="s">
        <v>686</v>
      </c>
      <c r="D398" t="s">
        <v>2889</v>
      </c>
      <c r="E398" t="s">
        <v>2890</v>
      </c>
      <c r="F398" t="s">
        <v>2891</v>
      </c>
      <c r="G398" t="s">
        <v>688</v>
      </c>
      <c r="H398" t="s">
        <v>688</v>
      </c>
      <c r="I398" t="s">
        <v>688</v>
      </c>
    </row>
    <row r="399" spans="1:10" ht="15">
      <c r="A399" s="1">
        <v>200</v>
      </c>
      <c r="B399" t="str">
        <f ca="1">IFERROR(__xludf.DUMMYFUNCTION((TRANSPOSE(ImportHTML("http://spending.data.al/sq/moneypower/view/id/200/year/2013",  "table", 2)))),"*Kategoria*")</f>
        <v>*Kategoria*</v>
      </c>
      <c r="D399" t="s">
        <v>719</v>
      </c>
      <c r="E399" t="s">
        <v>720</v>
      </c>
      <c r="F399" t="s">
        <v>721</v>
      </c>
      <c r="G399" t="s">
        <v>722</v>
      </c>
      <c r="H399" t="s">
        <v>723</v>
      </c>
      <c r="I399" t="s">
        <v>724</v>
      </c>
      <c r="J399" t="s">
        <v>685</v>
      </c>
    </row>
    <row r="400" spans="1:10" ht="15">
      <c r="A400" s="7"/>
      <c r="B400" t="s">
        <v>686</v>
      </c>
      <c r="D400" t="s">
        <v>2892</v>
      </c>
      <c r="E400" t="s">
        <v>2893</v>
      </c>
      <c r="F400" t="s">
        <v>2894</v>
      </c>
      <c r="G400" t="s">
        <v>688</v>
      </c>
      <c r="H400" t="s">
        <v>688</v>
      </c>
      <c r="I400" t="s">
        <v>688</v>
      </c>
      <c r="J400" t="s">
        <v>688</v>
      </c>
    </row>
    <row r="401" spans="1:10" ht="15">
      <c r="A401" s="1">
        <v>201</v>
      </c>
      <c r="B401" t="str">
        <f ca="1">IFERROR(__xludf.DUMMYFUNCTION((TRANSPOSE(ImportHTML("http://spending.data.al/sq/moneypower/view/id/201/year/2013",  "table", 2)))),"*Kategoria*")</f>
        <v>*Kategoria*</v>
      </c>
      <c r="C401" t="s">
        <v>2589</v>
      </c>
    </row>
    <row r="402" spans="1:10" ht="15">
      <c r="A402" s="7"/>
      <c r="B402" t="s">
        <v>686</v>
      </c>
    </row>
    <row r="403" spans="1:10" ht="15">
      <c r="A403" s="1">
        <v>202</v>
      </c>
      <c r="B403" t="str">
        <f ca="1">IFERROR(__xludf.DUMMYFUNCTION((TRANSPOSE(ImportHTML("http://spending.data.al/sq/moneypower/view/id/202/year/2013",  "table", 2)))),"*Kategoria*")</f>
        <v>*Kategoria*</v>
      </c>
      <c r="C403" t="s">
        <v>2589</v>
      </c>
    </row>
    <row r="404" spans="1:10" ht="15">
      <c r="A404" s="7"/>
      <c r="B404" t="s">
        <v>686</v>
      </c>
    </row>
    <row r="405" spans="1:10" ht="15">
      <c r="A405" s="1">
        <v>203</v>
      </c>
      <c r="B405" t="str">
        <f ca="1">IFERROR(__xludf.DUMMYFUNCTION((TRANSPOSE(ImportHTML("http://spending.data.al/sq/moneypower/view/id/203/year/2013",  "table", 2)))),"*Kategoria*")</f>
        <v>*Kategoria*</v>
      </c>
      <c r="D405" t="s">
        <v>719</v>
      </c>
      <c r="E405" t="s">
        <v>720</v>
      </c>
      <c r="F405" t="s">
        <v>721</v>
      </c>
      <c r="G405" t="s">
        <v>722</v>
      </c>
      <c r="H405" t="s">
        <v>723</v>
      </c>
      <c r="I405" t="s">
        <v>724</v>
      </c>
      <c r="J405" t="s">
        <v>685</v>
      </c>
    </row>
    <row r="406" spans="1:10" ht="15">
      <c r="A406" s="7"/>
      <c r="B406" t="s">
        <v>686</v>
      </c>
      <c r="D406" t="s">
        <v>2895</v>
      </c>
      <c r="E406" t="s">
        <v>2896</v>
      </c>
      <c r="F406" t="s">
        <v>2897</v>
      </c>
      <c r="G406" t="s">
        <v>688</v>
      </c>
      <c r="H406" t="s">
        <v>2898</v>
      </c>
      <c r="I406" t="s">
        <v>688</v>
      </c>
      <c r="J406" t="s">
        <v>688</v>
      </c>
    </row>
    <row r="407" spans="1:10" ht="15">
      <c r="A407" s="1">
        <v>204</v>
      </c>
      <c r="B407" t="str">
        <f ca="1">IFERROR(__xludf.DUMMYFUNCTION((TRANSPOSE(ImportHTML("http://spending.data.al/sq/moneypower/view/id/204/year/2013",  "table", 2)))),"*Kategoria*")</f>
        <v>*Kategoria*</v>
      </c>
      <c r="C407" t="s">
        <v>2589</v>
      </c>
    </row>
    <row r="408" spans="1:10" ht="15">
      <c r="A408" s="7"/>
      <c r="B408" t="s">
        <v>686</v>
      </c>
    </row>
    <row r="409" spans="1:10" ht="15">
      <c r="A409" s="1">
        <v>205</v>
      </c>
      <c r="B409" t="str">
        <f ca="1">IFERROR(__xludf.DUMMYFUNCTION((TRANSPOSE(ImportHTML("http://spending.data.al/sq/moneypower/view/id/205/year/2013",  "table", 2)))),"*Kategoria*")</f>
        <v>*Kategoria*</v>
      </c>
      <c r="D409" t="s">
        <v>719</v>
      </c>
      <c r="E409" t="s">
        <v>720</v>
      </c>
      <c r="F409" t="s">
        <v>721</v>
      </c>
      <c r="G409" t="s">
        <v>722</v>
      </c>
      <c r="H409" t="s">
        <v>723</v>
      </c>
      <c r="I409" t="s">
        <v>724</v>
      </c>
      <c r="J409" t="s">
        <v>685</v>
      </c>
    </row>
    <row r="410" spans="1:10" ht="15">
      <c r="A410" s="7"/>
      <c r="B410" t="s">
        <v>686</v>
      </c>
      <c r="D410" t="s">
        <v>2899</v>
      </c>
      <c r="E410" t="s">
        <v>2900</v>
      </c>
      <c r="F410" t="s">
        <v>2901</v>
      </c>
      <c r="G410" t="s">
        <v>2601</v>
      </c>
      <c r="H410" t="s">
        <v>2601</v>
      </c>
      <c r="I410" t="s">
        <v>2601</v>
      </c>
      <c r="J410" t="s">
        <v>707</v>
      </c>
    </row>
    <row r="411" spans="1:10" ht="15">
      <c r="A411" s="1">
        <v>206</v>
      </c>
      <c r="B411" t="str">
        <f ca="1">IFERROR(__xludf.DUMMYFUNCTION((TRANSPOSE(ImportHTML("http://spending.data.al/sq/moneypower/view/id/206/year/2013",  "table", 2)))),"*Kategoria*")</f>
        <v>*Kategoria*</v>
      </c>
      <c r="C411" t="s">
        <v>2589</v>
      </c>
    </row>
    <row r="412" spans="1:10" ht="15">
      <c r="A412" s="7"/>
      <c r="B412" t="s">
        <v>686</v>
      </c>
    </row>
    <row r="413" spans="1:10" ht="15">
      <c r="A413" s="1">
        <v>207</v>
      </c>
      <c r="B413" t="str">
        <f ca="1">IFERROR(__xludf.DUMMYFUNCTION((TRANSPOSE(ImportHTML("http://spending.data.al/sq/moneypower/view/id/207/year/2013",  "table", 2)))),"*Kategoria*")</f>
        <v>*Kategoria*</v>
      </c>
      <c r="C413" t="s">
        <v>2589</v>
      </c>
    </row>
    <row r="414" spans="1:10" ht="15">
      <c r="A414" s="7"/>
      <c r="B414" t="s">
        <v>686</v>
      </c>
    </row>
    <row r="415" spans="1:10" ht="15">
      <c r="A415" s="1">
        <v>208</v>
      </c>
      <c r="B415" t="str">
        <f ca="1">IFERROR(__xludf.DUMMYFUNCTION((TRANSPOSE(ImportHTML("http://spending.data.al/sq/moneypower/view/id/208/year/2013",  "table", 2)))),"*Kategoria*")</f>
        <v>*Kategoria*</v>
      </c>
      <c r="D415" t="s">
        <v>719</v>
      </c>
      <c r="E415" t="s">
        <v>720</v>
      </c>
      <c r="F415" t="s">
        <v>721</v>
      </c>
      <c r="G415" t="s">
        <v>722</v>
      </c>
      <c r="H415" t="s">
        <v>723</v>
      </c>
      <c r="I415" t="s">
        <v>724</v>
      </c>
      <c r="J415" t="s">
        <v>685</v>
      </c>
    </row>
    <row r="416" spans="1:10" ht="15">
      <c r="A416" s="7"/>
      <c r="B416" t="s">
        <v>686</v>
      </c>
      <c r="D416" t="s">
        <v>2902</v>
      </c>
      <c r="E416" t="s">
        <v>2903</v>
      </c>
      <c r="F416" t="s">
        <v>2601</v>
      </c>
      <c r="G416" t="s">
        <v>2904</v>
      </c>
      <c r="H416" t="s">
        <v>2905</v>
      </c>
      <c r="I416" t="s">
        <v>2601</v>
      </c>
      <c r="J416" t="s">
        <v>707</v>
      </c>
    </row>
    <row r="417" spans="1:10" ht="15">
      <c r="A417" s="1">
        <v>209</v>
      </c>
      <c r="B417" t="str">
        <f ca="1">IFERROR(__xludf.DUMMYFUNCTION((TRANSPOSE(ImportHTML("http://spending.data.al/sq/moneypower/view/id/209/year/2013",  "table", 2)))),"*Kategoria*")</f>
        <v>*Kategoria*</v>
      </c>
      <c r="C417" t="s">
        <v>2589</v>
      </c>
    </row>
    <row r="418" spans="1:10" ht="15">
      <c r="A418" s="7"/>
      <c r="B418" t="s">
        <v>686</v>
      </c>
    </row>
    <row r="419" spans="1:10" ht="15">
      <c r="A419" s="1">
        <v>210</v>
      </c>
      <c r="B419" t="str">
        <f ca="1">IFERROR(__xludf.DUMMYFUNCTION((TRANSPOSE(ImportHTML("http://spending.data.al/sq/moneypower/view/id/210/year/2013",  "table", 2)))),"*Kategoria*")</f>
        <v>*Kategoria*</v>
      </c>
      <c r="C419" t="s">
        <v>2589</v>
      </c>
    </row>
    <row r="420" spans="1:10" ht="15">
      <c r="A420" s="7"/>
      <c r="B420" t="s">
        <v>686</v>
      </c>
    </row>
    <row r="421" spans="1:10" ht="15">
      <c r="A421" s="1">
        <v>211</v>
      </c>
      <c r="B421" t="str">
        <f ca="1">IFERROR(__xludf.DUMMYFUNCTION((TRANSPOSE(ImportHTML("http://spending.data.al/sq/moneypower/view/id/211/year/2013",  "table", 2)))),"*Kategoria*")</f>
        <v>*Kategoria*</v>
      </c>
      <c r="C421" t="s">
        <v>2589</v>
      </c>
    </row>
    <row r="422" spans="1:10" ht="15">
      <c r="A422" s="7"/>
      <c r="B422" t="s">
        <v>686</v>
      </c>
    </row>
    <row r="423" spans="1:10" ht="15">
      <c r="A423" s="1">
        <v>212</v>
      </c>
      <c r="B423" t="str">
        <f ca="1">IFERROR(__xludf.DUMMYFUNCTION((TRANSPOSE(ImportHTML("http://spending.data.al/sq/moneypower/view/id/212/year/2013",  "table", 2)))),"*Kategoria*")</f>
        <v>*Kategoria*</v>
      </c>
      <c r="D423" t="s">
        <v>719</v>
      </c>
      <c r="E423" t="s">
        <v>720</v>
      </c>
      <c r="F423" t="s">
        <v>721</v>
      </c>
      <c r="G423" t="s">
        <v>722</v>
      </c>
      <c r="H423" t="s">
        <v>723</v>
      </c>
      <c r="I423" t="s">
        <v>724</v>
      </c>
      <c r="J423" t="s">
        <v>685</v>
      </c>
    </row>
    <row r="424" spans="1:10" ht="15">
      <c r="A424" s="7"/>
      <c r="B424" t="s">
        <v>686</v>
      </c>
      <c r="D424" t="s">
        <v>2906</v>
      </c>
      <c r="E424" t="s">
        <v>2907</v>
      </c>
      <c r="F424" t="s">
        <v>2908</v>
      </c>
      <c r="G424" t="s">
        <v>688</v>
      </c>
      <c r="H424" t="s">
        <v>688</v>
      </c>
      <c r="I424" t="s">
        <v>688</v>
      </c>
      <c r="J424" t="s">
        <v>688</v>
      </c>
    </row>
    <row r="425" spans="1:10" ht="15">
      <c r="A425" s="1">
        <v>213</v>
      </c>
      <c r="B425" t="str">
        <f ca="1">IFERROR(__xludf.DUMMYFUNCTION((TRANSPOSE(ImportHTML("http://spending.data.al/sq/moneypower/view/id/213/year/2013",  "table", 2)))),"*Kategoria*")</f>
        <v>*Kategoria*</v>
      </c>
      <c r="D425" t="s">
        <v>719</v>
      </c>
      <c r="E425" t="s">
        <v>720</v>
      </c>
      <c r="F425" t="s">
        <v>721</v>
      </c>
      <c r="G425" t="s">
        <v>722</v>
      </c>
      <c r="H425" t="s">
        <v>723</v>
      </c>
      <c r="I425" t="s">
        <v>724</v>
      </c>
      <c r="J425" t="s">
        <v>685</v>
      </c>
    </row>
    <row r="426" spans="1:10" ht="15">
      <c r="A426" s="7"/>
      <c r="B426" t="s">
        <v>686</v>
      </c>
      <c r="D426" t="s">
        <v>2909</v>
      </c>
      <c r="E426" t="s">
        <v>2601</v>
      </c>
      <c r="F426" t="s">
        <v>2601</v>
      </c>
      <c r="G426" t="s">
        <v>2601</v>
      </c>
      <c r="H426" t="s">
        <v>2601</v>
      </c>
      <c r="I426" t="s">
        <v>2601</v>
      </c>
      <c r="J426" t="s">
        <v>707</v>
      </c>
    </row>
    <row r="427" spans="1:10" ht="15">
      <c r="A427" s="1">
        <v>214</v>
      </c>
      <c r="B427" t="str">
        <f ca="1">IFERROR(__xludf.DUMMYFUNCTION((TRANSPOSE(ImportHTML("http://spending.data.al/sq/moneypower/view/id/214/year/2013",  "table", 2)))),"*Kategoria*")</f>
        <v>*Kategoria*</v>
      </c>
      <c r="D427" t="s">
        <v>719</v>
      </c>
      <c r="E427" t="s">
        <v>720</v>
      </c>
      <c r="F427" t="s">
        <v>721</v>
      </c>
      <c r="G427" t="s">
        <v>722</v>
      </c>
      <c r="H427" t="s">
        <v>723</v>
      </c>
      <c r="I427" t="s">
        <v>724</v>
      </c>
      <c r="J427" t="s">
        <v>685</v>
      </c>
    </row>
    <row r="428" spans="1:10" ht="15">
      <c r="A428" s="7"/>
      <c r="B428" t="s">
        <v>686</v>
      </c>
      <c r="D428" t="s">
        <v>2910</v>
      </c>
      <c r="E428" t="s">
        <v>2911</v>
      </c>
      <c r="F428" t="s">
        <v>2912</v>
      </c>
      <c r="G428" t="s">
        <v>727</v>
      </c>
      <c r="H428" t="s">
        <v>727</v>
      </c>
      <c r="I428" t="s">
        <v>727</v>
      </c>
      <c r="J428" t="s">
        <v>2913</v>
      </c>
    </row>
    <row r="429" spans="1:10" ht="15">
      <c r="A429" s="1">
        <v>215</v>
      </c>
      <c r="B429" t="str">
        <f ca="1">IFERROR(__xludf.DUMMYFUNCTION((TRANSPOSE(ImportHTML("http://spending.data.al/sq/moneypower/view/id/215/year/2013",  "table", 2)))),"*Kategoria*")</f>
        <v>*Kategoria*</v>
      </c>
      <c r="D429" t="s">
        <v>719</v>
      </c>
      <c r="E429" t="s">
        <v>720</v>
      </c>
      <c r="F429" t="s">
        <v>721</v>
      </c>
      <c r="G429" t="s">
        <v>722</v>
      </c>
      <c r="H429" t="s">
        <v>723</v>
      </c>
      <c r="I429" t="s">
        <v>724</v>
      </c>
      <c r="J429" t="s">
        <v>685</v>
      </c>
    </row>
    <row r="430" spans="1:10" ht="15">
      <c r="A430" s="7"/>
      <c r="B430" t="s">
        <v>686</v>
      </c>
      <c r="D430" t="s">
        <v>2914</v>
      </c>
      <c r="E430" t="s">
        <v>2915</v>
      </c>
      <c r="F430" t="s">
        <v>2601</v>
      </c>
      <c r="G430" t="s">
        <v>727</v>
      </c>
      <c r="H430" t="s">
        <v>727</v>
      </c>
      <c r="I430" t="s">
        <v>727</v>
      </c>
      <c r="J430" t="s">
        <v>2916</v>
      </c>
    </row>
    <row r="431" spans="1:10" ht="15">
      <c r="A431" s="1">
        <v>216</v>
      </c>
      <c r="B431" t="str">
        <f ca="1">IFERROR(__xludf.DUMMYFUNCTION((TRANSPOSE(ImportHTML("http://spending.data.al/sq/moneypower/view/id/216/year/2013",  "table", 2)))),"*Kategoria*")</f>
        <v>*Kategoria*</v>
      </c>
      <c r="D431" t="s">
        <v>719</v>
      </c>
      <c r="E431" t="s">
        <v>720</v>
      </c>
      <c r="F431" t="s">
        <v>721</v>
      </c>
      <c r="G431" t="s">
        <v>722</v>
      </c>
      <c r="H431" t="s">
        <v>723</v>
      </c>
      <c r="I431" t="s">
        <v>724</v>
      </c>
      <c r="J431" t="s">
        <v>685</v>
      </c>
    </row>
    <row r="432" spans="1:10" ht="15">
      <c r="A432" s="7"/>
      <c r="B432" t="s">
        <v>686</v>
      </c>
      <c r="D432" t="s">
        <v>2917</v>
      </c>
      <c r="E432" t="s">
        <v>727</v>
      </c>
      <c r="F432" t="s">
        <v>727</v>
      </c>
      <c r="G432" t="s">
        <v>727</v>
      </c>
      <c r="H432" t="s">
        <v>727</v>
      </c>
      <c r="I432" t="s">
        <v>727</v>
      </c>
      <c r="J432" t="s">
        <v>707</v>
      </c>
    </row>
    <row r="433" spans="1:10" ht="15">
      <c r="A433" s="1">
        <v>217</v>
      </c>
      <c r="B433" t="str">
        <f ca="1">IFERROR(__xludf.DUMMYFUNCTION((TRANSPOSE(ImportHTML("http://spending.data.al/sq/moneypower/view/id/217/year/2013",  "table", 2)))),"*Kategoria*")</f>
        <v>*Kategoria*</v>
      </c>
      <c r="D433" t="s">
        <v>719</v>
      </c>
      <c r="E433" t="s">
        <v>720</v>
      </c>
      <c r="F433" t="s">
        <v>721</v>
      </c>
      <c r="G433" t="s">
        <v>722</v>
      </c>
      <c r="H433" t="s">
        <v>723</v>
      </c>
      <c r="I433" t="s">
        <v>724</v>
      </c>
      <c r="J433" t="s">
        <v>685</v>
      </c>
    </row>
    <row r="434" spans="1:10" ht="15">
      <c r="A434" s="7"/>
      <c r="B434" t="s">
        <v>686</v>
      </c>
      <c r="D434" t="s">
        <v>2918</v>
      </c>
      <c r="E434" t="s">
        <v>727</v>
      </c>
      <c r="F434" t="s">
        <v>727</v>
      </c>
      <c r="G434" t="s">
        <v>727</v>
      </c>
      <c r="H434" t="s">
        <v>2601</v>
      </c>
      <c r="I434" t="s">
        <v>2601</v>
      </c>
      <c r="J434" t="s">
        <v>727</v>
      </c>
    </row>
    <row r="435" spans="1:10" ht="15">
      <c r="A435" s="1">
        <v>218</v>
      </c>
      <c r="B435" t="str">
        <f ca="1">IFERROR(__xludf.DUMMYFUNCTION((TRANSPOSE(ImportHTML("http://spending.data.al/sq/moneypower/view/id/218/year/2013",  "table", 2)))),"*Kategoria*")</f>
        <v>*Kategoria*</v>
      </c>
      <c r="D435" t="s">
        <v>719</v>
      </c>
      <c r="E435" t="s">
        <v>720</v>
      </c>
      <c r="F435" t="s">
        <v>721</v>
      </c>
      <c r="G435" t="s">
        <v>722</v>
      </c>
      <c r="H435" t="s">
        <v>723</v>
      </c>
      <c r="I435" t="s">
        <v>724</v>
      </c>
      <c r="J435" t="s">
        <v>685</v>
      </c>
    </row>
    <row r="436" spans="1:10" ht="15">
      <c r="A436" s="7"/>
      <c r="B436" t="s">
        <v>686</v>
      </c>
      <c r="D436" t="s">
        <v>2919</v>
      </c>
      <c r="E436" t="s">
        <v>727</v>
      </c>
      <c r="F436" t="s">
        <v>2920</v>
      </c>
      <c r="G436" t="s">
        <v>727</v>
      </c>
      <c r="H436" t="s">
        <v>2921</v>
      </c>
      <c r="I436" t="s">
        <v>727</v>
      </c>
      <c r="J436" t="s">
        <v>727</v>
      </c>
    </row>
    <row r="437" spans="1:10" ht="15">
      <c r="A437" s="1">
        <v>219</v>
      </c>
      <c r="B437" t="str">
        <f ca="1">IFERROR(__xludf.DUMMYFUNCTION((TRANSPOSE(ImportHTML("http://spending.data.al/sq/moneypower/view/id/219/year/2013",  "table", 2)))),"*Kategoria*")</f>
        <v>*Kategoria*</v>
      </c>
      <c r="D437" t="s">
        <v>719</v>
      </c>
      <c r="E437" t="s">
        <v>720</v>
      </c>
      <c r="F437" t="s">
        <v>721</v>
      </c>
      <c r="G437" t="s">
        <v>722</v>
      </c>
      <c r="H437" t="s">
        <v>723</v>
      </c>
      <c r="I437" t="s">
        <v>724</v>
      </c>
      <c r="J437" t="s">
        <v>685</v>
      </c>
    </row>
    <row r="438" spans="1:10" ht="15">
      <c r="A438" s="7"/>
      <c r="B438" t="s">
        <v>686</v>
      </c>
      <c r="D438" t="s">
        <v>2922</v>
      </c>
      <c r="E438" t="s">
        <v>2923</v>
      </c>
      <c r="F438" t="s">
        <v>2924</v>
      </c>
      <c r="G438" t="s">
        <v>2601</v>
      </c>
      <c r="H438" t="s">
        <v>2601</v>
      </c>
      <c r="I438" t="s">
        <v>2601</v>
      </c>
      <c r="J438" t="s">
        <v>2601</v>
      </c>
    </row>
    <row r="439" spans="1:10" ht="15">
      <c r="A439" s="1">
        <v>220</v>
      </c>
      <c r="B439" t="str">
        <f ca="1">IFERROR(__xludf.DUMMYFUNCTION((TRANSPOSE(ImportHTML("http://spending.data.al/sq/moneypower/view/id/220/year/2013",  "table", 2)))),"*Kategoria*")</f>
        <v>*Kategoria*</v>
      </c>
      <c r="D439" t="s">
        <v>719</v>
      </c>
      <c r="E439" t="s">
        <v>720</v>
      </c>
      <c r="F439" t="s">
        <v>721</v>
      </c>
      <c r="G439" t="s">
        <v>722</v>
      </c>
      <c r="H439" t="s">
        <v>723</v>
      </c>
      <c r="I439" t="s">
        <v>724</v>
      </c>
      <c r="J439" t="s">
        <v>685</v>
      </c>
    </row>
    <row r="440" spans="1:10" ht="15">
      <c r="A440" s="7"/>
      <c r="B440" t="s">
        <v>686</v>
      </c>
      <c r="D440" t="s">
        <v>2925</v>
      </c>
      <c r="E440" t="s">
        <v>2926</v>
      </c>
      <c r="F440" t="s">
        <v>2927</v>
      </c>
      <c r="G440" t="s">
        <v>727</v>
      </c>
      <c r="H440" t="s">
        <v>727</v>
      </c>
      <c r="I440" t="s">
        <v>727</v>
      </c>
      <c r="J440" t="s">
        <v>2928</v>
      </c>
    </row>
    <row r="441" spans="1:10" ht="15">
      <c r="A441" s="1">
        <v>221</v>
      </c>
      <c r="B441" t="str">
        <f ca="1">IFERROR(__xludf.DUMMYFUNCTION((TRANSPOSE(ImportHTML("http://spending.data.al/sq/moneypower/view/id/221/year/2013",  "table", 2)))),"*Kategoria*")</f>
        <v>*Kategoria*</v>
      </c>
      <c r="D441" t="s">
        <v>719</v>
      </c>
      <c r="E441" t="s">
        <v>720</v>
      </c>
      <c r="F441" t="s">
        <v>721</v>
      </c>
      <c r="G441" t="s">
        <v>722</v>
      </c>
      <c r="H441" t="s">
        <v>723</v>
      </c>
      <c r="I441" t="s">
        <v>724</v>
      </c>
      <c r="J441" t="s">
        <v>685</v>
      </c>
    </row>
    <row r="442" spans="1:10" ht="15">
      <c r="A442" s="7"/>
      <c r="B442" t="s">
        <v>686</v>
      </c>
      <c r="D442" t="s">
        <v>2929</v>
      </c>
      <c r="E442" t="s">
        <v>2601</v>
      </c>
      <c r="F442" t="s">
        <v>2930</v>
      </c>
      <c r="G442" t="s">
        <v>2601</v>
      </c>
      <c r="H442" t="s">
        <v>2601</v>
      </c>
      <c r="I442" t="s">
        <v>2601</v>
      </c>
      <c r="J442" t="s">
        <v>2601</v>
      </c>
    </row>
    <row r="443" spans="1:10" ht="15">
      <c r="A443" s="1">
        <v>222</v>
      </c>
      <c r="B443" t="str">
        <f ca="1">IFERROR(__xludf.DUMMYFUNCTION((TRANSPOSE(ImportHTML("http://spending.data.al/sq/moneypower/view/id/222/year/2013",  "table", 2)))),"*Kategoria*")</f>
        <v>*Kategoria*</v>
      </c>
      <c r="C443" t="s">
        <v>2589</v>
      </c>
    </row>
    <row r="444" spans="1:10" ht="15">
      <c r="A444" s="7"/>
      <c r="B444" t="s">
        <v>686</v>
      </c>
    </row>
    <row r="445" spans="1:10" ht="15">
      <c r="A445" s="1">
        <v>223</v>
      </c>
      <c r="B445" t="str">
        <f ca="1">IFERROR(__xludf.DUMMYFUNCTION((TRANSPOSE(ImportHTML("http://spending.data.al/sq/moneypower/view/id/223/year/2013",  "table", 2)))),"*Kategoria*")</f>
        <v>*Kategoria*</v>
      </c>
      <c r="D445" t="s">
        <v>719</v>
      </c>
      <c r="E445" t="s">
        <v>720</v>
      </c>
      <c r="F445" t="s">
        <v>721</v>
      </c>
      <c r="G445" t="s">
        <v>722</v>
      </c>
      <c r="H445" t="s">
        <v>723</v>
      </c>
      <c r="I445" t="s">
        <v>724</v>
      </c>
      <c r="J445" t="s">
        <v>685</v>
      </c>
    </row>
    <row r="446" spans="1:10" ht="15">
      <c r="A446" s="7"/>
      <c r="B446" t="s">
        <v>686</v>
      </c>
      <c r="D446" t="s">
        <v>2931</v>
      </c>
      <c r="E446" t="s">
        <v>2932</v>
      </c>
      <c r="F446" t="s">
        <v>2601</v>
      </c>
      <c r="G446" t="s">
        <v>2601</v>
      </c>
      <c r="H446" t="s">
        <v>2601</v>
      </c>
      <c r="I446" t="s">
        <v>2601</v>
      </c>
      <c r="J446" t="s">
        <v>2601</v>
      </c>
    </row>
    <row r="447" spans="1:10" ht="15">
      <c r="A447" s="1">
        <v>224</v>
      </c>
      <c r="B447" t="str">
        <f ca="1">IFERROR(__xludf.DUMMYFUNCTION((TRANSPOSE(ImportHTML("http://spending.data.al/sq/moneypower/view/id/224/year/2013",  "table", 2)))),"*Kategoria*")</f>
        <v>*Kategoria*</v>
      </c>
      <c r="D447" t="s">
        <v>719</v>
      </c>
      <c r="E447" t="s">
        <v>720</v>
      </c>
      <c r="F447" t="s">
        <v>721</v>
      </c>
      <c r="G447" t="s">
        <v>722</v>
      </c>
      <c r="H447" t="s">
        <v>723</v>
      </c>
      <c r="I447" t="s">
        <v>724</v>
      </c>
      <c r="J447" t="s">
        <v>685</v>
      </c>
    </row>
    <row r="448" spans="1:10" ht="15">
      <c r="A448" s="7"/>
      <c r="B448" t="s">
        <v>686</v>
      </c>
      <c r="D448" t="s">
        <v>2933</v>
      </c>
      <c r="E448" t="s">
        <v>2934</v>
      </c>
      <c r="F448" t="s">
        <v>2935</v>
      </c>
      <c r="G448" t="s">
        <v>727</v>
      </c>
      <c r="H448" t="s">
        <v>2936</v>
      </c>
      <c r="I448" t="s">
        <v>727</v>
      </c>
      <c r="J448" t="s">
        <v>2937</v>
      </c>
    </row>
    <row r="449" spans="1:10" ht="15">
      <c r="A449" s="1">
        <v>225</v>
      </c>
      <c r="B449" t="str">
        <f ca="1">IFERROR(__xludf.DUMMYFUNCTION((TRANSPOSE(ImportHTML("http://spending.data.al/sq/moneypower/view/id/225/year/2013",  "table", 2)))),"*Kategoria*")</f>
        <v>*Kategoria*</v>
      </c>
      <c r="D449" t="s">
        <v>719</v>
      </c>
      <c r="E449" t="s">
        <v>720</v>
      </c>
      <c r="F449" t="s">
        <v>721</v>
      </c>
      <c r="G449" t="s">
        <v>722</v>
      </c>
      <c r="H449" t="s">
        <v>723</v>
      </c>
      <c r="I449" t="s">
        <v>724</v>
      </c>
      <c r="J449" t="s">
        <v>685</v>
      </c>
    </row>
    <row r="450" spans="1:10" ht="15">
      <c r="A450" s="7"/>
      <c r="B450" t="s">
        <v>686</v>
      </c>
      <c r="D450" t="s">
        <v>2938</v>
      </c>
      <c r="E450" t="s">
        <v>2939</v>
      </c>
      <c r="F450" t="s">
        <v>2940</v>
      </c>
      <c r="G450" t="s">
        <v>727</v>
      </c>
      <c r="H450" t="s">
        <v>727</v>
      </c>
      <c r="I450" t="s">
        <v>727</v>
      </c>
      <c r="J450" t="s">
        <v>727</v>
      </c>
    </row>
    <row r="451" spans="1:10" ht="15">
      <c r="A451" s="1">
        <v>226</v>
      </c>
      <c r="B451" t="str">
        <f ca="1">IFERROR(__xludf.DUMMYFUNCTION((TRANSPOSE(ImportHTML("http://spending.data.al/sq/moneypower/view/id/226/year/2013",  "table", 2)))),"*Kategoria*")</f>
        <v>*Kategoria*</v>
      </c>
      <c r="D451" t="s">
        <v>719</v>
      </c>
      <c r="E451" t="s">
        <v>720</v>
      </c>
      <c r="F451" t="s">
        <v>721</v>
      </c>
      <c r="G451" t="s">
        <v>722</v>
      </c>
      <c r="H451" t="s">
        <v>723</v>
      </c>
      <c r="I451" t="s">
        <v>724</v>
      </c>
      <c r="J451" t="s">
        <v>685</v>
      </c>
    </row>
    <row r="452" spans="1:10" ht="15">
      <c r="A452" s="7"/>
      <c r="B452" t="s">
        <v>686</v>
      </c>
      <c r="D452" t="s">
        <v>2941</v>
      </c>
      <c r="E452" t="s">
        <v>2942</v>
      </c>
      <c r="F452" t="s">
        <v>2943</v>
      </c>
      <c r="G452" t="s">
        <v>727</v>
      </c>
      <c r="H452" t="s">
        <v>727</v>
      </c>
      <c r="I452" t="s">
        <v>2944</v>
      </c>
      <c r="J452" t="s">
        <v>727</v>
      </c>
    </row>
    <row r="453" spans="1:10" ht="15">
      <c r="A453" s="1">
        <v>227</v>
      </c>
      <c r="B453" t="str">
        <f ca="1">IFERROR(__xludf.DUMMYFUNCTION((TRANSPOSE(ImportHTML("http://spending.data.al/sq/moneypower/view/id/227/year/2013",  "table", 2)))),"*Kategoria*")</f>
        <v>*Kategoria*</v>
      </c>
      <c r="D453" t="s">
        <v>719</v>
      </c>
      <c r="E453" t="s">
        <v>720</v>
      </c>
      <c r="F453" t="s">
        <v>721</v>
      </c>
      <c r="G453" t="s">
        <v>722</v>
      </c>
      <c r="H453" t="s">
        <v>723</v>
      </c>
      <c r="I453" t="s">
        <v>724</v>
      </c>
      <c r="J453" t="s">
        <v>685</v>
      </c>
    </row>
    <row r="454" spans="1:10" ht="15">
      <c r="A454" s="7"/>
      <c r="B454" t="s">
        <v>686</v>
      </c>
      <c r="D454" t="s">
        <v>2945</v>
      </c>
      <c r="E454" t="s">
        <v>727</v>
      </c>
      <c r="F454" t="s">
        <v>2946</v>
      </c>
      <c r="G454" t="s">
        <v>727</v>
      </c>
      <c r="H454" t="s">
        <v>727</v>
      </c>
      <c r="I454" t="s">
        <v>727</v>
      </c>
      <c r="J454" t="s">
        <v>727</v>
      </c>
    </row>
    <row r="455" spans="1:10" ht="15">
      <c r="A455" s="1">
        <v>228</v>
      </c>
      <c r="B455" t="str">
        <f ca="1">IFERROR(__xludf.DUMMYFUNCTION((TRANSPOSE(ImportHTML("http://spending.data.al/sq/moneypower/view/id/228/year/2013",  "table", 2)))),"*Kategoria*")</f>
        <v>*Kategoria*</v>
      </c>
      <c r="D455" t="s">
        <v>719</v>
      </c>
      <c r="E455" t="s">
        <v>720</v>
      </c>
      <c r="F455" t="s">
        <v>721</v>
      </c>
      <c r="G455" t="s">
        <v>722</v>
      </c>
      <c r="H455" t="s">
        <v>723</v>
      </c>
      <c r="I455" t="s">
        <v>724</v>
      </c>
      <c r="J455" t="s">
        <v>685</v>
      </c>
    </row>
    <row r="456" spans="1:10" ht="15">
      <c r="A456" s="7"/>
      <c r="B456" t="s">
        <v>686</v>
      </c>
      <c r="D456" t="s">
        <v>2947</v>
      </c>
      <c r="E456" t="s">
        <v>727</v>
      </c>
      <c r="F456" t="s">
        <v>2948</v>
      </c>
      <c r="G456" t="s">
        <v>727</v>
      </c>
      <c r="H456" t="s">
        <v>727</v>
      </c>
      <c r="I456" t="s">
        <v>727</v>
      </c>
      <c r="J456" t="s">
        <v>727</v>
      </c>
    </row>
    <row r="457" spans="1:10" ht="15">
      <c r="A457" s="1">
        <v>229</v>
      </c>
      <c r="B457" t="str">
        <f ca="1">IFERROR(__xludf.DUMMYFUNCTION((TRANSPOSE(ImportHTML("http://spending.data.al/sq/moneypower/view/id/229/year/2013",  "table", 2)))),"*Kategoria*")</f>
        <v>*Kategoria*</v>
      </c>
      <c r="D457" t="s">
        <v>719</v>
      </c>
      <c r="E457" t="s">
        <v>720</v>
      </c>
      <c r="F457" t="s">
        <v>721</v>
      </c>
      <c r="G457" t="s">
        <v>722</v>
      </c>
      <c r="H457" t="s">
        <v>723</v>
      </c>
      <c r="I457" t="s">
        <v>724</v>
      </c>
      <c r="J457" t="s">
        <v>685</v>
      </c>
    </row>
    <row r="458" spans="1:10" ht="15">
      <c r="A458" s="7"/>
      <c r="B458" t="s">
        <v>686</v>
      </c>
      <c r="D458" t="s">
        <v>727</v>
      </c>
      <c r="E458" t="s">
        <v>2949</v>
      </c>
      <c r="F458" t="s">
        <v>2950</v>
      </c>
      <c r="G458" t="s">
        <v>727</v>
      </c>
      <c r="H458" t="s">
        <v>727</v>
      </c>
      <c r="I458" t="s">
        <v>727</v>
      </c>
      <c r="J458" t="s">
        <v>2951</v>
      </c>
    </row>
    <row r="459" spans="1:10" ht="15">
      <c r="A459" s="1">
        <v>230</v>
      </c>
      <c r="B459" t="str">
        <f ca="1">IFERROR(__xludf.DUMMYFUNCTION((TRANSPOSE(ImportHTML("http://spending.data.al/sq/moneypower/view/id/230/year/2013",  "table", 2)))),"*Kategoria*")</f>
        <v>*Kategoria*</v>
      </c>
      <c r="D459" t="s">
        <v>719</v>
      </c>
      <c r="E459" t="s">
        <v>720</v>
      </c>
      <c r="F459" t="s">
        <v>721</v>
      </c>
      <c r="G459" t="s">
        <v>722</v>
      </c>
      <c r="H459" t="s">
        <v>723</v>
      </c>
      <c r="I459" t="s">
        <v>724</v>
      </c>
      <c r="J459" t="s">
        <v>685</v>
      </c>
    </row>
    <row r="460" spans="1:10" ht="15">
      <c r="A460" s="7"/>
      <c r="B460" t="s">
        <v>686</v>
      </c>
      <c r="D460" t="s">
        <v>2952</v>
      </c>
      <c r="E460" t="s">
        <v>727</v>
      </c>
      <c r="F460" t="s">
        <v>2953</v>
      </c>
      <c r="G460" t="s">
        <v>727</v>
      </c>
      <c r="H460" t="s">
        <v>727</v>
      </c>
      <c r="I460" t="s">
        <v>727</v>
      </c>
      <c r="J460" t="s">
        <v>727</v>
      </c>
    </row>
    <row r="461" spans="1:10" ht="15">
      <c r="A461" s="1">
        <v>231</v>
      </c>
      <c r="B461" t="str">
        <f ca="1">IFERROR(__xludf.DUMMYFUNCTION((TRANSPOSE(ImportHTML("http://spending.data.al/sq/moneypower/view/id/231/year/2013",  "table", 2)))),"*Kategoria*")</f>
        <v>*Kategoria*</v>
      </c>
      <c r="D461" t="s">
        <v>719</v>
      </c>
      <c r="E461" t="s">
        <v>720</v>
      </c>
      <c r="F461" t="s">
        <v>721</v>
      </c>
      <c r="G461" t="s">
        <v>722</v>
      </c>
      <c r="H461" t="s">
        <v>723</v>
      </c>
      <c r="I461" t="s">
        <v>724</v>
      </c>
      <c r="J461" t="s">
        <v>685</v>
      </c>
    </row>
    <row r="462" spans="1:10" ht="15">
      <c r="A462" s="7"/>
      <c r="B462" t="s">
        <v>686</v>
      </c>
      <c r="D462" t="s">
        <v>2952</v>
      </c>
      <c r="E462" t="s">
        <v>727</v>
      </c>
      <c r="F462" t="s">
        <v>2953</v>
      </c>
      <c r="G462" t="s">
        <v>727</v>
      </c>
      <c r="H462" t="s">
        <v>727</v>
      </c>
      <c r="I462" t="s">
        <v>727</v>
      </c>
      <c r="J462" t="s">
        <v>727</v>
      </c>
    </row>
    <row r="463" spans="1:10" ht="15">
      <c r="A463" s="1">
        <v>232</v>
      </c>
      <c r="B463" t="str">
        <f ca="1">IFERROR(__xludf.DUMMYFUNCTION((TRANSPOSE(ImportHTML("http://spending.data.al/sq/moneypower/view/id/232/year/2013",  "table", 2)))),"*Kategoria*")</f>
        <v>*Kategoria*</v>
      </c>
      <c r="C463" t="s">
        <v>2589</v>
      </c>
    </row>
    <row r="464" spans="1:10" ht="15">
      <c r="A464" s="7"/>
      <c r="B464" t="s">
        <v>686</v>
      </c>
    </row>
    <row r="465" spans="1:10" ht="15">
      <c r="A465" s="1">
        <v>233</v>
      </c>
      <c r="B465" t="str">
        <f ca="1">IFERROR(__xludf.DUMMYFUNCTION((TRANSPOSE(ImportHTML("http://spending.data.al/sq/moneypower/view/id/233/year/2013",  "table", 2)))),"*Kategoria*")</f>
        <v>*Kategoria*</v>
      </c>
      <c r="D465" t="s">
        <v>719</v>
      </c>
      <c r="E465" t="s">
        <v>720</v>
      </c>
      <c r="F465" t="s">
        <v>721</v>
      </c>
      <c r="G465" t="s">
        <v>722</v>
      </c>
      <c r="H465" t="s">
        <v>723</v>
      </c>
      <c r="I465" t="s">
        <v>724</v>
      </c>
      <c r="J465" t="s">
        <v>685</v>
      </c>
    </row>
    <row r="466" spans="1:10" ht="15">
      <c r="A466" s="7"/>
      <c r="B466" t="s">
        <v>686</v>
      </c>
      <c r="D466" t="s">
        <v>2954</v>
      </c>
      <c r="E466" t="s">
        <v>2955</v>
      </c>
      <c r="F466" t="s">
        <v>2956</v>
      </c>
      <c r="G466" t="s">
        <v>727</v>
      </c>
      <c r="H466" t="s">
        <v>727</v>
      </c>
      <c r="I466" t="s">
        <v>727</v>
      </c>
      <c r="J466" t="s">
        <v>727</v>
      </c>
    </row>
    <row r="467" spans="1:10" ht="15">
      <c r="A467" s="1">
        <v>234</v>
      </c>
      <c r="B467" t="str">
        <f ca="1">IFERROR(__xludf.DUMMYFUNCTION((TRANSPOSE(ImportHTML("http://spending.data.al/sq/moneypower/view/id/234/year/2013",  "table", 2)))),"*Kategoria*")</f>
        <v>*Kategoria*</v>
      </c>
      <c r="D467" t="s">
        <v>719</v>
      </c>
      <c r="E467" t="s">
        <v>720</v>
      </c>
      <c r="F467" t="s">
        <v>721</v>
      </c>
      <c r="G467" t="s">
        <v>722</v>
      </c>
      <c r="H467" t="s">
        <v>723</v>
      </c>
      <c r="I467" t="s">
        <v>724</v>
      </c>
      <c r="J467" t="s">
        <v>685</v>
      </c>
    </row>
    <row r="468" spans="1:10" ht="15">
      <c r="A468" s="7"/>
      <c r="B468" t="s">
        <v>686</v>
      </c>
      <c r="D468" t="s">
        <v>2957</v>
      </c>
      <c r="E468" t="s">
        <v>2595</v>
      </c>
      <c r="F468" t="s">
        <v>2958</v>
      </c>
      <c r="G468" t="s">
        <v>727</v>
      </c>
      <c r="H468" t="s">
        <v>727</v>
      </c>
      <c r="I468" t="s">
        <v>727</v>
      </c>
      <c r="J468" t="s">
        <v>727</v>
      </c>
    </row>
    <row r="469" spans="1:10" ht="15">
      <c r="A469" s="1">
        <v>235</v>
      </c>
      <c r="B469" t="str">
        <f ca="1">IFERROR(__xludf.DUMMYFUNCTION((TRANSPOSE(ImportHTML("http://spending.data.al/sq/moneypower/view/id/235/year/2013",  "table", 2)))),"*Kategoria*")</f>
        <v>*Kategoria*</v>
      </c>
      <c r="C469" t="s">
        <v>2589</v>
      </c>
    </row>
    <row r="470" spans="1:10" ht="15">
      <c r="A470" s="7"/>
      <c r="B470" t="s">
        <v>686</v>
      </c>
    </row>
    <row r="471" spans="1:10" ht="15">
      <c r="A471" s="1">
        <v>236</v>
      </c>
      <c r="B471" t="str">
        <f ca="1">IFERROR(__xludf.DUMMYFUNCTION((TRANSPOSE(ImportHTML("http://spending.data.al/sq/moneypower/view/id/236/year/2013",  "table", 2)))),"*Kategoria*")</f>
        <v>*Kategoria*</v>
      </c>
      <c r="C471" t="s">
        <v>2589</v>
      </c>
    </row>
    <row r="472" spans="1:10" ht="15">
      <c r="A472" s="7"/>
      <c r="B472" t="s">
        <v>686</v>
      </c>
    </row>
    <row r="473" spans="1:10" ht="15">
      <c r="A473" s="1">
        <v>237</v>
      </c>
      <c r="B473" t="str">
        <f ca="1">IFERROR(__xludf.DUMMYFUNCTION((TRANSPOSE(ImportHTML("http://spending.data.al/sq/moneypower/view/id/237/year/2013",  "table", 2)))),"*Kategoria*")</f>
        <v>*Kategoria*</v>
      </c>
      <c r="D473" t="s">
        <v>719</v>
      </c>
      <c r="E473" t="s">
        <v>720</v>
      </c>
      <c r="F473" t="s">
        <v>721</v>
      </c>
      <c r="G473" t="s">
        <v>722</v>
      </c>
      <c r="H473" t="s">
        <v>723</v>
      </c>
      <c r="I473" t="s">
        <v>724</v>
      </c>
      <c r="J473" t="s">
        <v>685</v>
      </c>
    </row>
    <row r="474" spans="1:10" ht="15">
      <c r="A474" s="7"/>
      <c r="B474" t="s">
        <v>686</v>
      </c>
      <c r="D474" t="s">
        <v>2584</v>
      </c>
      <c r="E474" t="s">
        <v>2585</v>
      </c>
      <c r="F474" t="s">
        <v>2586</v>
      </c>
      <c r="G474" t="s">
        <v>688</v>
      </c>
      <c r="H474" t="s">
        <v>2587</v>
      </c>
      <c r="I474" t="s">
        <v>688</v>
      </c>
      <c r="J474" t="s">
        <v>2588</v>
      </c>
    </row>
    <row r="475" spans="1:10" ht="15">
      <c r="A475" s="1">
        <v>238</v>
      </c>
      <c r="B475" t="str">
        <f ca="1">IFERROR(__xludf.DUMMYFUNCTION((TRANSPOSE(ImportHTML("http://spending.data.al/sq/moneypower/view/id/238/year/2013",  "table", 2)))),"*Kategoria*")</f>
        <v>*Kategoria*</v>
      </c>
      <c r="C475" t="s">
        <v>2589</v>
      </c>
    </row>
    <row r="476" spans="1:10" ht="15">
      <c r="A476" s="7"/>
      <c r="B476" t="s">
        <v>686</v>
      </c>
    </row>
    <row r="477" spans="1:10" ht="15">
      <c r="A477" s="1">
        <v>239</v>
      </c>
      <c r="B477" t="str">
        <f ca="1">IFERROR(__xludf.DUMMYFUNCTION((TRANSPOSE(ImportHTML("http://spending.data.al/sq/moneypower/view/id/239/year/2013",  "table", 2)))),"*Kategoria*")</f>
        <v>*Kategoria*</v>
      </c>
      <c r="C477" t="s">
        <v>2589</v>
      </c>
    </row>
    <row r="478" spans="1:10" ht="15">
      <c r="A478" s="7"/>
      <c r="B478" t="s">
        <v>686</v>
      </c>
    </row>
    <row r="479" spans="1:10" ht="15">
      <c r="A479" s="1">
        <v>240</v>
      </c>
      <c r="B479" t="str">
        <f ca="1">IFERROR(__xludf.DUMMYFUNCTION((TRANSPOSE(ImportHTML("http://spending.data.al/sq/moneypower/view/id/240/year/2013",  "table", 2)))),"*Kategoria*")</f>
        <v>*Kategoria*</v>
      </c>
      <c r="C479" t="s">
        <v>2589</v>
      </c>
    </row>
    <row r="480" spans="1:10" ht="15">
      <c r="A480" s="7"/>
      <c r="B480" t="s">
        <v>686</v>
      </c>
    </row>
    <row r="481" spans="1:10" ht="15">
      <c r="A481" s="1">
        <v>241</v>
      </c>
      <c r="B481" t="str">
        <f ca="1">IFERROR(__xludf.DUMMYFUNCTION((TRANSPOSE(ImportHTML("http://spending.data.al/sq/moneypower/view/id/241/year/2013",  "table", 2)))),"*Kategoria*")</f>
        <v>*Kategoria*</v>
      </c>
      <c r="C481" t="s">
        <v>2589</v>
      </c>
    </row>
    <row r="482" spans="1:10" ht="15">
      <c r="A482" s="7"/>
      <c r="B482" t="s">
        <v>686</v>
      </c>
    </row>
    <row r="483" spans="1:10" ht="15">
      <c r="A483" s="1">
        <v>242</v>
      </c>
      <c r="B483" t="str">
        <f ca="1">IFERROR(__xludf.DUMMYFUNCTION((TRANSPOSE(ImportHTML("http://spending.data.al/sq/moneypower/view/id/242/year/2013",  "table", 2)))),"*Kategoria*")</f>
        <v>*Kategoria*</v>
      </c>
      <c r="C483" t="s">
        <v>2589</v>
      </c>
    </row>
    <row r="484" spans="1:10" ht="15">
      <c r="A484" s="7"/>
      <c r="B484" t="s">
        <v>686</v>
      </c>
    </row>
    <row r="485" spans="1:10" ht="15">
      <c r="A485" s="1">
        <v>243</v>
      </c>
      <c r="B485" t="str">
        <f ca="1">IFERROR(__xludf.DUMMYFUNCTION((TRANSPOSE(ImportHTML("http://spending.data.al/sq/moneypower/view/id/243/year/2013",  "table", 2)))),"*Kategoria*")</f>
        <v>*Kategoria*</v>
      </c>
      <c r="C485" t="s">
        <v>2589</v>
      </c>
    </row>
    <row r="486" spans="1:10" ht="15">
      <c r="A486" s="7"/>
      <c r="B486" t="s">
        <v>686</v>
      </c>
    </row>
    <row r="487" spans="1:10" ht="15">
      <c r="A487" s="1">
        <v>244</v>
      </c>
      <c r="B487" t="str">
        <f ca="1">IFERROR(__xludf.DUMMYFUNCTION((TRANSPOSE(ImportHTML("http://spending.data.al/sq/moneypower/view/id/244/year/2013",  "table", 2)))),"*Kategoria*")</f>
        <v>*Kategoria*</v>
      </c>
      <c r="C487" t="s">
        <v>2589</v>
      </c>
    </row>
    <row r="488" spans="1:10" ht="15">
      <c r="A488" s="7"/>
      <c r="B488" t="s">
        <v>686</v>
      </c>
    </row>
    <row r="489" spans="1:10" ht="15">
      <c r="A489" s="1">
        <v>245</v>
      </c>
      <c r="B489" t="str">
        <f ca="1">IFERROR(__xludf.DUMMYFUNCTION((TRANSPOSE(ImportHTML("http://spending.data.al/sq/moneypower/view/id/245/year/2013",  "table", 2)))),"*Kategoria*")</f>
        <v>*Kategoria*</v>
      </c>
      <c r="C489" t="s">
        <v>2589</v>
      </c>
    </row>
    <row r="490" spans="1:10" ht="15">
      <c r="A490" s="7"/>
      <c r="B490" t="s">
        <v>686</v>
      </c>
    </row>
    <row r="491" spans="1:10" ht="15">
      <c r="A491" s="1">
        <v>246</v>
      </c>
      <c r="B491" t="str">
        <f ca="1">IFERROR(__xludf.DUMMYFUNCTION((TRANSPOSE(ImportHTML("http://spending.data.al/sq/moneypower/view/id/246/year/2013",  "table", 2)))),"*Kategoria*")</f>
        <v>*Kategoria*</v>
      </c>
      <c r="C491" t="s">
        <v>2589</v>
      </c>
    </row>
    <row r="492" spans="1:10" ht="15">
      <c r="A492" s="7"/>
      <c r="B492" t="s">
        <v>686</v>
      </c>
    </row>
    <row r="493" spans="1:10" ht="15">
      <c r="A493" s="1">
        <v>247</v>
      </c>
      <c r="B493" t="str">
        <f ca="1">IFERROR(__xludf.DUMMYFUNCTION((TRANSPOSE(ImportHTML("http://spending.data.al/sq/moneypower/view/id/247/year/2013",  "table", 2)))),"*Kategoria*")</f>
        <v>*Kategoria*</v>
      </c>
      <c r="C493" t="s">
        <v>2589</v>
      </c>
    </row>
    <row r="494" spans="1:10" ht="15">
      <c r="A494" s="7"/>
      <c r="B494" t="s">
        <v>686</v>
      </c>
    </row>
    <row r="495" spans="1:10" ht="15">
      <c r="A495" s="1">
        <v>248</v>
      </c>
      <c r="B495" t="str">
        <f ca="1">IFERROR(__xludf.DUMMYFUNCTION((TRANSPOSE(ImportHTML("http://spending.data.al/sq/moneypower/view/id/248/year/2013",  "table", 2)))),"*Kategoria*")</f>
        <v>*Kategoria*</v>
      </c>
      <c r="D495" t="s">
        <v>719</v>
      </c>
      <c r="E495" t="s">
        <v>720</v>
      </c>
      <c r="F495" t="s">
        <v>721</v>
      </c>
      <c r="G495" t="s">
        <v>722</v>
      </c>
      <c r="H495" t="s">
        <v>723</v>
      </c>
      <c r="I495" t="s">
        <v>724</v>
      </c>
      <c r="J495" t="s">
        <v>685</v>
      </c>
    </row>
    <row r="496" spans="1:10" ht="15">
      <c r="A496" s="7"/>
      <c r="B496" t="s">
        <v>686</v>
      </c>
      <c r="D496" t="s">
        <v>2590</v>
      </c>
      <c r="E496" t="s">
        <v>2591</v>
      </c>
      <c r="F496" t="s">
        <v>2592</v>
      </c>
      <c r="G496" t="s">
        <v>727</v>
      </c>
      <c r="H496" t="s">
        <v>727</v>
      </c>
      <c r="I496" t="s">
        <v>727</v>
      </c>
      <c r="J496" t="s">
        <v>2593</v>
      </c>
    </row>
    <row r="497" spans="1:10" ht="15">
      <c r="A497" s="1">
        <v>249</v>
      </c>
      <c r="B497" t="str">
        <f ca="1">IFERROR(__xludf.DUMMYFUNCTION((TRANSPOSE(ImportHTML("http://spending.data.al/sq/moneypower/view/id/249/year/2013",  "table", 2)))),"*Kategoria*")</f>
        <v>*Kategoria*</v>
      </c>
      <c r="C497" t="s">
        <v>2589</v>
      </c>
    </row>
    <row r="498" spans="1:10" ht="15">
      <c r="A498" s="7"/>
      <c r="B498" t="s">
        <v>686</v>
      </c>
    </row>
    <row r="499" spans="1:10" ht="15">
      <c r="A499" s="1">
        <v>250</v>
      </c>
      <c r="B499" t="str">
        <f ca="1">IFERROR(__xludf.DUMMYFUNCTION((TRANSPOSE(ImportHTML("http://spending.data.al/sq/moneypower/view/id/250/year/2013",  "table", 2)))),"*Kategoria*")</f>
        <v>*Kategoria*</v>
      </c>
      <c r="C499" t="s">
        <v>2589</v>
      </c>
    </row>
    <row r="500" spans="1:10" ht="15">
      <c r="A500" s="7"/>
      <c r="B500" t="s">
        <v>686</v>
      </c>
    </row>
    <row r="501" spans="1:10" ht="15">
      <c r="A501" s="1">
        <v>251</v>
      </c>
      <c r="B501" t="str">
        <f ca="1">IFERROR(__xludf.DUMMYFUNCTION((TRANSPOSE(ImportHTML("http://spending.data.al/sq/moneypower/view/id/251/year/2013",  "table", 2)))),"*Kategoria*")</f>
        <v>*Kategoria*</v>
      </c>
      <c r="C501" t="s">
        <v>2589</v>
      </c>
    </row>
    <row r="502" spans="1:10" ht="15">
      <c r="A502" s="7"/>
      <c r="B502" t="s">
        <v>686</v>
      </c>
    </row>
    <row r="503" spans="1:10" ht="15">
      <c r="A503" s="1">
        <v>252</v>
      </c>
      <c r="B503" t="str">
        <f ca="1">IFERROR(__xludf.DUMMYFUNCTION((TRANSPOSE(ImportHTML("http://spending.data.al/sq/moneypower/view/id/252/year/2013",  "table", 2)))),"*Kategoria*")</f>
        <v>*Kategoria*</v>
      </c>
      <c r="D503" t="s">
        <v>719</v>
      </c>
      <c r="E503" t="s">
        <v>720</v>
      </c>
      <c r="F503" t="s">
        <v>721</v>
      </c>
      <c r="G503" t="s">
        <v>722</v>
      </c>
      <c r="H503" t="s">
        <v>723</v>
      </c>
      <c r="I503" t="s">
        <v>724</v>
      </c>
      <c r="J503" t="s">
        <v>685</v>
      </c>
    </row>
    <row r="504" spans="1:10" ht="15">
      <c r="A504" s="7"/>
      <c r="B504" t="s">
        <v>686</v>
      </c>
      <c r="D504" t="s">
        <v>2594</v>
      </c>
      <c r="E504" t="s">
        <v>2595</v>
      </c>
      <c r="F504" t="s">
        <v>2596</v>
      </c>
      <c r="G504" t="s">
        <v>727</v>
      </c>
      <c r="H504" t="s">
        <v>727</v>
      </c>
      <c r="I504" t="s">
        <v>727</v>
      </c>
      <c r="J504" t="s">
        <v>727</v>
      </c>
    </row>
    <row r="505" spans="1:10" ht="15">
      <c r="A505" s="1">
        <v>253</v>
      </c>
      <c r="B505" t="str">
        <f ca="1">IFERROR(__xludf.DUMMYFUNCTION((TRANSPOSE(ImportHTML("http://spending.data.al/sq/moneypower/view/id/253/year/2013",  "table", 2)))),"*Kategoria*")</f>
        <v>*Kategoria*</v>
      </c>
      <c r="D505" t="s">
        <v>719</v>
      </c>
      <c r="E505" t="s">
        <v>720</v>
      </c>
      <c r="F505" t="s">
        <v>721</v>
      </c>
      <c r="G505" t="s">
        <v>722</v>
      </c>
      <c r="H505" t="s">
        <v>723</v>
      </c>
      <c r="I505" t="s">
        <v>724</v>
      </c>
      <c r="J505" t="s">
        <v>685</v>
      </c>
    </row>
    <row r="506" spans="1:10" ht="15">
      <c r="A506" s="7"/>
      <c r="B506" t="s">
        <v>686</v>
      </c>
      <c r="D506" t="s">
        <v>2597</v>
      </c>
      <c r="E506" t="s">
        <v>2598</v>
      </c>
      <c r="F506" t="s">
        <v>2599</v>
      </c>
      <c r="G506" t="s">
        <v>727</v>
      </c>
      <c r="H506" t="s">
        <v>727</v>
      </c>
      <c r="I506" t="s">
        <v>727</v>
      </c>
      <c r="J506" t="s">
        <v>727</v>
      </c>
    </row>
    <row r="507" spans="1:10" ht="15">
      <c r="A507" s="1">
        <v>254</v>
      </c>
      <c r="B507" t="str">
        <f ca="1">IFERROR(__xludf.DUMMYFUNCTION((TRANSPOSE(ImportHTML("http://spending.data.al/sq/moneypower/view/id/254/year/2013",  "table", 2)))),"*Kategoria*")</f>
        <v>*Kategoria*</v>
      </c>
      <c r="C507" t="s">
        <v>2589</v>
      </c>
    </row>
    <row r="508" spans="1:10" ht="15">
      <c r="A508" s="7"/>
      <c r="B508" t="s">
        <v>686</v>
      </c>
    </row>
    <row r="509" spans="1:10" ht="15">
      <c r="A509" s="1">
        <v>255</v>
      </c>
      <c r="B509" t="str">
        <f ca="1">IFERROR(__xludf.DUMMYFUNCTION((TRANSPOSE(ImportHTML("http://spending.data.al/sq/moneypower/view/id/255/year/2013",  "table", 2)))),"*Kategoria*")</f>
        <v>*Kategoria*</v>
      </c>
      <c r="C509" t="s">
        <v>2589</v>
      </c>
    </row>
    <row r="510" spans="1:10" ht="15">
      <c r="A510" s="7"/>
      <c r="B510" t="s">
        <v>686</v>
      </c>
    </row>
    <row r="511" spans="1:10" ht="15">
      <c r="A511" s="1">
        <v>256</v>
      </c>
      <c r="B511" t="str">
        <f ca="1">IFERROR(__xludf.DUMMYFUNCTION((TRANSPOSE(ImportHTML("http://spending.data.al/sq/moneypower/view/id/256/year/2013",  "table", 2)))),"*Kategoria*")</f>
        <v>*Kategoria*</v>
      </c>
      <c r="C511" t="s">
        <v>2589</v>
      </c>
    </row>
    <row r="512" spans="1:10" ht="15">
      <c r="A512" s="7"/>
      <c r="B512" t="s">
        <v>686</v>
      </c>
    </row>
    <row r="513" spans="1:10" ht="15">
      <c r="A513" s="1">
        <v>257</v>
      </c>
      <c r="B513" t="str">
        <f ca="1">IFERROR(__xludf.DUMMYFUNCTION((TRANSPOSE(ImportHTML("http://spending.data.al/sq/moneypower/view/id/257/year/2013",  "table", 2)))),"*Kategoria*")</f>
        <v>*Kategoria*</v>
      </c>
      <c r="C513" t="s">
        <v>2589</v>
      </c>
    </row>
    <row r="514" spans="1:10" ht="15">
      <c r="A514" s="7"/>
      <c r="B514" t="s">
        <v>686</v>
      </c>
    </row>
    <row r="515" spans="1:10" ht="15">
      <c r="A515" s="1">
        <v>258</v>
      </c>
      <c r="B515" t="str">
        <f ca="1">IFERROR(__xludf.DUMMYFUNCTION((TRANSPOSE(ImportHTML("http://spending.data.al/sq/moneypower/view/id/258/year/2013",  "table", 2)))),"*Kategoria*")</f>
        <v>*Kategoria*</v>
      </c>
      <c r="D515" t="s">
        <v>719</v>
      </c>
      <c r="E515" t="s">
        <v>720</v>
      </c>
      <c r="F515" t="s">
        <v>721</v>
      </c>
      <c r="G515" t="s">
        <v>722</v>
      </c>
      <c r="H515" t="s">
        <v>723</v>
      </c>
      <c r="I515" t="s">
        <v>724</v>
      </c>
      <c r="J515" t="s">
        <v>685</v>
      </c>
    </row>
    <row r="516" spans="1:10" ht="15">
      <c r="A516" s="7"/>
      <c r="B516" t="s">
        <v>686</v>
      </c>
      <c r="D516" t="s">
        <v>2600</v>
      </c>
      <c r="E516" t="s">
        <v>2601</v>
      </c>
      <c r="F516" t="s">
        <v>2602</v>
      </c>
      <c r="G516" t="s">
        <v>2601</v>
      </c>
      <c r="H516" t="s">
        <v>2601</v>
      </c>
      <c r="I516" t="s">
        <v>2601</v>
      </c>
      <c r="J516" t="s">
        <v>2601</v>
      </c>
    </row>
    <row r="517" spans="1:10" ht="15">
      <c r="A517" s="1">
        <v>259</v>
      </c>
      <c r="B517" t="str">
        <f ca="1">IFERROR(__xludf.DUMMYFUNCTION((TRANSPOSE(ImportHTML("http://spending.data.al/sq/moneypower/view/id/259/year/2013",  "table", 2)))),"*Kategoria*")</f>
        <v>*Kategoria*</v>
      </c>
      <c r="C517" t="s">
        <v>2589</v>
      </c>
    </row>
    <row r="518" spans="1:10" ht="15">
      <c r="A518" s="7"/>
      <c r="B518" t="s">
        <v>686</v>
      </c>
    </row>
    <row r="519" spans="1:10" ht="15">
      <c r="A519" s="1">
        <v>260</v>
      </c>
      <c r="B519" t="str">
        <f ca="1">IFERROR(__xludf.DUMMYFUNCTION((TRANSPOSE(ImportHTML("http://spending.data.al/sq/moneypower/view/id/260/year/2013",  "table", 2)))),"*Kategoria*")</f>
        <v>*Kategoria*</v>
      </c>
      <c r="C519" t="s">
        <v>2589</v>
      </c>
    </row>
    <row r="520" spans="1:10" ht="15">
      <c r="A520" s="7"/>
      <c r="B520" t="s">
        <v>686</v>
      </c>
    </row>
    <row r="521" spans="1:10" ht="15">
      <c r="A521" s="1">
        <v>261</v>
      </c>
      <c r="B521" t="str">
        <f ca="1">IFERROR(__xludf.DUMMYFUNCTION((TRANSPOSE(ImportHTML("http://spending.data.al/sq/moneypower/view/id/261/year/2013",  "table", 2)))),"*Kategoria*")</f>
        <v>*Kategoria*</v>
      </c>
      <c r="C521" t="s">
        <v>2589</v>
      </c>
    </row>
    <row r="522" spans="1:10" ht="15">
      <c r="A522" s="7"/>
      <c r="B522" t="s">
        <v>686</v>
      </c>
    </row>
    <row r="523" spans="1:10" ht="15">
      <c r="A523" s="1">
        <v>262</v>
      </c>
      <c r="B523" t="str">
        <f ca="1">IFERROR(__xludf.DUMMYFUNCTION((TRANSPOSE(ImportHTML("http://spending.data.al/sq/moneypower/view/id/262/year/2013",  "table", 2)))),"*Kategoria*")</f>
        <v>*Kategoria*</v>
      </c>
      <c r="C523" t="s">
        <v>2589</v>
      </c>
    </row>
    <row r="524" spans="1:10" ht="15">
      <c r="A524" s="7"/>
      <c r="B524" t="s">
        <v>686</v>
      </c>
    </row>
    <row r="525" spans="1:10" ht="15">
      <c r="A525" s="1">
        <v>263</v>
      </c>
      <c r="B525" t="str">
        <f ca="1">IFERROR(__xludf.DUMMYFUNCTION((TRANSPOSE(ImportHTML("http://spending.data.al/sq/moneypower/view/id/263/year/2013",  "table", 2)))),"*Kategoria*")</f>
        <v>*Kategoria*</v>
      </c>
      <c r="C525" t="s">
        <v>2589</v>
      </c>
    </row>
    <row r="526" spans="1:10" ht="15">
      <c r="A526" s="7"/>
      <c r="B526" t="s">
        <v>686</v>
      </c>
    </row>
    <row r="527" spans="1:10" ht="15">
      <c r="A527" s="1">
        <v>264</v>
      </c>
      <c r="B527" t="str">
        <f ca="1">IFERROR(__xludf.DUMMYFUNCTION((TRANSPOSE(ImportHTML("http://spending.data.al/sq/moneypower/view/id/264/year/2013",  "table", 2)))),"*Kategoria*")</f>
        <v>*Kategoria*</v>
      </c>
      <c r="C527" t="s">
        <v>2589</v>
      </c>
    </row>
    <row r="528" spans="1:10" ht="15">
      <c r="A528" s="7"/>
      <c r="B528" t="s">
        <v>686</v>
      </c>
    </row>
    <row r="529" spans="1:10" ht="15">
      <c r="A529" s="1">
        <v>265</v>
      </c>
      <c r="B529" t="str">
        <f ca="1">IFERROR(__xludf.DUMMYFUNCTION((TRANSPOSE(ImportHTML("http://spending.data.al/sq/moneypower/view/id/265/year/2013",  "table", 2)))),"*Kategoria*")</f>
        <v>*Kategoria*</v>
      </c>
      <c r="C529" t="s">
        <v>2589</v>
      </c>
    </row>
    <row r="530" spans="1:10" ht="15">
      <c r="A530" s="7"/>
      <c r="B530" t="s">
        <v>686</v>
      </c>
    </row>
    <row r="531" spans="1:10" ht="15">
      <c r="A531" s="1">
        <v>266</v>
      </c>
      <c r="B531" t="str">
        <f ca="1">IFERROR(__xludf.DUMMYFUNCTION((TRANSPOSE(ImportHTML("http://spending.data.al/sq/moneypower/view/id/266/year/2013",  "table", 2)))),"*Kategoria*")</f>
        <v>*Kategoria*</v>
      </c>
      <c r="C531" t="s">
        <v>2589</v>
      </c>
    </row>
    <row r="532" spans="1:10" ht="15">
      <c r="A532" s="7"/>
      <c r="B532" t="s">
        <v>686</v>
      </c>
    </row>
    <row r="533" spans="1:10" ht="15">
      <c r="A533" s="1">
        <v>267</v>
      </c>
      <c r="B533" t="str">
        <f ca="1">IFERROR(__xludf.DUMMYFUNCTION((TRANSPOSE(ImportHTML("http://spending.data.al/sq/moneypower/view/id/267/year/2013",  "table", 2)))),"*Kategoria*")</f>
        <v>*Kategoria*</v>
      </c>
      <c r="D533" t="s">
        <v>719</v>
      </c>
      <c r="E533" t="s">
        <v>720</v>
      </c>
      <c r="F533" t="s">
        <v>721</v>
      </c>
      <c r="G533" t="s">
        <v>722</v>
      </c>
      <c r="H533" t="s">
        <v>723</v>
      </c>
      <c r="I533" t="s">
        <v>724</v>
      </c>
      <c r="J533" t="s">
        <v>685</v>
      </c>
    </row>
    <row r="534" spans="1:10" ht="15">
      <c r="A534" s="7"/>
      <c r="B534" t="s">
        <v>686</v>
      </c>
      <c r="D534" t="s">
        <v>2603</v>
      </c>
      <c r="E534" t="s">
        <v>727</v>
      </c>
      <c r="F534" t="s">
        <v>2604</v>
      </c>
      <c r="G534" t="s">
        <v>727</v>
      </c>
      <c r="H534" t="s">
        <v>727</v>
      </c>
      <c r="I534" t="s">
        <v>727</v>
      </c>
      <c r="J534" t="s">
        <v>2605</v>
      </c>
    </row>
    <row r="535" spans="1:10" ht="15">
      <c r="A535" s="1">
        <v>268</v>
      </c>
      <c r="B535" t="str">
        <f ca="1">IFERROR(__xludf.DUMMYFUNCTION((TRANSPOSE(ImportHTML("http://spending.data.al/sq/moneypower/view/id/268/year/2013",  "table", 2)))),"*Kategoria*")</f>
        <v>*Kategoria*</v>
      </c>
      <c r="D535" t="s">
        <v>719</v>
      </c>
      <c r="E535" t="s">
        <v>720</v>
      </c>
      <c r="F535" t="s">
        <v>721</v>
      </c>
      <c r="G535" t="s">
        <v>722</v>
      </c>
      <c r="H535" t="s">
        <v>723</v>
      </c>
      <c r="I535" t="s">
        <v>724</v>
      </c>
      <c r="J535" t="s">
        <v>685</v>
      </c>
    </row>
    <row r="536" spans="1:10" ht="15">
      <c r="A536" s="7"/>
      <c r="B536" t="s">
        <v>686</v>
      </c>
      <c r="D536" t="s">
        <v>2606</v>
      </c>
      <c r="E536" t="s">
        <v>2607</v>
      </c>
      <c r="F536" t="s">
        <v>2608</v>
      </c>
      <c r="G536" t="s">
        <v>727</v>
      </c>
      <c r="H536" t="s">
        <v>727</v>
      </c>
      <c r="I536" t="s">
        <v>727</v>
      </c>
      <c r="J536" t="s">
        <v>727</v>
      </c>
    </row>
    <row r="537" spans="1:10" ht="15">
      <c r="A537" s="1">
        <v>269</v>
      </c>
      <c r="B537" t="str">
        <f ca="1">IFERROR(__xludf.DUMMYFUNCTION((TRANSPOSE(ImportHTML("http://spending.data.al/sq/moneypower/view/id/269/year/2013",  "table", 2)))),"*Kategoria*")</f>
        <v>*Kategoria*</v>
      </c>
      <c r="D537" t="s">
        <v>719</v>
      </c>
      <c r="E537" t="s">
        <v>720</v>
      </c>
      <c r="F537" t="s">
        <v>721</v>
      </c>
      <c r="G537" t="s">
        <v>722</v>
      </c>
      <c r="H537" t="s">
        <v>723</v>
      </c>
      <c r="I537" t="s">
        <v>724</v>
      </c>
      <c r="J537" t="s">
        <v>685</v>
      </c>
    </row>
    <row r="538" spans="1:10" ht="15">
      <c r="A538" s="7"/>
      <c r="B538" t="s">
        <v>686</v>
      </c>
      <c r="D538" t="s">
        <v>2609</v>
      </c>
      <c r="E538" t="s">
        <v>2610</v>
      </c>
      <c r="F538" t="s">
        <v>2611</v>
      </c>
      <c r="G538" t="s">
        <v>727</v>
      </c>
      <c r="H538" t="s">
        <v>2612</v>
      </c>
      <c r="I538" t="s">
        <v>727</v>
      </c>
      <c r="J538" t="s">
        <v>2613</v>
      </c>
    </row>
    <row r="539" spans="1:10" ht="15">
      <c r="A539" s="1">
        <v>270</v>
      </c>
      <c r="B539" t="str">
        <f ca="1">IFERROR(__xludf.DUMMYFUNCTION((TRANSPOSE(ImportHTML("http://spending.data.al/sq/moneypower/view/id/270/year/2013",  "table", 2)))),"*Kategoria*")</f>
        <v>*Kategoria*</v>
      </c>
      <c r="C539" t="s">
        <v>2589</v>
      </c>
    </row>
    <row r="540" spans="1:10" ht="15">
      <c r="A540" s="7"/>
      <c r="B540" t="s">
        <v>686</v>
      </c>
    </row>
    <row r="541" spans="1:10" ht="15">
      <c r="A541" s="1">
        <v>271</v>
      </c>
      <c r="B541" t="str">
        <f ca="1">IFERROR(__xludf.DUMMYFUNCTION((TRANSPOSE(ImportHTML("http://spending.data.al/sq/moneypower/view/id/271/year/2013",  "table", 2)))),"*Kategoria*")</f>
        <v>*Kategoria*</v>
      </c>
      <c r="D541" t="s">
        <v>719</v>
      </c>
      <c r="E541" t="s">
        <v>720</v>
      </c>
      <c r="F541" t="s">
        <v>721</v>
      </c>
      <c r="G541" t="s">
        <v>722</v>
      </c>
      <c r="H541" t="s">
        <v>723</v>
      </c>
      <c r="I541" t="s">
        <v>724</v>
      </c>
      <c r="J541" t="s">
        <v>685</v>
      </c>
    </row>
    <row r="542" spans="1:10" ht="15">
      <c r="A542" s="7"/>
      <c r="B542" t="s">
        <v>686</v>
      </c>
      <c r="D542" t="s">
        <v>2614</v>
      </c>
      <c r="E542" t="s">
        <v>2615</v>
      </c>
      <c r="F542" t="s">
        <v>727</v>
      </c>
      <c r="G542" t="s">
        <v>727</v>
      </c>
      <c r="H542" t="s">
        <v>727</v>
      </c>
      <c r="I542" t="s">
        <v>727</v>
      </c>
      <c r="J542" t="s">
        <v>727</v>
      </c>
    </row>
    <row r="543" spans="1:10" ht="15">
      <c r="A543" s="1">
        <v>272</v>
      </c>
      <c r="B543" t="str">
        <f ca="1">IFERROR(__xludf.DUMMYFUNCTION((TRANSPOSE(ImportHTML("http://spending.data.al/sq/moneypower/view/id/272/year/2013",  "table", 2)))),"*Kategoria*")</f>
        <v>*Kategoria*</v>
      </c>
      <c r="C543" t="s">
        <v>2589</v>
      </c>
    </row>
    <row r="544" spans="1:10" ht="15">
      <c r="A544" s="7"/>
      <c r="B544" t="s">
        <v>686</v>
      </c>
    </row>
    <row r="545" spans="1:10" ht="15">
      <c r="A545" s="1">
        <v>273</v>
      </c>
      <c r="B545" t="str">
        <f ca="1">IFERROR(__xludf.DUMMYFUNCTION((TRANSPOSE(ImportHTML("http://spending.data.al/sq/moneypower/view/id/273/year/2013",  "table", 2)))),"*Kategoria*")</f>
        <v>*Kategoria*</v>
      </c>
      <c r="D545" t="s">
        <v>719</v>
      </c>
      <c r="E545" t="s">
        <v>720</v>
      </c>
      <c r="F545" t="s">
        <v>721</v>
      </c>
      <c r="G545" t="s">
        <v>722</v>
      </c>
      <c r="H545" t="s">
        <v>723</v>
      </c>
      <c r="I545" t="s">
        <v>724</v>
      </c>
      <c r="J545" t="s">
        <v>685</v>
      </c>
    </row>
    <row r="546" spans="1:10" ht="15">
      <c r="A546" s="7"/>
      <c r="B546" t="s">
        <v>686</v>
      </c>
      <c r="D546" t="s">
        <v>2616</v>
      </c>
      <c r="E546" t="s">
        <v>2617</v>
      </c>
      <c r="F546" t="s">
        <v>2618</v>
      </c>
      <c r="G546" t="s">
        <v>707</v>
      </c>
      <c r="H546" t="s">
        <v>2619</v>
      </c>
      <c r="I546" t="s">
        <v>688</v>
      </c>
      <c r="J546" t="s">
        <v>688</v>
      </c>
    </row>
    <row r="547" spans="1:10" ht="15">
      <c r="A547" s="1">
        <v>274</v>
      </c>
      <c r="B547" t="str">
        <f ca="1">IFERROR(__xludf.DUMMYFUNCTION((TRANSPOSE(ImportHTML("http://spending.data.al/sq/moneypower/view/id/274/year/2013",  "table", 2)))),"*Kategoria*")</f>
        <v>*Kategoria*</v>
      </c>
      <c r="C547" t="s">
        <v>2589</v>
      </c>
    </row>
    <row r="548" spans="1:10" ht="15">
      <c r="A548" s="7"/>
      <c r="B548" t="s">
        <v>686</v>
      </c>
    </row>
    <row r="549" spans="1:10" ht="15">
      <c r="A549" s="1">
        <v>275</v>
      </c>
      <c r="B549" t="str">
        <f ca="1">IFERROR(__xludf.DUMMYFUNCTION((TRANSPOSE(ImportHTML("http://spending.data.al/sq/moneypower/view/id/275/year/2013",  "table", 2)))),"*Kategoria*")</f>
        <v>*Kategoria*</v>
      </c>
      <c r="C549" t="s">
        <v>2589</v>
      </c>
    </row>
    <row r="550" spans="1:10" ht="15">
      <c r="A550" s="7"/>
      <c r="B550" t="s">
        <v>686</v>
      </c>
    </row>
    <row r="551" spans="1:10" ht="15">
      <c r="A551" s="1">
        <v>276</v>
      </c>
      <c r="B551" t="str">
        <f ca="1">IFERROR(__xludf.DUMMYFUNCTION((TRANSPOSE(ImportHTML("http://spending.data.al/sq/moneypower/view/id/276/year/2013",  "table", 2)))),"*Kategoria*")</f>
        <v>*Kategoria*</v>
      </c>
      <c r="C551" t="s">
        <v>2589</v>
      </c>
    </row>
    <row r="552" spans="1:10" ht="15">
      <c r="A552" s="7"/>
      <c r="B552" t="s">
        <v>686</v>
      </c>
    </row>
    <row r="553" spans="1:10" ht="15">
      <c r="A553" s="1">
        <v>277</v>
      </c>
      <c r="B553" t="str">
        <f ca="1">IFERROR(__xludf.DUMMYFUNCTION((TRANSPOSE(ImportHTML("http://spending.data.al/sq/moneypower/view/id/277/year/2013",  "table", 2)))),"*Kategoria*")</f>
        <v>*Kategoria*</v>
      </c>
      <c r="D553" t="s">
        <v>719</v>
      </c>
      <c r="E553" t="s">
        <v>720</v>
      </c>
      <c r="F553" t="s">
        <v>721</v>
      </c>
      <c r="G553" t="s">
        <v>722</v>
      </c>
      <c r="H553" t="s">
        <v>723</v>
      </c>
      <c r="I553" t="s">
        <v>724</v>
      </c>
      <c r="J553" t="s">
        <v>685</v>
      </c>
    </row>
    <row r="554" spans="1:10" ht="15">
      <c r="A554" s="7"/>
      <c r="B554" t="s">
        <v>686</v>
      </c>
      <c r="D554" t="s">
        <v>2620</v>
      </c>
      <c r="E554" t="s">
        <v>2621</v>
      </c>
      <c r="F554" t="s">
        <v>2622</v>
      </c>
      <c r="G554" t="s">
        <v>688</v>
      </c>
      <c r="H554" t="s">
        <v>688</v>
      </c>
      <c r="J554" t="s">
        <v>2623</v>
      </c>
    </row>
    <row r="555" spans="1:10" ht="15">
      <c r="A555" s="1">
        <v>278</v>
      </c>
      <c r="B555" t="str">
        <f ca="1">IFERROR(__xludf.DUMMYFUNCTION((TRANSPOSE(ImportHTML("http://spending.data.al/sq/moneypower/view/id/278/year/2013",  "table", 2)))),"*Kategoria*")</f>
        <v>*Kategoria*</v>
      </c>
      <c r="C555" t="s">
        <v>2589</v>
      </c>
    </row>
    <row r="556" spans="1:10" ht="15">
      <c r="A556" s="7"/>
      <c r="B556" t="s">
        <v>686</v>
      </c>
    </row>
    <row r="557" spans="1:10" ht="15">
      <c r="A557" s="1">
        <v>279</v>
      </c>
      <c r="B557" t="str">
        <f ca="1">IFERROR(__xludf.DUMMYFUNCTION((TRANSPOSE(ImportHTML("http://spending.data.al/sq/moneypower/view/id/279/year/2013",  "table", 2)))),"*Kategoria*")</f>
        <v>*Kategoria*</v>
      </c>
      <c r="D557" t="s">
        <v>719</v>
      </c>
      <c r="E557" t="s">
        <v>720</v>
      </c>
      <c r="F557" t="s">
        <v>721</v>
      </c>
      <c r="G557" t="s">
        <v>722</v>
      </c>
      <c r="H557" t="s">
        <v>723</v>
      </c>
      <c r="I557" t="s">
        <v>724</v>
      </c>
      <c r="J557" t="s">
        <v>685</v>
      </c>
    </row>
    <row r="558" spans="1:10" ht="15">
      <c r="A558" s="7"/>
      <c r="B558" t="s">
        <v>686</v>
      </c>
      <c r="D558" t="s">
        <v>2624</v>
      </c>
      <c r="E558" t="s">
        <v>2625</v>
      </c>
      <c r="F558" t="s">
        <v>2626</v>
      </c>
      <c r="G558" t="s">
        <v>688</v>
      </c>
      <c r="H558" t="s">
        <v>688</v>
      </c>
      <c r="J558" t="s">
        <v>2627</v>
      </c>
    </row>
    <row r="559" spans="1:10" ht="15">
      <c r="A559" s="1">
        <v>280</v>
      </c>
      <c r="B559" t="str">
        <f ca="1">IFERROR(__xludf.DUMMYFUNCTION((TRANSPOSE(ImportHTML("http://spending.data.al/sq/moneypower/view/id/280/year/2013",  "table", 2)))),"*Kategoria*")</f>
        <v>*Kategoria*</v>
      </c>
      <c r="D559" t="s">
        <v>719</v>
      </c>
      <c r="E559" t="s">
        <v>720</v>
      </c>
      <c r="F559" t="s">
        <v>721</v>
      </c>
      <c r="G559" t="s">
        <v>722</v>
      </c>
      <c r="H559" t="s">
        <v>723</v>
      </c>
      <c r="I559" t="s">
        <v>724</v>
      </c>
      <c r="J559" t="s">
        <v>685</v>
      </c>
    </row>
    <row r="560" spans="1:10" ht="15">
      <c r="A560" s="7"/>
      <c r="B560" t="s">
        <v>686</v>
      </c>
      <c r="D560" t="s">
        <v>2628</v>
      </c>
      <c r="E560" t="s">
        <v>2629</v>
      </c>
      <c r="F560" t="s">
        <v>688</v>
      </c>
      <c r="G560" t="s">
        <v>688</v>
      </c>
      <c r="H560" t="s">
        <v>688</v>
      </c>
      <c r="I560" t="s">
        <v>688</v>
      </c>
      <c r="J560" t="s">
        <v>688</v>
      </c>
    </row>
    <row r="561" spans="1:10" ht="15">
      <c r="A561" s="1">
        <v>281</v>
      </c>
      <c r="B561" t="str">
        <f ca="1">IFERROR(__xludf.DUMMYFUNCTION((TRANSPOSE(ImportHTML("http://spending.data.al/sq/moneypower/view/id/281/year/2013",  "table", 2)))),"*Kategoria*")</f>
        <v>*Kategoria*</v>
      </c>
      <c r="C561" t="s">
        <v>2589</v>
      </c>
    </row>
    <row r="562" spans="1:10" ht="15">
      <c r="A562" s="7"/>
      <c r="B562" t="s">
        <v>686</v>
      </c>
    </row>
    <row r="563" spans="1:10" ht="15">
      <c r="A563" s="1">
        <v>282</v>
      </c>
      <c r="B563" t="str">
        <f ca="1">IFERROR(__xludf.DUMMYFUNCTION((TRANSPOSE(ImportHTML("http://spending.data.al/sq/moneypower/view/id/282/year/2013",  "table", 2)))),"*Kategoria*")</f>
        <v>*Kategoria*</v>
      </c>
      <c r="C563" t="s">
        <v>2589</v>
      </c>
    </row>
    <row r="564" spans="1:10" ht="15">
      <c r="A564" s="7"/>
      <c r="B564" t="s">
        <v>686</v>
      </c>
    </row>
    <row r="565" spans="1:10" ht="15">
      <c r="A565" s="1">
        <v>283</v>
      </c>
      <c r="B565" t="str">
        <f ca="1">IFERROR(__xludf.DUMMYFUNCTION((TRANSPOSE(ImportHTML("http://spending.data.al/sq/moneypower/view/id/283/year/2013",  "table", 2)))),"*Kategoria*")</f>
        <v>*Kategoria*</v>
      </c>
      <c r="C565" t="s">
        <v>2589</v>
      </c>
    </row>
    <row r="566" spans="1:10" ht="15">
      <c r="A566" s="7"/>
      <c r="B566" t="s">
        <v>686</v>
      </c>
    </row>
    <row r="567" spans="1:10" ht="15">
      <c r="A567" s="1">
        <v>284</v>
      </c>
      <c r="B567" t="str">
        <f ca="1">IFERROR(__xludf.DUMMYFUNCTION((TRANSPOSE(ImportHTML("http://spending.data.al/sq/moneypower/view/id/284/year/2013",  "table", 2)))),"*Kategoria*")</f>
        <v>*Kategoria*</v>
      </c>
      <c r="C567" t="s">
        <v>2589</v>
      </c>
    </row>
    <row r="568" spans="1:10" ht="15">
      <c r="A568" s="7"/>
      <c r="B568" t="s">
        <v>686</v>
      </c>
    </row>
    <row r="569" spans="1:10" ht="15">
      <c r="A569" s="1">
        <v>285</v>
      </c>
      <c r="B569" t="str">
        <f ca="1">IFERROR(__xludf.DUMMYFUNCTION((TRANSPOSE(ImportHTML("http://spending.data.al/sq/moneypower/view/id/285/year/2013",  "table", 2)))),"*Kategoria*")</f>
        <v>*Kategoria*</v>
      </c>
      <c r="D569" t="s">
        <v>719</v>
      </c>
      <c r="E569" t="s">
        <v>720</v>
      </c>
      <c r="F569" t="s">
        <v>721</v>
      </c>
      <c r="G569" t="s">
        <v>722</v>
      </c>
      <c r="H569" t="s">
        <v>723</v>
      </c>
      <c r="I569" t="s">
        <v>724</v>
      </c>
      <c r="J569" t="s">
        <v>685</v>
      </c>
    </row>
    <row r="570" spans="1:10" ht="15">
      <c r="A570" s="7"/>
      <c r="B570" t="s">
        <v>686</v>
      </c>
      <c r="D570" t="s">
        <v>2630</v>
      </c>
      <c r="E570" t="s">
        <v>2631</v>
      </c>
      <c r="F570" t="s">
        <v>2632</v>
      </c>
      <c r="G570" t="s">
        <v>2601</v>
      </c>
      <c r="H570" t="s">
        <v>2601</v>
      </c>
      <c r="I570" t="s">
        <v>2601</v>
      </c>
      <c r="J570" t="s">
        <v>2633</v>
      </c>
    </row>
    <row r="571" spans="1:10" ht="15">
      <c r="A571" s="1">
        <v>286</v>
      </c>
      <c r="B571" t="str">
        <f ca="1">IFERROR(__xludf.DUMMYFUNCTION((TRANSPOSE(ImportHTML("http://spending.data.al/sq/moneypower/view/id/286/year/2013",  "table", 2)))),"*Kategoria*")</f>
        <v>*Kategoria*</v>
      </c>
      <c r="D571" t="s">
        <v>719</v>
      </c>
      <c r="E571" t="s">
        <v>720</v>
      </c>
      <c r="F571" t="s">
        <v>721</v>
      </c>
      <c r="G571" t="s">
        <v>722</v>
      </c>
      <c r="H571" t="s">
        <v>723</v>
      </c>
      <c r="I571" t="s">
        <v>724</v>
      </c>
      <c r="J571" t="s">
        <v>685</v>
      </c>
    </row>
    <row r="572" spans="1:10" ht="15">
      <c r="A572" s="7"/>
      <c r="B572" t="s">
        <v>686</v>
      </c>
      <c r="D572" t="s">
        <v>2634</v>
      </c>
      <c r="E572" t="s">
        <v>2601</v>
      </c>
      <c r="F572" t="s">
        <v>2635</v>
      </c>
      <c r="G572" t="s">
        <v>2601</v>
      </c>
      <c r="H572" t="s">
        <v>2601</v>
      </c>
      <c r="I572" t="s">
        <v>2601</v>
      </c>
      <c r="J572" t="s">
        <v>2636</v>
      </c>
    </row>
    <row r="573" spans="1:10" ht="15">
      <c r="A573" s="1">
        <v>287</v>
      </c>
      <c r="B573" t="str">
        <f ca="1">IFERROR(__xludf.DUMMYFUNCTION((TRANSPOSE(ImportHTML("http://spending.data.al/sq/moneypower/view/id/287/year/2013",  "table", 2)))),"*Kategoria*")</f>
        <v>*Kategoria*</v>
      </c>
      <c r="C573" t="s">
        <v>2589</v>
      </c>
    </row>
    <row r="574" spans="1:10" ht="15">
      <c r="A574" s="7"/>
      <c r="B574" t="s">
        <v>686</v>
      </c>
    </row>
    <row r="575" spans="1:10" ht="15">
      <c r="A575" s="1">
        <v>288</v>
      </c>
      <c r="B575" t="str">
        <f ca="1">IFERROR(__xludf.DUMMYFUNCTION((TRANSPOSE(ImportHTML("http://spending.data.al/sq/moneypower/view/id/288/year/2013",  "table", 2)))),"*Kategoria*")</f>
        <v>*Kategoria*</v>
      </c>
      <c r="D575" t="s">
        <v>719</v>
      </c>
      <c r="E575" t="s">
        <v>720</v>
      </c>
      <c r="F575" t="s">
        <v>721</v>
      </c>
      <c r="G575" t="s">
        <v>722</v>
      </c>
      <c r="H575" t="s">
        <v>723</v>
      </c>
      <c r="I575" t="s">
        <v>724</v>
      </c>
      <c r="J575" t="s">
        <v>685</v>
      </c>
    </row>
    <row r="576" spans="1:10" ht="15">
      <c r="A576" s="7"/>
      <c r="B576" t="s">
        <v>686</v>
      </c>
      <c r="D576" t="s">
        <v>2637</v>
      </c>
      <c r="E576" t="s">
        <v>2638</v>
      </c>
      <c r="F576" t="s">
        <v>2639</v>
      </c>
      <c r="G576" t="s">
        <v>2601</v>
      </c>
      <c r="H576" t="s">
        <v>2640</v>
      </c>
      <c r="I576" t="s">
        <v>2601</v>
      </c>
      <c r="J576" t="s">
        <v>2641</v>
      </c>
    </row>
    <row r="577" spans="1:10" ht="15">
      <c r="A577" s="1">
        <v>289</v>
      </c>
      <c r="B577" t="str">
        <f ca="1">IFERROR(__xludf.DUMMYFUNCTION((TRANSPOSE(ImportHTML("http://spending.data.al/sq/moneypower/view/id/289/year/2013",  "table", 2)))),"*Kategoria*")</f>
        <v>*Kategoria*</v>
      </c>
      <c r="C577" t="s">
        <v>2589</v>
      </c>
    </row>
    <row r="578" spans="1:10" ht="15">
      <c r="A578" s="7"/>
      <c r="B578" t="s">
        <v>686</v>
      </c>
    </row>
    <row r="579" spans="1:10" ht="15">
      <c r="A579" s="1">
        <v>290</v>
      </c>
      <c r="B579" t="str">
        <f ca="1">IFERROR(__xludf.DUMMYFUNCTION((TRANSPOSE(ImportHTML("http://spending.data.al/sq/moneypower/view/id/290/year/2013",  "table", 2)))),"*Kategoria*")</f>
        <v>*Kategoria*</v>
      </c>
      <c r="D579" t="s">
        <v>719</v>
      </c>
      <c r="E579" t="s">
        <v>720</v>
      </c>
      <c r="F579" t="s">
        <v>721</v>
      </c>
      <c r="G579" t="s">
        <v>722</v>
      </c>
      <c r="H579" t="s">
        <v>723</v>
      </c>
      <c r="I579" t="s">
        <v>724</v>
      </c>
      <c r="J579" t="s">
        <v>685</v>
      </c>
    </row>
    <row r="580" spans="1:10" ht="15">
      <c r="A580" s="7"/>
      <c r="B580" t="s">
        <v>686</v>
      </c>
      <c r="D580" t="s">
        <v>2642</v>
      </c>
      <c r="E580" t="s">
        <v>2643</v>
      </c>
      <c r="F580" t="s">
        <v>2644</v>
      </c>
      <c r="G580" t="s">
        <v>2601</v>
      </c>
      <c r="H580" t="s">
        <v>2601</v>
      </c>
      <c r="I580" t="s">
        <v>2601</v>
      </c>
      <c r="J580" t="s">
        <v>2645</v>
      </c>
    </row>
    <row r="581" spans="1:10" ht="15">
      <c r="A581" s="1">
        <v>291</v>
      </c>
      <c r="B581" t="str">
        <f ca="1">IFERROR(__xludf.DUMMYFUNCTION((TRANSPOSE(ImportHTML("http://spending.data.al/sq/moneypower/view/id/291/year/2013",  "table", 2)))),"*Kategoria*")</f>
        <v>*Kategoria*</v>
      </c>
      <c r="C581" t="s">
        <v>2589</v>
      </c>
    </row>
    <row r="582" spans="1:10" ht="15">
      <c r="A582" s="7"/>
      <c r="B582" t="s">
        <v>686</v>
      </c>
    </row>
    <row r="583" spans="1:10" ht="15">
      <c r="A583" s="1">
        <v>292</v>
      </c>
      <c r="B583" t="str">
        <f ca="1">IFERROR(__xludf.DUMMYFUNCTION((TRANSPOSE(ImportHTML("http://spending.data.al/sq/moneypower/view/id/292/year/2013",  "table", 2)))),"*Kategoria*")</f>
        <v>*Kategoria*</v>
      </c>
      <c r="D583" t="s">
        <v>719</v>
      </c>
      <c r="E583" t="s">
        <v>720</v>
      </c>
      <c r="F583" t="s">
        <v>721</v>
      </c>
      <c r="G583" t="s">
        <v>722</v>
      </c>
      <c r="H583" t="s">
        <v>723</v>
      </c>
      <c r="I583" t="s">
        <v>724</v>
      </c>
      <c r="J583" t="s">
        <v>685</v>
      </c>
    </row>
    <row r="584" spans="1:10" ht="15">
      <c r="A584" s="7"/>
      <c r="B584" t="s">
        <v>686</v>
      </c>
      <c r="D584" t="s">
        <v>2646</v>
      </c>
      <c r="E584" t="s">
        <v>2647</v>
      </c>
      <c r="F584" t="s">
        <v>2601</v>
      </c>
      <c r="G584" t="s">
        <v>2601</v>
      </c>
      <c r="H584" t="s">
        <v>2601</v>
      </c>
      <c r="I584" t="s">
        <v>2601</v>
      </c>
      <c r="J584" t="s">
        <v>2648</v>
      </c>
    </row>
    <row r="585" spans="1:10" ht="15">
      <c r="A585" s="1">
        <v>293</v>
      </c>
      <c r="B585" t="str">
        <f ca="1">IFERROR(__xludf.DUMMYFUNCTION((TRANSPOSE(ImportHTML("http://spending.data.al/sq/moneypower/view/id/293/year/2013",  "table", 2)))),"*Kategoria*")</f>
        <v>*Kategoria*</v>
      </c>
      <c r="D585" t="s">
        <v>719</v>
      </c>
      <c r="E585" t="s">
        <v>720</v>
      </c>
      <c r="F585" t="s">
        <v>721</v>
      </c>
      <c r="G585" t="s">
        <v>722</v>
      </c>
      <c r="H585" t="s">
        <v>723</v>
      </c>
      <c r="I585" t="s">
        <v>724</v>
      </c>
      <c r="J585" t="s">
        <v>685</v>
      </c>
    </row>
    <row r="586" spans="1:10" ht="15">
      <c r="A586" s="7"/>
      <c r="B586" t="s">
        <v>686</v>
      </c>
      <c r="D586" t="s">
        <v>2649</v>
      </c>
      <c r="E586" t="s">
        <v>2650</v>
      </c>
      <c r="F586" t="s">
        <v>2651</v>
      </c>
      <c r="G586" t="s">
        <v>2601</v>
      </c>
      <c r="H586" t="s">
        <v>2601</v>
      </c>
      <c r="I586" t="s">
        <v>2601</v>
      </c>
      <c r="J586" t="s">
        <v>2652</v>
      </c>
    </row>
    <row r="587" spans="1:10" ht="15">
      <c r="A587" s="1">
        <v>294</v>
      </c>
      <c r="B587" t="str">
        <f ca="1">IFERROR(__xludf.DUMMYFUNCTION((TRANSPOSE(ImportHTML("http://spending.data.al/sq/moneypower/view/id/294/year/2013",  "table", 2)))),"*Kategoria*")</f>
        <v>*Kategoria*</v>
      </c>
      <c r="D587" t="s">
        <v>719</v>
      </c>
      <c r="E587" t="s">
        <v>720</v>
      </c>
      <c r="F587" t="s">
        <v>721</v>
      </c>
      <c r="G587" t="s">
        <v>722</v>
      </c>
      <c r="H587" t="s">
        <v>723</v>
      </c>
      <c r="I587" t="s">
        <v>724</v>
      </c>
      <c r="J587" t="s">
        <v>685</v>
      </c>
    </row>
    <row r="588" spans="1:10" ht="15">
      <c r="A588" s="7"/>
      <c r="B588" t="s">
        <v>686</v>
      </c>
      <c r="D588" t="s">
        <v>2601</v>
      </c>
      <c r="E588" t="s">
        <v>2653</v>
      </c>
      <c r="F588" t="s">
        <v>2654</v>
      </c>
      <c r="G588" t="s">
        <v>2601</v>
      </c>
      <c r="H588" t="s">
        <v>2601</v>
      </c>
      <c r="I588" t="s">
        <v>2601</v>
      </c>
      <c r="J588" t="s">
        <v>2655</v>
      </c>
    </row>
    <row r="589" spans="1:10" ht="15">
      <c r="A589" s="1">
        <v>295</v>
      </c>
      <c r="B589" t="str">
        <f ca="1">IFERROR(__xludf.DUMMYFUNCTION((TRANSPOSE(ImportHTML("http://spending.data.al/sq/moneypower/view/id/295/year/2013",  "table", 2)))),"*Kategoria*")</f>
        <v>*Kategoria*</v>
      </c>
      <c r="C589" t="s">
        <v>2589</v>
      </c>
    </row>
    <row r="590" spans="1:10" ht="15">
      <c r="A590" s="7"/>
      <c r="B590" t="s">
        <v>686</v>
      </c>
    </row>
    <row r="591" spans="1:10" ht="15">
      <c r="A591" s="1">
        <v>296</v>
      </c>
      <c r="B591" t="str">
        <f ca="1">IFERROR(__xludf.DUMMYFUNCTION((TRANSPOSE(ImportHTML("http://spending.data.al/sq/moneypower/view/id/296/year/2013",  "table", 2)))),"*Kategoria*")</f>
        <v>*Kategoria*</v>
      </c>
      <c r="C591" t="s">
        <v>2589</v>
      </c>
    </row>
    <row r="592" spans="1:10" ht="15">
      <c r="A592" s="7"/>
      <c r="B592" t="s">
        <v>686</v>
      </c>
    </row>
    <row r="593" spans="1:10" ht="15">
      <c r="A593" s="1">
        <v>297</v>
      </c>
      <c r="B593" t="str">
        <f ca="1">IFERROR(__xludf.DUMMYFUNCTION((TRANSPOSE(ImportHTML("http://spending.data.al/sq/moneypower/view/id/297/year/2013",  "table", 2)))),"*Kategoria*")</f>
        <v>*Kategoria*</v>
      </c>
      <c r="D593" t="s">
        <v>719</v>
      </c>
      <c r="E593" t="s">
        <v>720</v>
      </c>
      <c r="F593" t="s">
        <v>721</v>
      </c>
      <c r="G593" t="s">
        <v>722</v>
      </c>
      <c r="H593" t="s">
        <v>723</v>
      </c>
      <c r="I593" t="s">
        <v>724</v>
      </c>
      <c r="J593" t="s">
        <v>685</v>
      </c>
    </row>
    <row r="594" spans="1:10" ht="15">
      <c r="A594" s="7"/>
      <c r="B594" t="s">
        <v>686</v>
      </c>
      <c r="D594" t="s">
        <v>2656</v>
      </c>
      <c r="E594" t="s">
        <v>727</v>
      </c>
      <c r="F594" t="s">
        <v>2657</v>
      </c>
      <c r="G594" t="s">
        <v>727</v>
      </c>
      <c r="H594" t="s">
        <v>727</v>
      </c>
      <c r="I594" t="s">
        <v>727</v>
      </c>
      <c r="J594" t="s">
        <v>2658</v>
      </c>
    </row>
    <row r="595" spans="1:10" ht="15">
      <c r="A595" s="1">
        <v>298</v>
      </c>
      <c r="B595" t="str">
        <f ca="1">IFERROR(__xludf.DUMMYFUNCTION((TRANSPOSE(ImportHTML("http://spending.data.al/sq/moneypower/view/id/298/year/2013",  "table", 2)))),"*Kategoria*")</f>
        <v>*Kategoria*</v>
      </c>
      <c r="C595" t="s">
        <v>2589</v>
      </c>
    </row>
    <row r="596" spans="1:10" ht="15">
      <c r="A596" s="7"/>
      <c r="B596" t="s">
        <v>686</v>
      </c>
    </row>
    <row r="597" spans="1:10" ht="15">
      <c r="A597" s="1">
        <v>299</v>
      </c>
      <c r="B597" t="str">
        <f ca="1">IFERROR(__xludf.DUMMYFUNCTION((TRANSPOSE(ImportHTML("http://spending.data.al/sq/moneypower/view/id/299/year/2013",  "table", 2)))),"*Kategoria*")</f>
        <v>*Kategoria*</v>
      </c>
      <c r="C597" t="s">
        <v>2589</v>
      </c>
    </row>
    <row r="598" spans="1:10" ht="15">
      <c r="A598" s="7"/>
      <c r="B598" t="s">
        <v>686</v>
      </c>
    </row>
    <row r="599" spans="1:10" ht="15">
      <c r="A599" s="1">
        <v>300</v>
      </c>
      <c r="B599" t="str">
        <f ca="1">IFERROR(__xludf.DUMMYFUNCTION((TRANSPOSE(ImportHTML("http://spending.data.al/sq/moneypower/view/id/300/year/2013",  "table", 2)))),"*Kategoria*")</f>
        <v>*Kategoria*</v>
      </c>
      <c r="C599" t="s">
        <v>2589</v>
      </c>
    </row>
    <row r="600" spans="1:10" ht="15">
      <c r="A600" s="7"/>
      <c r="B600" t="s">
        <v>686</v>
      </c>
    </row>
    <row r="601" spans="1:10" ht="15">
      <c r="A601" s="1">
        <v>301</v>
      </c>
      <c r="B601" t="str">
        <f ca="1">IFERROR(__xludf.DUMMYFUNCTION((TRANSPOSE(ImportHTML("http://spending.data.al/sq/moneypower/view/id/301/year/2013",  "table", 2)))),"*Kategoria*")</f>
        <v>*Kategoria*</v>
      </c>
      <c r="C601" t="s">
        <v>2589</v>
      </c>
    </row>
    <row r="602" spans="1:10" ht="15">
      <c r="A602" s="7"/>
      <c r="B602" t="s">
        <v>686</v>
      </c>
    </row>
    <row r="603" spans="1:10" ht="15">
      <c r="A603" s="1">
        <v>302</v>
      </c>
      <c r="B603" t="str">
        <f ca="1">IFERROR(__xludf.DUMMYFUNCTION((TRANSPOSE(ImportHTML("http://spending.data.al/sq/moneypower/view/id/302/year/2013",  "table", 2)))),"*Kategoria*")</f>
        <v>*Kategoria*</v>
      </c>
      <c r="C603" t="s">
        <v>2589</v>
      </c>
    </row>
    <row r="604" spans="1:10" ht="15">
      <c r="A604" s="7"/>
      <c r="B604" t="s">
        <v>686</v>
      </c>
    </row>
    <row r="605" spans="1:10" ht="15">
      <c r="A605" s="1">
        <v>303</v>
      </c>
      <c r="B605" t="str">
        <f ca="1">IFERROR(__xludf.DUMMYFUNCTION((TRANSPOSE(ImportHTML("http://spending.data.al/sq/moneypower/view/id/303/year/2013",  "table", 2)))),"*Kategoria*")</f>
        <v>*Kategoria*</v>
      </c>
      <c r="D605" t="s">
        <v>719</v>
      </c>
      <c r="E605" t="s">
        <v>720</v>
      </c>
      <c r="F605" t="s">
        <v>721</v>
      </c>
      <c r="G605" t="s">
        <v>722</v>
      </c>
      <c r="H605" t="s">
        <v>723</v>
      </c>
      <c r="I605" t="s">
        <v>724</v>
      </c>
      <c r="J605" t="s">
        <v>685</v>
      </c>
    </row>
    <row r="606" spans="1:10" ht="15">
      <c r="A606" s="7"/>
      <c r="B606" t="s">
        <v>686</v>
      </c>
      <c r="D606" t="s">
        <v>2659</v>
      </c>
      <c r="E606" t="s">
        <v>727</v>
      </c>
      <c r="F606" t="s">
        <v>2660</v>
      </c>
      <c r="G606" t="s">
        <v>727</v>
      </c>
      <c r="H606" t="s">
        <v>727</v>
      </c>
      <c r="I606" t="s">
        <v>727</v>
      </c>
      <c r="J606" t="s">
        <v>2661</v>
      </c>
    </row>
    <row r="607" spans="1:10" ht="15">
      <c r="A607" s="1">
        <v>304</v>
      </c>
      <c r="B607" t="str">
        <f ca="1">IFERROR(__xludf.DUMMYFUNCTION((TRANSPOSE(ImportHTML("http://spending.data.al/sq/moneypower/view/id/304/year/2013",  "table", 2)))),"*Kategoria*")</f>
        <v>*Kategoria*</v>
      </c>
      <c r="C607" t="s">
        <v>2589</v>
      </c>
    </row>
    <row r="608" spans="1:10" ht="15">
      <c r="A608" s="7"/>
      <c r="B608" t="s">
        <v>686</v>
      </c>
    </row>
    <row r="609" spans="1:10" ht="15">
      <c r="A609" s="1">
        <v>305</v>
      </c>
      <c r="B609" t="str">
        <f ca="1">IFERROR(__xludf.DUMMYFUNCTION((TRANSPOSE(ImportHTML("http://spending.data.al/sq/moneypower/view/id/305/year/2013",  "table", 2)))),"*Kategoria*")</f>
        <v>*Kategoria*</v>
      </c>
      <c r="D609" t="s">
        <v>719</v>
      </c>
      <c r="E609" t="s">
        <v>720</v>
      </c>
      <c r="F609" t="s">
        <v>721</v>
      </c>
      <c r="G609" t="s">
        <v>722</v>
      </c>
      <c r="H609" t="s">
        <v>723</v>
      </c>
      <c r="I609" t="s">
        <v>724</v>
      </c>
      <c r="J609" t="s">
        <v>685</v>
      </c>
    </row>
    <row r="610" spans="1:10" ht="15">
      <c r="A610" s="7"/>
      <c r="B610" t="s">
        <v>686</v>
      </c>
      <c r="D610" t="s">
        <v>2662</v>
      </c>
      <c r="E610" t="s">
        <v>2663</v>
      </c>
      <c r="F610" t="s">
        <v>727</v>
      </c>
      <c r="G610" t="s">
        <v>727</v>
      </c>
      <c r="H610" t="s">
        <v>2664</v>
      </c>
      <c r="I610" t="s">
        <v>727</v>
      </c>
      <c r="J610" t="s">
        <v>2665</v>
      </c>
    </row>
    <row r="611" spans="1:10" ht="15">
      <c r="A611" s="1">
        <v>306</v>
      </c>
      <c r="B611" t="str">
        <f ca="1">IFERROR(__xludf.DUMMYFUNCTION((TRANSPOSE(ImportHTML("http://spending.data.al/sq/moneypower/view/id/306/year/2013",  "table", 2)))),"*Kategoria*")</f>
        <v>*Kategoria*</v>
      </c>
      <c r="C611" t="s">
        <v>2589</v>
      </c>
    </row>
    <row r="612" spans="1:10" ht="15">
      <c r="A612" s="7"/>
      <c r="B612" t="s">
        <v>686</v>
      </c>
    </row>
    <row r="613" spans="1:10" ht="15">
      <c r="A613" s="1">
        <v>307</v>
      </c>
      <c r="B613" t="str">
        <f ca="1">IFERROR(__xludf.DUMMYFUNCTION((TRANSPOSE(ImportHTML("http://spending.data.al/sq/moneypower/view/id/307/year/2013",  "table", 2)))),"*Kategoria*")</f>
        <v>*Kategoria*</v>
      </c>
      <c r="D613" t="s">
        <v>719</v>
      </c>
      <c r="E613" t="s">
        <v>720</v>
      </c>
      <c r="F613" t="s">
        <v>721</v>
      </c>
      <c r="G613" t="s">
        <v>722</v>
      </c>
      <c r="H613" t="s">
        <v>723</v>
      </c>
      <c r="I613" t="s">
        <v>724</v>
      </c>
      <c r="J613" t="s">
        <v>685</v>
      </c>
    </row>
    <row r="614" spans="1:10" ht="15">
      <c r="A614" s="7"/>
      <c r="B614" t="s">
        <v>686</v>
      </c>
      <c r="D614" t="s">
        <v>2666</v>
      </c>
      <c r="E614" t="s">
        <v>2667</v>
      </c>
      <c r="F614" t="s">
        <v>2668</v>
      </c>
      <c r="G614" t="s">
        <v>2601</v>
      </c>
      <c r="H614" t="s">
        <v>2669</v>
      </c>
      <c r="I614" t="s">
        <v>2601</v>
      </c>
      <c r="J614" t="s">
        <v>2670</v>
      </c>
    </row>
    <row r="615" spans="1:10" ht="15">
      <c r="A615" s="1">
        <v>308</v>
      </c>
      <c r="B615" t="str">
        <f ca="1">IFERROR(__xludf.DUMMYFUNCTION((TRANSPOSE(ImportHTML("http://spending.data.al/sq/moneypower/view/id/308/year/2013",  "table", 2)))),"*Kategoria*")</f>
        <v>*Kategoria*</v>
      </c>
      <c r="C615" t="s">
        <v>2589</v>
      </c>
    </row>
    <row r="616" spans="1:10" ht="15">
      <c r="A616" s="7"/>
      <c r="B616" t="s">
        <v>686</v>
      </c>
    </row>
    <row r="617" spans="1:10" ht="15">
      <c r="A617" s="1">
        <v>309</v>
      </c>
      <c r="B617" t="str">
        <f ca="1">IFERROR(__xludf.DUMMYFUNCTION((TRANSPOSE(ImportHTML("http://spending.data.al/sq/moneypower/view/id/309/year/2013",  "table", 2)))),"*Kategoria*")</f>
        <v>*Kategoria*</v>
      </c>
      <c r="D617" t="s">
        <v>719</v>
      </c>
      <c r="E617" t="s">
        <v>720</v>
      </c>
      <c r="F617" t="s">
        <v>721</v>
      </c>
      <c r="G617" t="s">
        <v>722</v>
      </c>
      <c r="H617" t="s">
        <v>723</v>
      </c>
      <c r="I617" t="s">
        <v>724</v>
      </c>
      <c r="J617" t="s">
        <v>685</v>
      </c>
    </row>
    <row r="618" spans="1:10" ht="15">
      <c r="A618" s="7"/>
      <c r="B618" t="s">
        <v>686</v>
      </c>
      <c r="D618" t="s">
        <v>2671</v>
      </c>
      <c r="E618" t="s">
        <v>2672</v>
      </c>
      <c r="F618" t="s">
        <v>2673</v>
      </c>
      <c r="G618" t="s">
        <v>727</v>
      </c>
      <c r="H618" t="s">
        <v>2674</v>
      </c>
      <c r="I618" t="s">
        <v>727</v>
      </c>
      <c r="J618" t="s">
        <v>2675</v>
      </c>
    </row>
    <row r="619" spans="1:10" ht="15">
      <c r="A619" s="1">
        <v>310</v>
      </c>
      <c r="B619" t="str">
        <f ca="1">IFERROR(__xludf.DUMMYFUNCTION((TRANSPOSE(ImportHTML("http://spending.data.al/sq/moneypower/view/id/310/year/2013",  "table", 2)))),"*Kategoria*")</f>
        <v>*Kategoria*</v>
      </c>
      <c r="C619" t="s">
        <v>2589</v>
      </c>
    </row>
    <row r="620" spans="1:10" ht="15">
      <c r="A620" s="7"/>
      <c r="B620" t="s">
        <v>686</v>
      </c>
    </row>
    <row r="621" spans="1:10" ht="15">
      <c r="A621" s="1">
        <v>311</v>
      </c>
      <c r="B621" t="str">
        <f ca="1">IFERROR(__xludf.DUMMYFUNCTION((TRANSPOSE(ImportHTML("http://spending.data.al/sq/moneypower/view/id/311/year/2013",  "table", 2)))),"*Kategoria*")</f>
        <v>*Kategoria*</v>
      </c>
      <c r="D621" t="s">
        <v>719</v>
      </c>
      <c r="E621" t="s">
        <v>720</v>
      </c>
      <c r="F621" t="s">
        <v>721</v>
      </c>
      <c r="G621" t="s">
        <v>722</v>
      </c>
      <c r="H621" t="s">
        <v>723</v>
      </c>
      <c r="I621" t="s">
        <v>724</v>
      </c>
      <c r="J621" t="s">
        <v>685</v>
      </c>
    </row>
    <row r="622" spans="1:10" ht="15">
      <c r="A622" s="7"/>
      <c r="B622" t="s">
        <v>686</v>
      </c>
      <c r="D622" t="s">
        <v>2676</v>
      </c>
      <c r="E622" t="s">
        <v>2677</v>
      </c>
      <c r="F622" t="s">
        <v>727</v>
      </c>
      <c r="G622" t="s">
        <v>727</v>
      </c>
      <c r="H622" t="s">
        <v>727</v>
      </c>
      <c r="I622" t="s">
        <v>727</v>
      </c>
      <c r="J622" t="s">
        <v>2678</v>
      </c>
    </row>
    <row r="623" spans="1:10" ht="15">
      <c r="A623" s="1">
        <v>312</v>
      </c>
      <c r="B623" t="str">
        <f ca="1">IFERROR(__xludf.DUMMYFUNCTION((TRANSPOSE(ImportHTML("http://spending.data.al/sq/moneypower/view/id/312/year/2013",  "table", 2)))),"*Kategoria*")</f>
        <v>*Kategoria*</v>
      </c>
      <c r="D623" t="s">
        <v>719</v>
      </c>
      <c r="E623" t="s">
        <v>720</v>
      </c>
      <c r="F623" t="s">
        <v>721</v>
      </c>
      <c r="G623" t="s">
        <v>722</v>
      </c>
      <c r="H623" t="s">
        <v>723</v>
      </c>
      <c r="I623" t="s">
        <v>724</v>
      </c>
      <c r="J623" t="s">
        <v>685</v>
      </c>
    </row>
    <row r="624" spans="1:10" ht="15">
      <c r="A624" s="7"/>
      <c r="B624" t="s">
        <v>686</v>
      </c>
      <c r="D624" t="s">
        <v>2679</v>
      </c>
      <c r="E624" t="s">
        <v>2680</v>
      </c>
      <c r="F624" t="s">
        <v>2681</v>
      </c>
      <c r="G624" t="s">
        <v>2601</v>
      </c>
      <c r="H624" t="s">
        <v>2601</v>
      </c>
      <c r="I624" t="s">
        <v>2601</v>
      </c>
      <c r="J624" t="s">
        <v>2682</v>
      </c>
    </row>
    <row r="625" spans="1:10" ht="15">
      <c r="A625" s="1">
        <v>313</v>
      </c>
      <c r="B625" t="str">
        <f ca="1">IFERROR(__xludf.DUMMYFUNCTION((TRANSPOSE(ImportHTML("http://spending.data.al/sq/moneypower/view/id/313/year/2013",  "table", 2)))),"*Kategoria*")</f>
        <v>*Kategoria*</v>
      </c>
      <c r="D625" t="s">
        <v>719</v>
      </c>
      <c r="E625" t="s">
        <v>720</v>
      </c>
      <c r="F625" t="s">
        <v>721</v>
      </c>
      <c r="G625" t="s">
        <v>722</v>
      </c>
      <c r="H625" t="s">
        <v>723</v>
      </c>
      <c r="I625" t="s">
        <v>724</v>
      </c>
      <c r="J625" t="s">
        <v>685</v>
      </c>
    </row>
    <row r="626" spans="1:10" ht="15">
      <c r="A626" s="7"/>
      <c r="B626" t="s">
        <v>686</v>
      </c>
      <c r="D626" t="s">
        <v>2683</v>
      </c>
      <c r="E626" t="s">
        <v>2684</v>
      </c>
      <c r="F626" t="s">
        <v>2685</v>
      </c>
      <c r="G626" t="s">
        <v>727</v>
      </c>
      <c r="H626" t="s">
        <v>727</v>
      </c>
      <c r="I626" t="s">
        <v>727</v>
      </c>
      <c r="J626" t="s">
        <v>2686</v>
      </c>
    </row>
    <row r="627" spans="1:10" ht="15">
      <c r="A627" s="1">
        <v>314</v>
      </c>
      <c r="B627" t="str">
        <f ca="1">IFERROR(__xludf.DUMMYFUNCTION((TRANSPOSE(ImportHTML("http://spending.data.al/sq/moneypower/view/id/314/year/2013",  "table", 2)))),"*Kategoria*")</f>
        <v>*Kategoria*</v>
      </c>
      <c r="C627" t="s">
        <v>2589</v>
      </c>
    </row>
    <row r="628" spans="1:10" ht="15">
      <c r="A628" s="7"/>
      <c r="B628" t="s">
        <v>686</v>
      </c>
    </row>
    <row r="629" spans="1:10" ht="15">
      <c r="A629" s="1">
        <v>315</v>
      </c>
      <c r="B629" t="str">
        <f ca="1">IFERROR(__xludf.DUMMYFUNCTION((TRANSPOSE(ImportHTML("http://spending.data.al/sq/moneypower/view/id/315/year/2013",  "table", 2)))),"*Kategoria*")</f>
        <v>*Kategoria*</v>
      </c>
      <c r="C629" t="s">
        <v>2589</v>
      </c>
    </row>
    <row r="630" spans="1:10" ht="15">
      <c r="A630" s="7"/>
      <c r="B630" t="s">
        <v>686</v>
      </c>
    </row>
    <row r="631" spans="1:10" ht="15">
      <c r="A631" s="1">
        <v>316</v>
      </c>
      <c r="B631" t="str">
        <f ca="1">IFERROR(__xludf.DUMMYFUNCTION((TRANSPOSE(ImportHTML("http://spending.data.al/sq/moneypower/view/id/316/year/2013",  "table", 2)))),"*Kategoria*")</f>
        <v>*Kategoria*</v>
      </c>
      <c r="C631" t="s">
        <v>2589</v>
      </c>
    </row>
    <row r="632" spans="1:10" ht="15">
      <c r="A632" s="7"/>
      <c r="B632" t="s">
        <v>686</v>
      </c>
    </row>
    <row r="633" spans="1:10" ht="15">
      <c r="A633" s="1">
        <v>317</v>
      </c>
      <c r="B633" t="str">
        <f ca="1">IFERROR(__xludf.DUMMYFUNCTION((TRANSPOSE(ImportHTML("http://spending.data.al/sq/moneypower/view/id/317/year/2013",  "table", 2)))),"*Kategoria*")</f>
        <v>*Kategoria*</v>
      </c>
      <c r="D633" t="s">
        <v>719</v>
      </c>
      <c r="E633" t="s">
        <v>720</v>
      </c>
      <c r="F633" t="s">
        <v>721</v>
      </c>
      <c r="G633" t="s">
        <v>722</v>
      </c>
      <c r="H633" t="s">
        <v>723</v>
      </c>
      <c r="I633" t="s">
        <v>724</v>
      </c>
      <c r="J633" t="s">
        <v>685</v>
      </c>
    </row>
    <row r="634" spans="1:10" ht="15">
      <c r="A634" s="7"/>
      <c r="B634" t="s">
        <v>686</v>
      </c>
      <c r="D634" t="s">
        <v>727</v>
      </c>
      <c r="E634" t="s">
        <v>2687</v>
      </c>
      <c r="F634" t="s">
        <v>2688</v>
      </c>
      <c r="G634" t="s">
        <v>727</v>
      </c>
      <c r="H634" t="s">
        <v>727</v>
      </c>
      <c r="I634" t="s">
        <v>727</v>
      </c>
      <c r="J634" t="s">
        <v>2689</v>
      </c>
    </row>
    <row r="635" spans="1:10" ht="15">
      <c r="A635" s="1">
        <v>318</v>
      </c>
      <c r="B635" t="str">
        <f ca="1">IFERROR(__xludf.DUMMYFUNCTION((TRANSPOSE(ImportHTML("http://spending.data.al/sq/moneypower/view/id/318/year/2013",  "table", 2)))),"*Kategoria*")</f>
        <v>*Kategoria*</v>
      </c>
      <c r="D635" t="s">
        <v>719</v>
      </c>
      <c r="E635" t="s">
        <v>720</v>
      </c>
      <c r="F635" t="s">
        <v>721</v>
      </c>
      <c r="G635" t="s">
        <v>722</v>
      </c>
      <c r="H635" t="s">
        <v>723</v>
      </c>
      <c r="I635" t="s">
        <v>724</v>
      </c>
      <c r="J635" t="s">
        <v>685</v>
      </c>
    </row>
    <row r="636" spans="1:10" ht="15">
      <c r="A636" s="7"/>
      <c r="B636" t="s">
        <v>686</v>
      </c>
      <c r="D636" t="s">
        <v>2690</v>
      </c>
      <c r="E636" t="s">
        <v>2691</v>
      </c>
      <c r="F636" t="s">
        <v>2692</v>
      </c>
      <c r="G636" t="s">
        <v>2693</v>
      </c>
      <c r="H636" t="s">
        <v>2601</v>
      </c>
      <c r="I636" t="s">
        <v>2601</v>
      </c>
      <c r="J636" t="s">
        <v>2694</v>
      </c>
    </row>
    <row r="637" spans="1:10" ht="15">
      <c r="A637" s="1">
        <v>319</v>
      </c>
      <c r="B637" t="str">
        <f ca="1">IFERROR(__xludf.DUMMYFUNCTION((TRANSPOSE(ImportHTML("http://spending.data.al/sq/moneypower/view/id/319/year/2013",  "table", 2)))),"*Kategoria*")</f>
        <v>*Kategoria*</v>
      </c>
      <c r="C637" t="s">
        <v>2589</v>
      </c>
    </row>
    <row r="638" spans="1:10" ht="15">
      <c r="A638" s="7"/>
      <c r="B638" t="s">
        <v>686</v>
      </c>
    </row>
    <row r="639" spans="1:10" ht="15">
      <c r="A639" s="1">
        <v>320</v>
      </c>
      <c r="B639" t="str">
        <f ca="1">IFERROR(__xludf.DUMMYFUNCTION((TRANSPOSE(ImportHTML("http://spending.data.al/sq/moneypower/view/id/320/year/2013",  "table", 2)))),"*Kategoria*")</f>
        <v>*Kategoria*</v>
      </c>
      <c r="C639" t="s">
        <v>2589</v>
      </c>
    </row>
    <row r="640" spans="1:10" ht="15">
      <c r="A640" s="7"/>
      <c r="B640" t="s">
        <v>686</v>
      </c>
    </row>
    <row r="641" spans="1:3" ht="15">
      <c r="A641" s="1">
        <v>321</v>
      </c>
      <c r="B641" t="str">
        <f ca="1">IFERROR(__xludf.DUMMYFUNCTION((TRANSPOSE(ImportHTML("http://spending.data.al/sq/moneypower/view/id/321/year/2013",  "table", 2)))),"*Kategoria*")</f>
        <v>*Kategoria*</v>
      </c>
      <c r="C641" t="s">
        <v>2589</v>
      </c>
    </row>
    <row r="642" spans="1:3" ht="15">
      <c r="A642" s="7"/>
      <c r="B642" t="s">
        <v>686</v>
      </c>
    </row>
    <row r="643" spans="1:3" ht="15">
      <c r="A643" s="1">
        <v>322</v>
      </c>
      <c r="B643" t="str">
        <f ca="1">IFERROR(__xludf.DUMMYFUNCTION((TRANSPOSE(ImportHTML("http://spending.data.al/sq/moneypower/view/id/322/year/2013",  "table", 2)))),"*Kategoria*")</f>
        <v>*Kategoria*</v>
      </c>
      <c r="C643" t="s">
        <v>2589</v>
      </c>
    </row>
    <row r="644" spans="1:3" ht="15">
      <c r="A644" s="7"/>
      <c r="B644" t="s">
        <v>686</v>
      </c>
    </row>
    <row r="645" spans="1:3" ht="15">
      <c r="A645" s="1">
        <v>323</v>
      </c>
      <c r="B645" t="str">
        <f ca="1">IFERROR(__xludf.DUMMYFUNCTION((TRANSPOSE(ImportHTML("http://spending.data.al/sq/moneypower/view/id/323/year/2013",  "table", 2)))),"*Kategoria*")</f>
        <v>*Kategoria*</v>
      </c>
      <c r="C645" t="s">
        <v>2589</v>
      </c>
    </row>
    <row r="646" spans="1:3" ht="15">
      <c r="A646" s="7"/>
      <c r="B646" t="s">
        <v>686</v>
      </c>
    </row>
    <row r="647" spans="1:3" ht="15">
      <c r="A647" s="1">
        <v>324</v>
      </c>
      <c r="B647" t="str">
        <f ca="1">IFERROR(__xludf.DUMMYFUNCTION((TRANSPOSE(ImportHTML("http://spending.data.al/sq/moneypower/view/id/324/year/2013",  "table", 2)))),"*Kategoria*")</f>
        <v>*Kategoria*</v>
      </c>
      <c r="C647" t="s">
        <v>2589</v>
      </c>
    </row>
    <row r="648" spans="1:3" ht="15">
      <c r="A648" s="7"/>
      <c r="B648" t="s">
        <v>686</v>
      </c>
    </row>
    <row r="649" spans="1:3" ht="15">
      <c r="A649" s="1">
        <v>325</v>
      </c>
      <c r="B649" t="str">
        <f ca="1">IFERROR(__xludf.DUMMYFUNCTION((TRANSPOSE(ImportHTML("http://spending.data.al/sq/moneypower/view/id/325/year/2013",  "table", 2)))),"*Kategoria*")</f>
        <v>*Kategoria*</v>
      </c>
      <c r="C649" t="s">
        <v>2589</v>
      </c>
    </row>
    <row r="650" spans="1:3" ht="15">
      <c r="A650" s="7"/>
      <c r="B650" t="s">
        <v>686</v>
      </c>
    </row>
    <row r="651" spans="1:3" ht="15">
      <c r="A651" s="1">
        <v>326</v>
      </c>
      <c r="B651" t="str">
        <f ca="1">IFERROR(__xludf.DUMMYFUNCTION((TRANSPOSE(ImportHTML("http://spending.data.al/sq/moneypower/view/id/326/year/2013",  "table", 2)))),"*Kategoria*")</f>
        <v>*Kategoria*</v>
      </c>
      <c r="C651" t="s">
        <v>2589</v>
      </c>
    </row>
    <row r="652" spans="1:3" ht="15">
      <c r="A652" s="7"/>
      <c r="B652" t="s">
        <v>686</v>
      </c>
    </row>
    <row r="653" spans="1:3" ht="15">
      <c r="A653" s="1">
        <v>327</v>
      </c>
      <c r="B653" t="str">
        <f ca="1">IFERROR(__xludf.DUMMYFUNCTION((TRANSPOSE(ImportHTML("http://spending.data.al/sq/moneypower/view/id/327/year/2013",  "table", 2)))),"*Kategoria*")</f>
        <v>*Kategoria*</v>
      </c>
      <c r="C653" t="s">
        <v>2589</v>
      </c>
    </row>
    <row r="654" spans="1:3" ht="15.75" customHeight="1">
      <c r="B654"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emrat</vt:lpstr>
      <vt:lpstr>Fillimi</vt:lpstr>
      <vt:lpstr>Sheet6</vt:lpstr>
      <vt:lpstr>2011_0</vt:lpstr>
      <vt:lpstr>2011_2</vt:lpstr>
      <vt:lpstr>2012_0</vt:lpstr>
      <vt:lpstr>2012_2</vt:lpstr>
      <vt:lpstr>2013_0</vt:lpstr>
      <vt:lpstr>2013_2</vt:lpstr>
      <vt:lpstr>2014_0</vt:lpstr>
      <vt:lpstr>2014_2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Arjan Shahini</cp:lastModifiedBy>
  <dcterms:modified xsi:type="dcterms:W3CDTF">2015-11-20T19:39:16Z</dcterms:modified>
</cp:coreProperties>
</file>