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8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5" i="1"/>
  <c r="D241"/>
  <c r="D237"/>
  <c r="A245"/>
  <c r="A109"/>
  <c r="A145" l="1"/>
  <c r="A97"/>
  <c r="A101"/>
  <c r="A105"/>
  <c r="A201"/>
  <c r="A209"/>
  <c r="A237" l="1"/>
  <c r="B237" s="1"/>
  <c r="A241"/>
  <c r="B241" s="1"/>
  <c r="A133"/>
  <c r="A161"/>
  <c r="A197"/>
  <c r="A225" l="1"/>
  <c r="A221"/>
  <c r="A217"/>
  <c r="A213"/>
  <c r="A185"/>
  <c r="A165"/>
  <c r="A157"/>
  <c r="A113"/>
  <c r="A81"/>
  <c r="A65"/>
  <c r="A57"/>
  <c r="A53"/>
  <c r="A41"/>
  <c r="B213"/>
  <c r="B209"/>
  <c r="A181"/>
  <c r="A177"/>
  <c r="A173"/>
  <c r="A169"/>
  <c r="A49"/>
  <c r="C49" s="1"/>
  <c r="B41"/>
  <c r="B4"/>
  <c r="A189" l="1"/>
  <c r="A45"/>
  <c r="B45" s="1"/>
  <c r="A61"/>
  <c r="B161"/>
  <c r="A129"/>
  <c r="B165"/>
  <c r="B157"/>
  <c r="A193"/>
  <c r="A205" s="1"/>
  <c r="A73"/>
  <c r="A125"/>
  <c r="C223" l="1"/>
  <c r="A229" s="1"/>
  <c r="A233" s="1"/>
  <c r="A93"/>
  <c r="A85"/>
  <c r="A77"/>
  <c r="A69"/>
  <c r="A137"/>
  <c r="A141" l="1"/>
  <c r="B245"/>
  <c r="A249"/>
  <c r="A253" s="1"/>
  <c r="A261" s="1"/>
  <c r="B221"/>
  <c r="B217"/>
  <c r="A121"/>
  <c r="A89"/>
  <c r="A117" s="1"/>
  <c r="A153" l="1"/>
  <c r="B249"/>
  <c r="B229"/>
  <c r="B225"/>
  <c r="A257" l="1"/>
</calcChain>
</file>

<file path=xl/sharedStrings.xml><?xml version="1.0" encoding="utf-8"?>
<sst xmlns="http://schemas.openxmlformats.org/spreadsheetml/2006/main" count="109" uniqueCount="106">
  <si>
    <t>АЗ</t>
  </si>
  <si>
    <t>ТЭ</t>
  </si>
  <si>
    <t>БЭ</t>
  </si>
  <si>
    <t>G0, т</t>
  </si>
  <si>
    <t>n</t>
  </si>
  <si>
    <t>G05/G09</t>
  </si>
  <si>
    <t>xн, %</t>
  </si>
  <si>
    <t>zн,%</t>
  </si>
  <si>
    <t>хк,%</t>
  </si>
  <si>
    <t>zк,%</t>
  </si>
  <si>
    <t>содерж Pu 240 в выгруж топ</t>
  </si>
  <si>
    <t>ε</t>
  </si>
  <si>
    <t>Тскл, год</t>
  </si>
  <si>
    <t>Тхр, год</t>
  </si>
  <si>
    <t>Твыд, год</t>
  </si>
  <si>
    <t>CU, $/кг</t>
  </si>
  <si>
    <t>Сизг, $/кг</t>
  </si>
  <si>
    <t>Срег,$/кг</t>
  </si>
  <si>
    <t>fi</t>
  </si>
  <si>
    <t>Арен, %/год</t>
  </si>
  <si>
    <t>Куд, $/кВт</t>
  </si>
  <si>
    <t>ηуд, чел/МВт эл</t>
  </si>
  <si>
    <t>Схр, $/кг</t>
  </si>
  <si>
    <t>ϒ</t>
  </si>
  <si>
    <t>Nэл, МВт</t>
  </si>
  <si>
    <t>ηбр</t>
  </si>
  <si>
    <t>Ксн</t>
  </si>
  <si>
    <t>10^6</t>
  </si>
  <si>
    <t>10^5</t>
  </si>
  <si>
    <r>
      <rPr>
        <sz val="11"/>
        <color theme="1"/>
        <rFont val="Times New Roman"/>
        <family val="1"/>
      </rPr>
      <t>K</t>
    </r>
    <r>
      <rPr>
        <sz val="11"/>
        <color theme="1"/>
        <rFont val="Calibri"/>
        <family val="2"/>
      </rPr>
      <t>, кг оск/МВт*сут</t>
    </r>
  </si>
  <si>
    <t>КНPu, кгPu/кг.оск</t>
  </si>
  <si>
    <t>Тi, год</t>
  </si>
  <si>
    <t>у,%</t>
  </si>
  <si>
    <t>с,%</t>
  </si>
  <si>
    <t>Тсл, год</t>
  </si>
  <si>
    <t>Сразд, $/ерр</t>
  </si>
  <si>
    <t>Ен,1/год</t>
  </si>
  <si>
    <t>Отпущенная электрическая энергия,W</t>
  </si>
  <si>
    <t>Величина</t>
  </si>
  <si>
    <t>степень</t>
  </si>
  <si>
    <t>Отпущенная электрическая энергия с АЗ, Wаз</t>
  </si>
  <si>
    <t>Отпущенная электрическая энергия с экранов, Wэ</t>
  </si>
  <si>
    <r>
      <t>Доля осколков в выгружаемом топливе,</t>
    </r>
    <r>
      <rPr>
        <sz val="11"/>
        <color theme="1"/>
        <rFont val="Times New Roman"/>
        <family val="1"/>
      </rPr>
      <t>α</t>
    </r>
  </si>
  <si>
    <t>Ежегодный расход топлива в активной зоне, GxАЗ</t>
  </si>
  <si>
    <t>Ежегодный расход топлива в торцевом экране, GxТЭ</t>
  </si>
  <si>
    <t>Ежегодный расход топлива в боковом экране, GxБЭ</t>
  </si>
  <si>
    <t>Ежегодный расход топлива в экранах, GxЭ</t>
  </si>
  <si>
    <t>Длительность кампании АЗ, ТкАЗ</t>
  </si>
  <si>
    <t>Длительность кампании ТЭ, ТкТЭ</t>
  </si>
  <si>
    <t>Длительность кампании БЭ, ТкБЭ</t>
  </si>
  <si>
    <t>Длительность топливного цикла АЗ, ТцАЗ</t>
  </si>
  <si>
    <t>Длительность топливного цикла ТЭ, ТцТЭ</t>
  </si>
  <si>
    <t>Длительность топливного цикла БЭ, ТцБЭ</t>
  </si>
  <si>
    <r>
      <t xml:space="preserve">Ежегодная потребность в плутонии (подпитка) в АЗ, </t>
    </r>
    <r>
      <rPr>
        <sz val="11"/>
        <color theme="1"/>
        <rFont val="Times New Roman"/>
        <family val="1"/>
        <charset val="204"/>
      </rPr>
      <t>ΔGzАЗ</t>
    </r>
  </si>
  <si>
    <t>Ежегодная потребность в отвальном уране в АЗ, ΔGyАЗ</t>
  </si>
  <si>
    <t>Ежегодная потребность в отвальном уране в ТЭ, ΔGyТЭ</t>
  </si>
  <si>
    <t>Ежегодная потребность в отвальном уране в БЭ, ΔGyБЭ</t>
  </si>
  <si>
    <t>Полная потребность в отвальном уране в АЗ, ΔGyАЗtot</t>
  </si>
  <si>
    <t>Полная потребность в отвальном уране в ТЭ,ΔGyТЭtot</t>
  </si>
  <si>
    <t>Полная потребность в отвальном уране в БЭ,ΔGyБЭtot</t>
  </si>
  <si>
    <t>Ежегодное количество выгружаемого плутония, G9АЗ</t>
  </si>
  <si>
    <t>Ежегодное количество выгружаемого плутония, G9ТЭ</t>
  </si>
  <si>
    <t>Ежегодное количество выгружаемого плутония, G9БЭ</t>
  </si>
  <si>
    <t>Ежегодное количество выгружаемого плутония, G9Э</t>
  </si>
  <si>
    <t>Полное количество выгружаемого плутония в год, G9</t>
  </si>
  <si>
    <t>Товарный плутоний в год, G9тов</t>
  </si>
  <si>
    <t>Полное накопление товарного плутония, G9tot</t>
  </si>
  <si>
    <t>Коэффициент возврата в цикл АЗ, КВЦаз</t>
  </si>
  <si>
    <t>%</t>
  </si>
  <si>
    <t>Коэффициент возврата в цикл АЗ, КВЦтэ</t>
  </si>
  <si>
    <t>Коэффициент возврата в цикл АЗ, КВЦбэ</t>
  </si>
  <si>
    <t>𝑉0.95</t>
  </si>
  <si>
    <t>𝑉y</t>
  </si>
  <si>
    <t>Vc</t>
  </si>
  <si>
    <t>𝑛(0,95, 𝑦, 𝑐)</t>
  </si>
  <si>
    <t>𝑓(0.95, 𝑦, 𝑐)</t>
  </si>
  <si>
    <t>С5АЗ</t>
  </si>
  <si>
    <t>С5Э</t>
  </si>
  <si>
    <t>С9АЗ</t>
  </si>
  <si>
    <t>C9ТЭ</t>
  </si>
  <si>
    <t>C9БЭ</t>
  </si>
  <si>
    <t>Амортизационная составляющая себестоимости, Са</t>
  </si>
  <si>
    <t>10^(-3)</t>
  </si>
  <si>
    <t>Составляющая зарплаты, Сз</t>
  </si>
  <si>
    <t>ФЗ</t>
  </si>
  <si>
    <t>Топливная составляющая себестоимости АЗ, СтАЗ</t>
  </si>
  <si>
    <t>Топливная составляющая себестоимости АЗ, СтТЭ</t>
  </si>
  <si>
    <t>Топливная составляющая себестоимости АЗ, СтБЭ</t>
  </si>
  <si>
    <t>В, МВт*сут/т</t>
  </si>
  <si>
    <t>Плутоний с экранов после переработки, G9рег</t>
  </si>
  <si>
    <t>10^7</t>
  </si>
  <si>
    <t>Полная топливная составляющая Ст</t>
  </si>
  <si>
    <t>Себестоимость отпущенной электроэнергии Сэ</t>
  </si>
  <si>
    <t>Досрочные оборотные средства АЗ ДОС_АЗ</t>
  </si>
  <si>
    <t>Досрочные оборотные средства ТЭ  ДОС_ТЭ</t>
  </si>
  <si>
    <t>Досрочные оборотные средства БЭ  ДОС_БЭ</t>
  </si>
  <si>
    <t>Полные дос    ДОС</t>
  </si>
  <si>
    <t>Удельные дос        y</t>
  </si>
  <si>
    <t>Расчетные затраты  РЗ</t>
  </si>
  <si>
    <t>Удельные капвложения Куд</t>
  </si>
  <si>
    <t>-</t>
  </si>
  <si>
    <t>Их сумма</t>
  </si>
  <si>
    <t>TвнАЗ</t>
  </si>
  <si>
    <t>ТвнТЭ</t>
  </si>
  <si>
    <t>ТвнБЭ</t>
  </si>
  <si>
    <t>10^-3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</si>
</sst>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11" fontId="5" fillId="0" borderId="0" xfId="0" applyNumberFormat="1" applyFont="1"/>
    <xf numFmtId="11" fontId="0" fillId="0" borderId="0" xfId="0" applyNumberFormat="1"/>
    <xf numFmtId="164" fontId="0" fillId="0" borderId="0" xfId="0" applyNumberFormat="1"/>
    <xf numFmtId="164" fontId="5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1"/>
  <sheetViews>
    <sheetView tabSelected="1" topLeftCell="A224" zoomScale="115" zoomScaleNormal="115" workbookViewId="0">
      <selection activeCell="A267" sqref="A267"/>
    </sheetView>
  </sheetViews>
  <sheetFormatPr defaultRowHeight="14.4"/>
  <cols>
    <col min="1" max="1" width="44.44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24</v>
      </c>
      <c r="B2">
        <v>1000</v>
      </c>
    </row>
    <row r="3" spans="1:4">
      <c r="A3" s="2" t="s">
        <v>25</v>
      </c>
      <c r="B3">
        <v>0.38</v>
      </c>
    </row>
    <row r="4" spans="1:4">
      <c r="A4" s="1" t="s">
        <v>29</v>
      </c>
      <c r="B4">
        <f>1.07/1000</f>
        <v>1.07E-3</v>
      </c>
    </row>
    <row r="5" spans="1:4">
      <c r="A5" s="1" t="s">
        <v>3</v>
      </c>
      <c r="B5">
        <v>10</v>
      </c>
      <c r="C5">
        <v>8</v>
      </c>
      <c r="D5">
        <v>30</v>
      </c>
    </row>
    <row r="6" spans="1:4">
      <c r="A6" s="1" t="s">
        <v>4</v>
      </c>
      <c r="B6">
        <v>3</v>
      </c>
      <c r="C6">
        <v>3</v>
      </c>
      <c r="D6">
        <v>6</v>
      </c>
    </row>
    <row r="7" spans="1:4">
      <c r="A7" s="1" t="s">
        <v>5</v>
      </c>
      <c r="B7">
        <v>1.3</v>
      </c>
    </row>
    <row r="8" spans="1:4">
      <c r="A8" s="1" t="s">
        <v>6</v>
      </c>
      <c r="B8">
        <v>0</v>
      </c>
    </row>
    <row r="9" spans="1:4">
      <c r="A9" s="1" t="s">
        <v>7</v>
      </c>
      <c r="B9">
        <v>14</v>
      </c>
    </row>
    <row r="10" spans="1:4">
      <c r="A10" s="1" t="s">
        <v>30</v>
      </c>
      <c r="B10">
        <v>0.25</v>
      </c>
      <c r="C10">
        <v>0.2</v>
      </c>
      <c r="D10">
        <v>0.3</v>
      </c>
    </row>
    <row r="11" spans="1:4">
      <c r="A11" s="1" t="s">
        <v>88</v>
      </c>
      <c r="B11">
        <v>100000</v>
      </c>
    </row>
    <row r="12" spans="1:4">
      <c r="A12" s="1" t="s">
        <v>8</v>
      </c>
      <c r="B12">
        <v>0</v>
      </c>
    </row>
    <row r="13" spans="1:4">
      <c r="A13" s="1" t="s">
        <v>9</v>
      </c>
      <c r="B13">
        <v>13.3</v>
      </c>
    </row>
    <row r="14" spans="1:4">
      <c r="A14" s="1" t="s">
        <v>10</v>
      </c>
      <c r="B14">
        <v>0.15</v>
      </c>
      <c r="C14">
        <v>0.1</v>
      </c>
      <c r="D14">
        <v>0.1</v>
      </c>
    </row>
    <row r="15" spans="1:4">
      <c r="A15" s="2" t="s">
        <v>11</v>
      </c>
      <c r="B15">
        <v>0.01</v>
      </c>
      <c r="C15">
        <v>0.01</v>
      </c>
      <c r="D15">
        <v>0.01</v>
      </c>
    </row>
    <row r="16" spans="1:4">
      <c r="A16" s="1" t="s">
        <v>12</v>
      </c>
      <c r="B16">
        <v>0.5</v>
      </c>
      <c r="C16">
        <v>0.5</v>
      </c>
      <c r="D16">
        <v>0.5</v>
      </c>
    </row>
    <row r="17" spans="1:4">
      <c r="A17" s="1" t="s">
        <v>13</v>
      </c>
      <c r="B17">
        <v>0.5</v>
      </c>
      <c r="C17">
        <v>0.5</v>
      </c>
      <c r="D17">
        <v>0.5</v>
      </c>
    </row>
    <row r="18" spans="1:4">
      <c r="A18" s="1" t="s">
        <v>14</v>
      </c>
      <c r="B18">
        <v>3</v>
      </c>
      <c r="C18">
        <v>3</v>
      </c>
      <c r="D18">
        <v>0.5</v>
      </c>
    </row>
    <row r="19" spans="1:4">
      <c r="A19" s="1" t="s">
        <v>15</v>
      </c>
      <c r="B19">
        <v>100</v>
      </c>
      <c r="C19">
        <v>50</v>
      </c>
      <c r="D19">
        <v>50</v>
      </c>
    </row>
    <row r="20" spans="1:4">
      <c r="A20" s="1" t="s">
        <v>16</v>
      </c>
      <c r="B20">
        <v>700</v>
      </c>
      <c r="C20">
        <v>700</v>
      </c>
      <c r="D20">
        <v>200</v>
      </c>
    </row>
    <row r="21" spans="1:4">
      <c r="A21" s="1" t="s">
        <v>17</v>
      </c>
      <c r="B21">
        <v>1000</v>
      </c>
      <c r="C21">
        <v>1000</v>
      </c>
      <c r="D21">
        <v>500</v>
      </c>
    </row>
    <row r="22" spans="1:4">
      <c r="A22" s="1" t="s">
        <v>18</v>
      </c>
      <c r="B22">
        <v>0.85</v>
      </c>
    </row>
    <row r="23" spans="1:4">
      <c r="A23" s="1" t="s">
        <v>19</v>
      </c>
      <c r="B23">
        <v>3.7</v>
      </c>
    </row>
    <row r="24" spans="1:4">
      <c r="A24" s="1" t="s">
        <v>20</v>
      </c>
      <c r="B24">
        <v>2000</v>
      </c>
    </row>
    <row r="25" spans="1:4">
      <c r="A25" s="1" t="s">
        <v>21</v>
      </c>
      <c r="B25">
        <v>0.7</v>
      </c>
    </row>
    <row r="26" spans="1:4">
      <c r="A26" t="s">
        <v>84</v>
      </c>
      <c r="B26">
        <v>14000</v>
      </c>
    </row>
    <row r="27" spans="1:4">
      <c r="A27" s="1" t="s">
        <v>22</v>
      </c>
      <c r="B27">
        <v>250</v>
      </c>
      <c r="C27">
        <v>250</v>
      </c>
      <c r="D27">
        <v>200</v>
      </c>
    </row>
    <row r="28" spans="1:4">
      <c r="A28" s="3" t="s">
        <v>23</v>
      </c>
      <c r="B28">
        <v>0.9</v>
      </c>
    </row>
    <row r="29" spans="1:4">
      <c r="A29" s="1" t="s">
        <v>26</v>
      </c>
      <c r="B29">
        <v>0.11</v>
      </c>
    </row>
    <row r="30" spans="1:4" ht="18">
      <c r="A30" s="4" t="s">
        <v>31</v>
      </c>
      <c r="B30">
        <v>0.25</v>
      </c>
    </row>
    <row r="31" spans="1:4">
      <c r="A31" s="1" t="s">
        <v>32</v>
      </c>
      <c r="B31">
        <v>0.2</v>
      </c>
    </row>
    <row r="32" spans="1:4">
      <c r="A32" s="1" t="s">
        <v>33</v>
      </c>
      <c r="B32">
        <v>0.71399999999999997</v>
      </c>
    </row>
    <row r="33" spans="1:3" ht="18">
      <c r="A33" s="4" t="s">
        <v>34</v>
      </c>
      <c r="B33">
        <v>50</v>
      </c>
    </row>
    <row r="34" spans="1:3">
      <c r="A34" s="1" t="s">
        <v>35</v>
      </c>
      <c r="B34">
        <v>140</v>
      </c>
    </row>
    <row r="35" spans="1:3">
      <c r="A35" s="1" t="s">
        <v>36</v>
      </c>
      <c r="B35">
        <v>0.11</v>
      </c>
    </row>
    <row r="38" spans="1:3" ht="18">
      <c r="A38" s="4" t="s">
        <v>38</v>
      </c>
      <c r="B38" t="s">
        <v>39</v>
      </c>
    </row>
    <row r="39" spans="1:3">
      <c r="A39" t="s">
        <v>37</v>
      </c>
    </row>
    <row r="40" spans="1:3">
      <c r="B40" t="s">
        <v>27</v>
      </c>
      <c r="C40" t="s">
        <v>28</v>
      </c>
    </row>
    <row r="41" spans="1:3" ht="18">
      <c r="A41" s="5">
        <f>B2*8760*B22*(1-B29)</f>
        <v>6626940</v>
      </c>
      <c r="B41">
        <f>A41/1000000</f>
        <v>6.6269400000000003</v>
      </c>
    </row>
    <row r="43" spans="1:3">
      <c r="A43" t="s">
        <v>40</v>
      </c>
    </row>
    <row r="44" spans="1:3" ht="18">
      <c r="A44" s="4"/>
    </row>
    <row r="45" spans="1:3">
      <c r="A45" s="6">
        <f>A41*B28</f>
        <v>5964246</v>
      </c>
      <c r="B45">
        <f>A45/1000000</f>
        <v>5.9642460000000002</v>
      </c>
    </row>
    <row r="46" spans="1:3">
      <c r="A46" s="6"/>
    </row>
    <row r="47" spans="1:3">
      <c r="A47" s="6" t="s">
        <v>41</v>
      </c>
    </row>
    <row r="48" spans="1:3">
      <c r="A48" s="6"/>
    </row>
    <row r="49" spans="1:3">
      <c r="A49" s="6">
        <f>A41*(1-B28)</f>
        <v>662693.99999999988</v>
      </c>
      <c r="C49">
        <f>A49/100000</f>
        <v>6.6269399999999985</v>
      </c>
    </row>
    <row r="50" spans="1:3" ht="18">
      <c r="A50" s="4"/>
    </row>
    <row r="51" spans="1:3">
      <c r="A51" t="s">
        <v>42</v>
      </c>
    </row>
    <row r="53" spans="1:3" ht="18">
      <c r="A53" s="4">
        <f>B4*B11</f>
        <v>107</v>
      </c>
    </row>
    <row r="55" spans="1:3">
      <c r="A55" t="s">
        <v>43</v>
      </c>
    </row>
    <row r="56" spans="1:3" ht="18">
      <c r="A56" s="4"/>
    </row>
    <row r="57" spans="1:3">
      <c r="A57" s="7">
        <f>B2*B28*365*B22/B3/B11</f>
        <v>7.3480263157894745</v>
      </c>
    </row>
    <row r="58" spans="1:3">
      <c r="A58" s="7"/>
    </row>
    <row r="59" spans="1:3">
      <c r="A59" s="7" t="s">
        <v>44</v>
      </c>
    </row>
    <row r="60" spans="1:3">
      <c r="A60" s="7"/>
    </row>
    <row r="61" spans="1:3">
      <c r="A61" s="7">
        <f>C5*A57/B5</f>
        <v>5.8784210526315794</v>
      </c>
    </row>
    <row r="62" spans="1:3" ht="18">
      <c r="A62" s="8"/>
    </row>
    <row r="63" spans="1:3">
      <c r="A63" s="7" t="s">
        <v>45</v>
      </c>
    </row>
    <row r="64" spans="1:3" ht="18">
      <c r="A64" s="8"/>
    </row>
    <row r="65" spans="1:1">
      <c r="A65" s="7">
        <f>D10*A53*A57/40</f>
        <v>5.8967911184210537</v>
      </c>
    </row>
    <row r="66" spans="1:1" ht="18">
      <c r="A66" s="8"/>
    </row>
    <row r="67" spans="1:1">
      <c r="A67" s="7" t="s">
        <v>46</v>
      </c>
    </row>
    <row r="68" spans="1:1">
      <c r="A68" s="7"/>
    </row>
    <row r="69" spans="1:1">
      <c r="A69" s="7">
        <f>A61+A65</f>
        <v>11.775212171052633</v>
      </c>
    </row>
    <row r="70" spans="1:1" ht="18">
      <c r="A70" s="4"/>
    </row>
    <row r="71" spans="1:1">
      <c r="A71" t="s">
        <v>47</v>
      </c>
    </row>
    <row r="73" spans="1:1" ht="18">
      <c r="A73" s="8">
        <f>B5/A57</f>
        <v>1.3609096606679201</v>
      </c>
    </row>
    <row r="74" spans="1:1">
      <c r="A74" s="7"/>
    </row>
    <row r="75" spans="1:1">
      <c r="A75" s="7" t="s">
        <v>48</v>
      </c>
    </row>
    <row r="76" spans="1:1" ht="18">
      <c r="A76" s="8"/>
    </row>
    <row r="77" spans="1:1">
      <c r="A77" s="7">
        <f>A73</f>
        <v>1.3609096606679201</v>
      </c>
    </row>
    <row r="78" spans="1:1">
      <c r="A78" s="7"/>
    </row>
    <row r="79" spans="1:1">
      <c r="A79" s="7" t="s">
        <v>49</v>
      </c>
    </row>
    <row r="80" spans="1:1">
      <c r="A80" s="7"/>
    </row>
    <row r="81" spans="1:1">
      <c r="A81" s="7">
        <f>D5/A65</f>
        <v>5.0875127501604478</v>
      </c>
    </row>
    <row r="82" spans="1:1" ht="18">
      <c r="A82" s="8"/>
    </row>
    <row r="83" spans="1:1">
      <c r="A83" s="7" t="s">
        <v>50</v>
      </c>
    </row>
    <row r="84" spans="1:1">
      <c r="A84" s="7"/>
    </row>
    <row r="85" spans="1:1">
      <c r="A85" s="7">
        <f>A73+B16+B17+B18+2*B30+A73/B6</f>
        <v>6.3145462142238928</v>
      </c>
    </row>
    <row r="86" spans="1:1">
      <c r="A86" s="7"/>
    </row>
    <row r="87" spans="1:1">
      <c r="A87" s="7" t="s">
        <v>51</v>
      </c>
    </row>
    <row r="88" spans="1:1">
      <c r="A88" s="7"/>
    </row>
    <row r="89" spans="1:1">
      <c r="A89" s="7">
        <f>A85</f>
        <v>6.3145462142238928</v>
      </c>
    </row>
    <row r="90" spans="1:1">
      <c r="A90" s="7"/>
    </row>
    <row r="91" spans="1:1">
      <c r="A91" s="7" t="s">
        <v>52</v>
      </c>
    </row>
    <row r="92" spans="1:1">
      <c r="A92" s="7"/>
    </row>
    <row r="93" spans="1:1">
      <c r="A93" s="7">
        <f>A81+D16+D17+D18+2*B30+A81/D6</f>
        <v>7.9354315418538555</v>
      </c>
    </row>
    <row r="95" spans="1:1">
      <c r="A95" t="s">
        <v>53</v>
      </c>
    </row>
    <row r="97" spans="1:1">
      <c r="A97" s="7">
        <f>A57*(B9*(1+B15/100)-B13*(1-B15/100))/100*1000</f>
        <v>51.636785328947305</v>
      </c>
    </row>
    <row r="98" spans="1:1">
      <c r="A98" s="7"/>
    </row>
    <row r="99" spans="1:1">
      <c r="A99" s="7" t="s">
        <v>54</v>
      </c>
    </row>
    <row r="100" spans="1:1">
      <c r="A100" s="7"/>
    </row>
    <row r="101" spans="1:1">
      <c r="A101" s="7">
        <f>A57*1000*((1-B9/100)*(1+B15/100)-(1-B13/100-A53/1000)*(1-B15/100))</f>
        <v>735.99301184210515</v>
      </c>
    </row>
    <row r="102" spans="1:1">
      <c r="A102" s="7"/>
    </row>
    <row r="103" spans="1:1">
      <c r="A103" s="7" t="s">
        <v>55</v>
      </c>
    </row>
    <row r="104" spans="1:1">
      <c r="A104" s="7"/>
    </row>
    <row r="105" spans="1:1">
      <c r="A105" s="7">
        <f>A61*((1+B15/100)-(1-C10*A53/1000)*(1-B15/100))*1000</f>
        <v>126.9613149157893</v>
      </c>
    </row>
    <row r="106" spans="1:1">
      <c r="A106" s="7"/>
    </row>
    <row r="107" spans="1:1">
      <c r="A107" s="7" t="s">
        <v>56</v>
      </c>
    </row>
    <row r="108" spans="1:1">
      <c r="A108" s="7"/>
    </row>
    <row r="109" spans="1:1">
      <c r="A109" s="7">
        <f>A65*((1+D15/100)-(1-40/1000)*(1-D15/100))*1000</f>
        <v>237.02741579605274</v>
      </c>
    </row>
    <row r="111" spans="1:1">
      <c r="A111" t="s">
        <v>57</v>
      </c>
    </row>
    <row r="113" spans="1:3">
      <c r="A113" s="7">
        <f>B5*(1-B9/100)*(1+B15/100)+A57*A85*(1-B9/100)*(1+B15/100)+A101/1000*(B33-A85-A73/B6)</f>
        <v>80.326694233771917</v>
      </c>
    </row>
    <row r="114" spans="1:3">
      <c r="A114" s="7"/>
    </row>
    <row r="115" spans="1:3">
      <c r="A115" s="7" t="s">
        <v>58</v>
      </c>
    </row>
    <row r="116" spans="1:3">
      <c r="A116" s="7"/>
    </row>
    <row r="117" spans="1:3">
      <c r="A117" s="7">
        <f>C5*(1+C15/100)+A61*A89*(1+C15/100)+A105/1000*(B33-A89-A77/C6)</f>
        <v>50.612841721650867</v>
      </c>
    </row>
    <row r="118" spans="1:3">
      <c r="A118" s="7"/>
    </row>
    <row r="119" spans="1:3">
      <c r="A119" s="7" t="s">
        <v>59</v>
      </c>
    </row>
    <row r="120" spans="1:3">
      <c r="A120" s="7"/>
    </row>
    <row r="121" spans="1:3">
      <c r="A121" s="7">
        <f>D5*(1+D15/100)+A65*A93*(1+D15/100)+A109/1000*(B33-A93-A81/D6)</f>
        <v>86.570737553276331</v>
      </c>
    </row>
    <row r="122" spans="1:3">
      <c r="A122" s="7"/>
    </row>
    <row r="123" spans="1:3">
      <c r="A123" s="7" t="s">
        <v>60</v>
      </c>
      <c r="C123" t="s">
        <v>100</v>
      </c>
    </row>
    <row r="124" spans="1:3">
      <c r="A124" s="7"/>
    </row>
    <row r="125" spans="1:3">
      <c r="A125" s="7">
        <f>A57*1000*B13/100</f>
        <v>977.28750000000014</v>
      </c>
    </row>
    <row r="127" spans="1:3">
      <c r="A127" t="s">
        <v>61</v>
      </c>
    </row>
    <row r="129" spans="1:1">
      <c r="A129" s="7">
        <f>C10*A53*A61</f>
        <v>125.79821052631581</v>
      </c>
    </row>
    <row r="130" spans="1:1">
      <c r="A130" s="7"/>
    </row>
    <row r="131" spans="1:1">
      <c r="A131" s="7" t="s">
        <v>62</v>
      </c>
    </row>
    <row r="132" spans="1:1">
      <c r="A132" s="7"/>
    </row>
    <row r="133" spans="1:1">
      <c r="A133" s="7">
        <f>40*A65</f>
        <v>235.87164473684214</v>
      </c>
    </row>
    <row r="134" spans="1:1">
      <c r="A134" s="7"/>
    </row>
    <row r="135" spans="1:1">
      <c r="A135" s="7" t="s">
        <v>63</v>
      </c>
    </row>
    <row r="136" spans="1:1">
      <c r="A136" s="7"/>
    </row>
    <row r="137" spans="1:1">
      <c r="A137" s="7">
        <f>A133+A129</f>
        <v>361.66985526315796</v>
      </c>
    </row>
    <row r="138" spans="1:1">
      <c r="A138" s="7"/>
    </row>
    <row r="139" spans="1:1">
      <c r="A139" s="7" t="s">
        <v>64</v>
      </c>
    </row>
    <row r="140" spans="1:1">
      <c r="A140" s="7"/>
    </row>
    <row r="141" spans="1:1">
      <c r="A141" s="7">
        <f>A137+A125</f>
        <v>1338.9573552631582</v>
      </c>
    </row>
    <row r="143" spans="1:1">
      <c r="A143" t="s">
        <v>89</v>
      </c>
    </row>
    <row r="145" spans="1:2">
      <c r="A145" s="7">
        <f>A137*(1-B15/100)</f>
        <v>361.63368827763162</v>
      </c>
    </row>
    <row r="146" spans="1:2">
      <c r="A146" s="7"/>
    </row>
    <row r="147" spans="1:2">
      <c r="A147" s="7" t="s">
        <v>65</v>
      </c>
    </row>
    <row r="148" spans="1:2">
      <c r="A148" s="7"/>
    </row>
    <row r="149" spans="1:2">
      <c r="A149" s="7">
        <v>309</v>
      </c>
    </row>
    <row r="150" spans="1:2">
      <c r="A150" s="7"/>
    </row>
    <row r="151" spans="1:2">
      <c r="A151" s="7" t="s">
        <v>66</v>
      </c>
    </row>
    <row r="152" spans="1:2">
      <c r="A152" s="7"/>
    </row>
    <row r="153" spans="1:2">
      <c r="A153" s="7">
        <f>A149*B33</f>
        <v>15450</v>
      </c>
    </row>
    <row r="155" spans="1:2">
      <c r="A155" t="s">
        <v>67</v>
      </c>
      <c r="B155" t="s">
        <v>68</v>
      </c>
    </row>
    <row r="157" spans="1:2">
      <c r="A157">
        <f>(1-A53/1000-B13/100)*((1-B15/100)^(2))</f>
        <v>0.75984800760000004</v>
      </c>
      <c r="B157">
        <f>A157*100</f>
        <v>75.984800759999999</v>
      </c>
    </row>
    <row r="159" spans="1:2">
      <c r="A159" t="s">
        <v>69</v>
      </c>
    </row>
    <row r="161" spans="1:2">
      <c r="A161">
        <f>(1-A53/1000-C10*A53/1000)*((1-C15/100)^2)</f>
        <v>0.87142568871600012</v>
      </c>
      <c r="B161">
        <f>A161*100</f>
        <v>87.14256887160002</v>
      </c>
    </row>
    <row r="163" spans="1:2">
      <c r="A163" t="s">
        <v>70</v>
      </c>
    </row>
    <row r="165" spans="1:2">
      <c r="A165">
        <f>(1-A53/1000-D10*A53/1000)*((1-D15/100)^2)</f>
        <v>0.8607278286090001</v>
      </c>
      <c r="B165">
        <f>A165*100</f>
        <v>86.072782860900006</v>
      </c>
    </row>
    <row r="167" spans="1:2">
      <c r="A167" t="s">
        <v>71</v>
      </c>
    </row>
    <row r="169" spans="1:2">
      <c r="A169">
        <f>(2*0.95-1)*LN(0.95/(1-0.95))</f>
        <v>2.649995081249795</v>
      </c>
    </row>
    <row r="171" spans="1:2">
      <c r="A171" t="s">
        <v>72</v>
      </c>
    </row>
    <row r="173" spans="1:2">
      <c r="A173">
        <f>(2*B31/100-1)*LN(B31/100/(1-B31/100))</f>
        <v>6.1877556713685129</v>
      </c>
    </row>
    <row r="175" spans="1:2">
      <c r="A175" t="s">
        <v>73</v>
      </c>
    </row>
    <row r="177" spans="1:1">
      <c r="A177">
        <f>(2*B32/100-1)*LN(B32/100/(1-B32/100))</f>
        <v>4.8644068488444558</v>
      </c>
    </row>
    <row r="179" spans="1:1">
      <c r="A179" t="s">
        <v>75</v>
      </c>
    </row>
    <row r="181" spans="1:1">
      <c r="A181">
        <f>(0.95-B31/100)/(B32/100-B31/100)</f>
        <v>184.43579766536965</v>
      </c>
    </row>
    <row r="183" spans="1:1">
      <c r="A183" t="s">
        <v>74</v>
      </c>
    </row>
    <row r="185" spans="1:1">
      <c r="A185">
        <f>A169+(A181-1)*A173-A181*A177</f>
        <v>240.53513508163326</v>
      </c>
    </row>
    <row r="187" spans="1:1">
      <c r="A187" t="s">
        <v>76</v>
      </c>
    </row>
    <row r="189" spans="1:1">
      <c r="A189">
        <f>A181*B19+A185*B34</f>
        <v>52118.498677965617</v>
      </c>
    </row>
    <row r="191" spans="1:1">
      <c r="A191" t="s">
        <v>77</v>
      </c>
    </row>
    <row r="193" spans="1:2">
      <c r="A193">
        <f>A181*C19+A185*B34</f>
        <v>42896.708794697137</v>
      </c>
    </row>
    <row r="195" spans="1:2">
      <c r="A195" t="s">
        <v>78</v>
      </c>
    </row>
    <row r="197" spans="1:2">
      <c r="A197">
        <f>A189*B7*(1-B14)</f>
        <v>57590.941039152014</v>
      </c>
    </row>
    <row r="199" spans="1:2">
      <c r="A199" t="s">
        <v>79</v>
      </c>
    </row>
    <row r="201" spans="1:2">
      <c r="A201">
        <f>A189*B7*(1-C14)</f>
        <v>60978.643453219782</v>
      </c>
    </row>
    <row r="203" spans="1:2">
      <c r="A203" t="s">
        <v>80</v>
      </c>
    </row>
    <row r="205" spans="1:2">
      <c r="A205">
        <f>A201</f>
        <v>60978.643453219782</v>
      </c>
    </row>
    <row r="207" spans="1:2">
      <c r="A207" t="s">
        <v>81</v>
      </c>
    </row>
    <row r="208" spans="1:2">
      <c r="B208" t="s">
        <v>82</v>
      </c>
    </row>
    <row r="209" spans="1:3">
      <c r="A209">
        <f>B23*B24/100/8760/B22</f>
        <v>9.938221864088102E-3</v>
      </c>
      <c r="B209">
        <f>A209*1000</f>
        <v>9.9382218640881028</v>
      </c>
    </row>
    <row r="211" spans="1:3">
      <c r="A211" t="s">
        <v>83</v>
      </c>
    </row>
    <row r="213" spans="1:3">
      <c r="A213">
        <f>B25*B26/1000/8760/B22</f>
        <v>1.3161428955143703E-3</v>
      </c>
      <c r="B213">
        <f>A213*1000</f>
        <v>1.3161428955143704</v>
      </c>
    </row>
    <row r="215" spans="1:3">
      <c r="A215" t="s">
        <v>85</v>
      </c>
    </row>
    <row r="216" spans="1:3">
      <c r="B216" t="s">
        <v>105</v>
      </c>
    </row>
    <row r="217" spans="1:3">
      <c r="A217" s="6">
        <f>(A101*B19+A57*1000*(1+B15/100)*B20+A57*1000*B27+A57*1000*B21*(1-B15/100))/A45/1000</f>
        <v>2.4147277252119063E-3</v>
      </c>
      <c r="B217">
        <f>A217*1000</f>
        <v>2.4147277252119062</v>
      </c>
    </row>
    <row r="219" spans="1:3">
      <c r="A219" t="s">
        <v>86</v>
      </c>
      <c r="C219" s="10"/>
    </row>
    <row r="220" spans="1:3">
      <c r="C220" s="9"/>
    </row>
    <row r="221" spans="1:3">
      <c r="A221" s="6">
        <f>(A105*C19+A61*1000*(1+B15/100)*C20+A61*1000*C27+A61*1000*C21*(1-B15/100))/A49/1000</f>
        <v>1.7306770192193968E-2</v>
      </c>
      <c r="B221">
        <f>A221*1000</f>
        <v>17.306770192193969</v>
      </c>
      <c r="C221" s="9"/>
    </row>
    <row r="222" spans="1:3">
      <c r="C222" t="s">
        <v>101</v>
      </c>
    </row>
    <row r="223" spans="1:3">
      <c r="A223" t="s">
        <v>87</v>
      </c>
      <c r="C223" s="6">
        <f>A221+A225-(A205*A149)/A49/1000</f>
        <v>-3.1002568118376275E-3</v>
      </c>
    </row>
    <row r="224" spans="1:3">
      <c r="C224" s="9"/>
    </row>
    <row r="225" spans="1:4">
      <c r="A225" s="6">
        <f>(A109*D19+A65*1000*(1+B15/100)*D20+A65*1000*D27+A65*1000*D21*(1-B15/100))/A49/1000</f>
        <v>8.0260066842844507E-3</v>
      </c>
      <c r="B225">
        <f>A225*1000</f>
        <v>8.0260066842844502</v>
      </c>
      <c r="C225" s="9"/>
    </row>
    <row r="227" spans="1:4">
      <c r="A227" t="s">
        <v>91</v>
      </c>
    </row>
    <row r="229" spans="1:4">
      <c r="A229" s="6">
        <f>A217+C223</f>
        <v>-6.8552908662572118E-4</v>
      </c>
      <c r="B229">
        <f>A229*1000</f>
        <v>-0.68552908662572121</v>
      </c>
    </row>
    <row r="231" spans="1:4">
      <c r="A231" t="s">
        <v>92</v>
      </c>
    </row>
    <row r="233" spans="1:4">
      <c r="A233" s="6">
        <f>1.25*(1.2*A229+4*A209+3.5*A213)</f>
        <v>5.4420940858377287E-2</v>
      </c>
    </row>
    <row r="235" spans="1:4">
      <c r="A235" t="s">
        <v>93</v>
      </c>
      <c r="B235" t="s">
        <v>90</v>
      </c>
      <c r="D235" t="s">
        <v>102</v>
      </c>
    </row>
    <row r="237" spans="1:4">
      <c r="A237">
        <f>A57*D237*A197*B13 * 10</f>
        <v>196990173.76780099</v>
      </c>
      <c r="B237">
        <f>A237/10000000</f>
        <v>19.699017376780098</v>
      </c>
      <c r="D237">
        <f>2*B30+B18</f>
        <v>3.5</v>
      </c>
    </row>
    <row r="239" spans="1:4">
      <c r="A239" t="s">
        <v>94</v>
      </c>
      <c r="B239" t="s">
        <v>90</v>
      </c>
      <c r="D239" t="s">
        <v>103</v>
      </c>
    </row>
    <row r="241" spans="1:4">
      <c r="A241">
        <f>A61*D241*A201*A53*C10</f>
        <v>26848514.793580521</v>
      </c>
      <c r="B241">
        <f>A241/10000000</f>
        <v>2.684851479358052</v>
      </c>
      <c r="D241">
        <f>2*B30+C18</f>
        <v>3.5</v>
      </c>
    </row>
    <row r="243" spans="1:4">
      <c r="A243" t="s">
        <v>95</v>
      </c>
      <c r="B243" t="s">
        <v>90</v>
      </c>
      <c r="D243" t="s">
        <v>104</v>
      </c>
    </row>
    <row r="245" spans="1:4">
      <c r="A245">
        <f>A65*D245*40*A205</f>
        <v>14383132.925132422</v>
      </c>
      <c r="B245">
        <f>A245/10000000</f>
        <v>1.4383132925132422</v>
      </c>
      <c r="D245">
        <f>2*B30+D18</f>
        <v>1</v>
      </c>
    </row>
    <row r="247" spans="1:4">
      <c r="A247" t="s">
        <v>96</v>
      </c>
      <c r="B247" t="s">
        <v>90</v>
      </c>
    </row>
    <row r="249" spans="1:4">
      <c r="A249">
        <f>A245+A241+A237</f>
        <v>238221821.48651391</v>
      </c>
      <c r="B249">
        <f>A249/10000000</f>
        <v>23.82218214865139</v>
      </c>
    </row>
    <row r="251" spans="1:4">
      <c r="A251" t="s">
        <v>97</v>
      </c>
    </row>
    <row r="253" spans="1:4">
      <c r="A253">
        <f>A249/B2/1000</f>
        <v>238.2218214865139</v>
      </c>
    </row>
    <row r="255" spans="1:4">
      <c r="A255" t="s">
        <v>98</v>
      </c>
    </row>
    <row r="257" spans="1:1">
      <c r="A257">
        <f>A233+B35*(B24 +A253)/(8769*B22)</f>
        <v>8.7452328214037478E-2</v>
      </c>
    </row>
    <row r="259" spans="1:1">
      <c r="A259" t="s">
        <v>99</v>
      </c>
    </row>
    <row r="261" spans="1:1">
      <c r="A261">
        <f>((0.0707-A233)*8760*B22-B35*A253)/B35</f>
        <v>863.72249095460165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2018-05-15T08:26:27Z</dcterms:modified>
</cp:coreProperties>
</file>