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CAF2613B-E879-4F36-9B03-610C5CF01118}" xr6:coauthVersionLast="47" xr6:coauthVersionMax="47" xr10:uidLastSave="{00000000-0000-0000-0000-000000000000}"/>
  <bookViews>
    <workbookView xWindow="-108" yWindow="-108" windowWidth="23256" windowHeight="12456" tabRatio="500" firstSheet="17" activeTab="21" xr2:uid="{00000000-000D-0000-FFFF-FFFF00000000}"/>
  </bookViews>
  <sheets>
    <sheet name="About the Company" sheetId="1" r:id="rId1"/>
    <sheet name="Promoter" sheetId="2" r:id="rId2"/>
    <sheet name="Public" sheetId="3" r:id="rId3"/>
    <sheet name="Standalone Quarterly Results" sheetId="4" r:id="rId4"/>
    <sheet name="Consolidated Quarterly Results" sheetId="5" r:id="rId5"/>
    <sheet name="Standalone Balance sheet" sheetId="6" r:id="rId6"/>
    <sheet name="Standalone P&amp;L" sheetId="7" r:id="rId7"/>
    <sheet name="Consolidated P&amp;L" sheetId="8" r:id="rId8"/>
    <sheet name="Consolidated Balance sheet" sheetId="9" r:id="rId9"/>
    <sheet name="Fixed assets scheduled" sheetId="10" r:id="rId10"/>
    <sheet name="Change in working capital" sheetId="11" r:id="rId11"/>
    <sheet name="Peers" sheetId="13" r:id="rId12"/>
    <sheet name="Stock Analysis" sheetId="14" r:id="rId13"/>
    <sheet name="BETA" sheetId="15" r:id="rId14"/>
    <sheet name="Ratio Analysis" sheetId="16" r:id="rId15"/>
    <sheet name="FCFF" sheetId="12" r:id="rId16"/>
    <sheet name="Assumptions (Historical FS)" sheetId="17" r:id="rId17"/>
    <sheet name="Merge data sheet" sheetId="18" r:id="rId18"/>
    <sheet name="Relative valuation" sheetId="19" r:id="rId19"/>
    <sheet name="Growth Scenario" sheetId="21" r:id="rId20"/>
    <sheet name="Forecasting" sheetId="20" r:id="rId21"/>
    <sheet name="WACC" sheetId="22" r:id="rId22"/>
  </sheets>
  <calcPr calcId="181029" iterateDelta="1E-4"/>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7" i="22" l="1"/>
  <c r="C26" i="22"/>
  <c r="E25" i="22"/>
  <c r="D25" i="22"/>
  <c r="C25" i="22"/>
  <c r="C21" i="22"/>
  <c r="C20" i="22"/>
  <c r="C19" i="22"/>
  <c r="C18" i="22"/>
  <c r="C17" i="22"/>
  <c r="C8" i="22"/>
  <c r="C7" i="22"/>
  <c r="C6" i="22"/>
  <c r="C5" i="22"/>
  <c r="C4" i="22"/>
  <c r="C3" i="22"/>
  <c r="P14" i="20"/>
  <c r="O14" i="20"/>
  <c r="N14" i="20"/>
  <c r="M14" i="20"/>
  <c r="K14" i="20"/>
  <c r="J14" i="20"/>
  <c r="I14" i="20"/>
  <c r="H14" i="20"/>
  <c r="F14" i="20"/>
  <c r="E14" i="20"/>
  <c r="D14" i="20"/>
  <c r="C14" i="20"/>
  <c r="P13" i="20"/>
  <c r="O13" i="20"/>
  <c r="N13" i="20"/>
  <c r="M13" i="20"/>
  <c r="K13" i="20"/>
  <c r="J13" i="20"/>
  <c r="I13" i="20"/>
  <c r="H13" i="20"/>
  <c r="F13" i="20"/>
  <c r="E13" i="20"/>
  <c r="D13" i="20"/>
  <c r="C13" i="20"/>
  <c r="P12" i="20"/>
  <c r="O12" i="20"/>
  <c r="N12" i="20"/>
  <c r="M12" i="20"/>
  <c r="K12" i="20"/>
  <c r="J12" i="20"/>
  <c r="I12" i="20"/>
  <c r="H12" i="20"/>
  <c r="F12" i="20"/>
  <c r="E12" i="20"/>
  <c r="D12" i="20"/>
  <c r="C12" i="20"/>
  <c r="P11" i="20"/>
  <c r="O11" i="20"/>
  <c r="N11" i="20"/>
  <c r="M11" i="20"/>
  <c r="K11" i="20"/>
  <c r="J11" i="20"/>
  <c r="I11" i="20"/>
  <c r="H11" i="20"/>
  <c r="F11" i="20"/>
  <c r="E11" i="20"/>
  <c r="D11" i="20"/>
  <c r="C11" i="20"/>
  <c r="P10" i="20"/>
  <c r="O10" i="20"/>
  <c r="N10" i="20"/>
  <c r="M10" i="20"/>
  <c r="K10" i="20"/>
  <c r="J10" i="20"/>
  <c r="I10" i="20"/>
  <c r="H10" i="20"/>
  <c r="F10" i="20"/>
  <c r="E10" i="20"/>
  <c r="D10" i="20"/>
  <c r="C10" i="20"/>
  <c r="P9" i="20"/>
  <c r="N9" i="20"/>
  <c r="M9" i="20"/>
  <c r="K9" i="20"/>
  <c r="I9" i="20"/>
  <c r="H9" i="20"/>
  <c r="F9" i="20"/>
  <c r="D9" i="20"/>
  <c r="C9" i="20"/>
  <c r="P8" i="20"/>
  <c r="N8" i="20"/>
  <c r="M8" i="20"/>
  <c r="K8" i="20"/>
  <c r="I8" i="20"/>
  <c r="H8" i="20"/>
  <c r="F8" i="20"/>
  <c r="D8" i="20"/>
  <c r="C8" i="20"/>
  <c r="P7" i="20"/>
  <c r="N7" i="20"/>
  <c r="M7" i="20"/>
  <c r="K7" i="20"/>
  <c r="I7" i="20"/>
  <c r="H7" i="20"/>
  <c r="F7" i="20"/>
  <c r="D7" i="20"/>
  <c r="C7" i="20"/>
  <c r="P6" i="20"/>
  <c r="N6" i="20"/>
  <c r="M6" i="20"/>
  <c r="K6" i="20"/>
  <c r="I6" i="20"/>
  <c r="H6" i="20"/>
  <c r="F6" i="20"/>
  <c r="D6" i="20"/>
  <c r="C6" i="20"/>
  <c r="O9" i="20"/>
  <c r="O8" i="20"/>
  <c r="O7" i="20"/>
  <c r="O6" i="20"/>
  <c r="O5" i="20" a="1"/>
  <c r="O5" i="20"/>
  <c r="N5" i="20"/>
  <c r="J9" i="20"/>
  <c r="J8" i="20"/>
  <c r="J7" i="20"/>
  <c r="J6" i="20"/>
  <c r="J5" i="20" a="1"/>
  <c r="J5" i="20"/>
  <c r="I5" i="20"/>
  <c r="E9" i="20"/>
  <c r="E8" i="20"/>
  <c r="E7" i="20"/>
  <c r="E6" i="20"/>
  <c r="E5" i="20" a="1"/>
  <c r="E5" i="20"/>
  <c r="D5" i="20"/>
  <c r="L19" i="21"/>
  <c r="K19" i="21"/>
  <c r="J19" i="21"/>
  <c r="I19" i="21"/>
  <c r="H19" i="21"/>
  <c r="G19" i="21"/>
  <c r="F19" i="21"/>
  <c r="E19" i="21"/>
  <c r="D19" i="21"/>
  <c r="C19" i="21"/>
  <c r="L18" i="21"/>
  <c r="K18" i="21"/>
  <c r="J18" i="21"/>
  <c r="I18" i="21"/>
  <c r="H18" i="21"/>
  <c r="G18" i="21"/>
  <c r="F18" i="21"/>
  <c r="E18" i="21"/>
  <c r="D18" i="21"/>
  <c r="C18" i="21"/>
  <c r="B18" i="21"/>
  <c r="L14" i="21"/>
  <c r="K14" i="21"/>
  <c r="J14" i="21"/>
  <c r="I14" i="21"/>
  <c r="H14" i="21"/>
  <c r="G14" i="21"/>
  <c r="F14" i="21"/>
  <c r="E14" i="21"/>
  <c r="D14" i="21"/>
  <c r="C14" i="21"/>
  <c r="P13" i="21"/>
  <c r="O13" i="21"/>
  <c r="N13" i="21"/>
  <c r="L13" i="21"/>
  <c r="K13" i="21"/>
  <c r="J13" i="21"/>
  <c r="I13" i="21"/>
  <c r="H13" i="21"/>
  <c r="G13" i="21"/>
  <c r="F13" i="21"/>
  <c r="E13" i="21"/>
  <c r="D13" i="21"/>
  <c r="C13" i="21"/>
  <c r="B13" i="21"/>
  <c r="N12" i="21"/>
  <c r="L9" i="21"/>
  <c r="K9" i="21"/>
  <c r="J9" i="21"/>
  <c r="I9" i="21"/>
  <c r="H9" i="21"/>
  <c r="G9" i="21"/>
  <c r="F9" i="21"/>
  <c r="E9" i="21"/>
  <c r="D9" i="21"/>
  <c r="C9" i="21"/>
  <c r="P8" i="21"/>
  <c r="O8" i="21"/>
  <c r="N8" i="21"/>
  <c r="L8" i="21"/>
  <c r="K8" i="21"/>
  <c r="J8" i="21"/>
  <c r="I8" i="21"/>
  <c r="H8" i="21"/>
  <c r="G8" i="21"/>
  <c r="F8" i="21"/>
  <c r="E8" i="21"/>
  <c r="D8" i="21"/>
  <c r="C8" i="21"/>
  <c r="B8" i="21"/>
  <c r="N7" i="21"/>
  <c r="P4" i="21"/>
  <c r="O4" i="21"/>
  <c r="N4" i="21"/>
  <c r="L4" i="21"/>
  <c r="K4" i="21"/>
  <c r="J4" i="21"/>
  <c r="I4" i="21"/>
  <c r="H4" i="21"/>
  <c r="G4" i="21"/>
  <c r="F4" i="21"/>
  <c r="E4" i="21"/>
  <c r="D4" i="21"/>
  <c r="C4" i="21"/>
  <c r="M3" i="21"/>
  <c r="L3" i="21"/>
  <c r="K3" i="21"/>
  <c r="J3" i="21"/>
  <c r="I3" i="21"/>
  <c r="H3" i="21"/>
  <c r="G3" i="21"/>
  <c r="F3" i="21"/>
  <c r="E3" i="21"/>
  <c r="D3" i="21"/>
  <c r="C3" i="21"/>
  <c r="B3" i="21"/>
  <c r="Q35" i="19"/>
  <c r="P35" i="19"/>
  <c r="O35" i="19"/>
  <c r="Q33" i="19"/>
  <c r="P33" i="19"/>
  <c r="O33" i="19"/>
  <c r="Q32" i="19"/>
  <c r="P32" i="19"/>
  <c r="O32" i="19"/>
  <c r="Q31" i="19"/>
  <c r="P31" i="19"/>
  <c r="O31" i="19"/>
  <c r="Q30" i="19"/>
  <c r="P30" i="19"/>
  <c r="O30" i="19"/>
  <c r="Q26" i="19"/>
  <c r="P26" i="19"/>
  <c r="O26" i="19"/>
  <c r="Q25" i="19"/>
  <c r="P25" i="19"/>
  <c r="O25" i="19"/>
  <c r="Q24" i="19"/>
  <c r="P24" i="19"/>
  <c r="O24" i="19"/>
  <c r="Q23" i="19"/>
  <c r="P23" i="19"/>
  <c r="O23" i="19"/>
  <c r="Q22" i="19"/>
  <c r="P22" i="19"/>
  <c r="O22" i="19"/>
  <c r="Q21" i="19"/>
  <c r="P21" i="19"/>
  <c r="O21" i="19"/>
  <c r="M18" i="19"/>
  <c r="L18" i="19"/>
  <c r="K18" i="19"/>
  <c r="J18" i="19"/>
  <c r="I18" i="19"/>
  <c r="H18" i="19"/>
  <c r="G18" i="19"/>
  <c r="F18" i="19"/>
  <c r="E18" i="19"/>
  <c r="D18" i="19"/>
  <c r="C18" i="19"/>
  <c r="B18" i="19"/>
  <c r="M17" i="19"/>
  <c r="L17" i="19"/>
  <c r="K17" i="19"/>
  <c r="J17" i="19"/>
  <c r="I17" i="19"/>
  <c r="H17" i="19"/>
  <c r="G17" i="19"/>
  <c r="F17" i="19"/>
  <c r="E17" i="19"/>
  <c r="D17" i="19"/>
  <c r="C17" i="19"/>
  <c r="B17" i="19"/>
  <c r="M16" i="19"/>
  <c r="L16" i="19"/>
  <c r="K16" i="19"/>
  <c r="J16" i="19"/>
  <c r="I16" i="19"/>
  <c r="H16" i="19"/>
  <c r="G16" i="19"/>
  <c r="F16" i="19"/>
  <c r="E16" i="19"/>
  <c r="D16" i="19"/>
  <c r="C16" i="19"/>
  <c r="B16" i="19"/>
  <c r="M12" i="19"/>
  <c r="L12" i="19"/>
  <c r="K12" i="19"/>
  <c r="J12" i="19"/>
  <c r="I12" i="19"/>
  <c r="H12" i="19"/>
  <c r="G12" i="19"/>
  <c r="F12" i="19"/>
  <c r="E12" i="19"/>
  <c r="D12" i="19"/>
  <c r="C12" i="19"/>
  <c r="B12" i="19"/>
  <c r="M11" i="19"/>
  <c r="L11" i="19"/>
  <c r="K11" i="19"/>
  <c r="J11" i="19"/>
  <c r="I11" i="19"/>
  <c r="H11" i="19"/>
  <c r="G11" i="19"/>
  <c r="F11" i="19"/>
  <c r="E11" i="19"/>
  <c r="D11" i="19"/>
  <c r="C11" i="19"/>
  <c r="B11" i="19"/>
  <c r="M10" i="19"/>
  <c r="L10" i="19"/>
  <c r="K10" i="19"/>
  <c r="J10" i="19"/>
  <c r="M9" i="19"/>
  <c r="L9" i="19"/>
  <c r="K9" i="19"/>
  <c r="J9" i="19"/>
  <c r="M8" i="19"/>
  <c r="L8" i="19"/>
  <c r="K8" i="19"/>
  <c r="J8" i="19"/>
  <c r="H8" i="19"/>
  <c r="M7" i="19"/>
  <c r="L7" i="19"/>
  <c r="K7" i="19"/>
  <c r="J7" i="19"/>
  <c r="H7" i="19"/>
  <c r="M6" i="19"/>
  <c r="L6" i="19"/>
  <c r="K6" i="19"/>
  <c r="J6" i="19"/>
  <c r="H6" i="19"/>
  <c r="M5" i="19"/>
  <c r="L5" i="19"/>
  <c r="K5" i="19"/>
  <c r="J5" i="19"/>
  <c r="I5" i="19"/>
  <c r="H5" i="19"/>
  <c r="G5" i="19"/>
  <c r="F5" i="19"/>
  <c r="E5" i="19"/>
  <c r="C5" i="19"/>
  <c r="F91" i="18"/>
  <c r="E91" i="18"/>
  <c r="D91" i="18"/>
  <c r="C91" i="18"/>
  <c r="B91" i="18"/>
  <c r="F90" i="18"/>
  <c r="E90" i="18"/>
  <c r="D90" i="18"/>
  <c r="C90" i="18"/>
  <c r="B90" i="18"/>
  <c r="F89" i="18"/>
  <c r="E89" i="18"/>
  <c r="D89" i="18"/>
  <c r="C89" i="18"/>
  <c r="B89" i="18"/>
  <c r="F88" i="18"/>
  <c r="E88" i="18"/>
  <c r="D88" i="18"/>
  <c r="C88" i="18"/>
  <c r="B88" i="18"/>
  <c r="F87" i="18"/>
  <c r="E87" i="18"/>
  <c r="D87" i="18"/>
  <c r="C87" i="18"/>
  <c r="B87" i="18"/>
  <c r="F86" i="18"/>
  <c r="E86" i="18"/>
  <c r="D86" i="18"/>
  <c r="C86" i="18"/>
  <c r="B86" i="18"/>
  <c r="F85" i="18"/>
  <c r="E85" i="18"/>
  <c r="D85" i="18"/>
  <c r="C85" i="18"/>
  <c r="B85" i="18"/>
  <c r="F84" i="18"/>
  <c r="E84" i="18"/>
  <c r="D84" i="18"/>
  <c r="C84" i="18"/>
  <c r="B84" i="18"/>
  <c r="F83" i="18"/>
  <c r="E83" i="18"/>
  <c r="D83" i="18"/>
  <c r="C83" i="18"/>
  <c r="B83" i="18"/>
  <c r="F82" i="18"/>
  <c r="E82" i="18"/>
  <c r="D82" i="18"/>
  <c r="C82" i="18"/>
  <c r="B82" i="18"/>
  <c r="F81" i="18"/>
  <c r="E81" i="18"/>
  <c r="D81" i="18"/>
  <c r="C81" i="18"/>
  <c r="B81" i="18"/>
  <c r="F80" i="18"/>
  <c r="E80" i="18"/>
  <c r="D80" i="18"/>
  <c r="C80" i="18"/>
  <c r="B80" i="18"/>
  <c r="F79" i="18"/>
  <c r="E79" i="18"/>
  <c r="D79" i="18"/>
  <c r="C79" i="18"/>
  <c r="B79" i="18"/>
  <c r="F78" i="18"/>
  <c r="E78" i="18"/>
  <c r="D78" i="18"/>
  <c r="C78" i="18"/>
  <c r="B78" i="18"/>
  <c r="F77" i="18"/>
  <c r="E77" i="18"/>
  <c r="D77" i="18"/>
  <c r="C77" i="18"/>
  <c r="B77" i="18"/>
  <c r="F76" i="18"/>
  <c r="E76" i="18"/>
  <c r="D76" i="18"/>
  <c r="C76" i="18"/>
  <c r="B76" i="18"/>
  <c r="F75" i="18"/>
  <c r="E75" i="18"/>
  <c r="D75" i="18"/>
  <c r="C75" i="18"/>
  <c r="B75" i="18"/>
  <c r="F74" i="18"/>
  <c r="E74" i="18"/>
  <c r="D74" i="18"/>
  <c r="C74" i="18"/>
  <c r="B74" i="18"/>
  <c r="F73" i="18"/>
  <c r="E73" i="18"/>
  <c r="D73" i="18"/>
  <c r="C73" i="18"/>
  <c r="B73" i="18"/>
  <c r="F72" i="18"/>
  <c r="E72" i="18"/>
  <c r="D72" i="18"/>
  <c r="C72" i="18"/>
  <c r="B72" i="18"/>
  <c r="F71" i="18"/>
  <c r="E71" i="18"/>
  <c r="D71" i="18"/>
  <c r="C71" i="18"/>
  <c r="B71" i="18"/>
  <c r="F70" i="18"/>
  <c r="E70" i="18"/>
  <c r="D70" i="18"/>
  <c r="C70" i="18"/>
  <c r="B70" i="18"/>
  <c r="F69" i="18"/>
  <c r="E69" i="18"/>
  <c r="D69" i="18"/>
  <c r="C69" i="18"/>
  <c r="B69" i="18"/>
  <c r="F68" i="18"/>
  <c r="E68" i="18"/>
  <c r="D68" i="18"/>
  <c r="C68" i="18"/>
  <c r="B68" i="18"/>
  <c r="F67" i="18"/>
  <c r="E67" i="18"/>
  <c r="D67" i="18"/>
  <c r="C67" i="18"/>
  <c r="B67" i="18"/>
  <c r="F66" i="18"/>
  <c r="E66" i="18"/>
  <c r="D66" i="18"/>
  <c r="C66" i="18"/>
  <c r="B66" i="18"/>
  <c r="F65" i="18"/>
  <c r="E65" i="18"/>
  <c r="D65" i="18"/>
  <c r="C65" i="18"/>
  <c r="B65" i="18"/>
  <c r="F64" i="18"/>
  <c r="E64" i="18"/>
  <c r="D64" i="18"/>
  <c r="C64" i="18"/>
  <c r="B64" i="18"/>
  <c r="F63" i="18"/>
  <c r="E63" i="18"/>
  <c r="D63" i="18"/>
  <c r="C63" i="18"/>
  <c r="B63" i="18"/>
  <c r="F62" i="18"/>
  <c r="E62" i="18"/>
  <c r="D62" i="18"/>
  <c r="C62" i="18"/>
  <c r="B62" i="18"/>
  <c r="F57" i="18"/>
  <c r="E57" i="18"/>
  <c r="D57" i="18"/>
  <c r="C57" i="18"/>
  <c r="B57" i="18"/>
  <c r="F56" i="18"/>
  <c r="E56" i="18"/>
  <c r="D56" i="18"/>
  <c r="C56" i="18"/>
  <c r="B56" i="18"/>
  <c r="F55" i="18"/>
  <c r="E55" i="18"/>
  <c r="D55" i="18"/>
  <c r="C55" i="18"/>
  <c r="B55" i="18"/>
  <c r="F54" i="18"/>
  <c r="E54" i="18"/>
  <c r="D54" i="18"/>
  <c r="C54" i="18"/>
  <c r="B54" i="18"/>
  <c r="F53" i="18"/>
  <c r="E53" i="18"/>
  <c r="D53" i="18"/>
  <c r="C53" i="18"/>
  <c r="B53" i="18"/>
  <c r="F52" i="18"/>
  <c r="E52" i="18"/>
  <c r="D52" i="18"/>
  <c r="C52" i="18"/>
  <c r="B52" i="18"/>
  <c r="F51" i="18"/>
  <c r="E51" i="18"/>
  <c r="D51" i="18"/>
  <c r="C51" i="18"/>
  <c r="B51" i="18"/>
  <c r="F50" i="18"/>
  <c r="E50" i="18"/>
  <c r="D50" i="18"/>
  <c r="C50" i="18"/>
  <c r="B50" i="18"/>
  <c r="F49" i="18"/>
  <c r="E49" i="18"/>
  <c r="D49" i="18"/>
  <c r="C49" i="18"/>
  <c r="B49" i="18"/>
  <c r="F48" i="18"/>
  <c r="E48" i="18"/>
  <c r="D48" i="18"/>
  <c r="C48" i="18"/>
  <c r="B48" i="18"/>
  <c r="F47" i="18"/>
  <c r="E47" i="18"/>
  <c r="D47" i="18"/>
  <c r="C47" i="18"/>
  <c r="B47" i="18"/>
  <c r="F46" i="18"/>
  <c r="E46" i="18"/>
  <c r="D46" i="18"/>
  <c r="C46" i="18"/>
  <c r="B46" i="18"/>
  <c r="F45" i="18"/>
  <c r="E45" i="18"/>
  <c r="D45" i="18"/>
  <c r="C45" i="18"/>
  <c r="B45" i="18"/>
  <c r="F44" i="18"/>
  <c r="E44" i="18"/>
  <c r="D44" i="18"/>
  <c r="C44" i="18"/>
  <c r="B44" i="18"/>
  <c r="F43" i="18"/>
  <c r="E43" i="18"/>
  <c r="D43" i="18"/>
  <c r="C43" i="18"/>
  <c r="B43" i="18"/>
  <c r="F42" i="18"/>
  <c r="E42" i="18"/>
  <c r="D42" i="18"/>
  <c r="C42" i="18"/>
  <c r="B42" i="18"/>
  <c r="F41" i="18"/>
  <c r="E41" i="18"/>
  <c r="D41" i="18"/>
  <c r="C41" i="18"/>
  <c r="B41" i="18"/>
  <c r="F40" i="18"/>
  <c r="E40" i="18"/>
  <c r="D40" i="18"/>
  <c r="C40" i="18"/>
  <c r="B40" i="18"/>
  <c r="F39" i="18"/>
  <c r="E39" i="18"/>
  <c r="D39" i="18"/>
  <c r="C39" i="18"/>
  <c r="B39" i="18"/>
  <c r="F38" i="18"/>
  <c r="E38" i="18"/>
  <c r="D38" i="18"/>
  <c r="C38" i="18"/>
  <c r="B38" i="18"/>
  <c r="F37" i="18"/>
  <c r="E37" i="18"/>
  <c r="D37" i="18"/>
  <c r="C37" i="18"/>
  <c r="B37" i="18"/>
  <c r="F36" i="18"/>
  <c r="E36" i="18"/>
  <c r="D36" i="18"/>
  <c r="C36" i="18"/>
  <c r="B36" i="18"/>
  <c r="F35" i="18"/>
  <c r="E35" i="18"/>
  <c r="D35" i="18"/>
  <c r="C35" i="18"/>
  <c r="B35" i="18"/>
  <c r="F34" i="18"/>
  <c r="E34" i="18"/>
  <c r="D34" i="18"/>
  <c r="C34" i="18"/>
  <c r="B34" i="18"/>
  <c r="F33" i="18"/>
  <c r="E33" i="18"/>
  <c r="D33" i="18"/>
  <c r="C33" i="18"/>
  <c r="B33" i="18"/>
  <c r="F32" i="18"/>
  <c r="E32" i="18"/>
  <c r="D32" i="18"/>
  <c r="C32" i="18"/>
  <c r="B32" i="18"/>
  <c r="F31" i="18"/>
  <c r="E31" i="18"/>
  <c r="D31" i="18"/>
  <c r="C31" i="18"/>
  <c r="B31" i="18"/>
  <c r="F30" i="18"/>
  <c r="E30" i="18"/>
  <c r="D30" i="18"/>
  <c r="C30" i="18"/>
  <c r="B30" i="18"/>
  <c r="F29" i="18"/>
  <c r="E29" i="18"/>
  <c r="D29" i="18"/>
  <c r="C29" i="18"/>
  <c r="B29" i="18"/>
  <c r="F28" i="18"/>
  <c r="E28" i="18"/>
  <c r="D28" i="18"/>
  <c r="C28" i="18"/>
  <c r="B28" i="18"/>
  <c r="F27" i="18"/>
  <c r="E27" i="18"/>
  <c r="D27" i="18"/>
  <c r="C27" i="18"/>
  <c r="B27" i="18"/>
  <c r="F26" i="18"/>
  <c r="E26" i="18"/>
  <c r="D26" i="18"/>
  <c r="C26" i="18"/>
  <c r="B26" i="18"/>
  <c r="F25" i="18"/>
  <c r="E25" i="18"/>
  <c r="D25" i="18"/>
  <c r="C25" i="18"/>
  <c r="B25" i="18"/>
  <c r="F24" i="18"/>
  <c r="E24" i="18"/>
  <c r="D24" i="18"/>
  <c r="C24" i="18"/>
  <c r="B24" i="18"/>
  <c r="F23" i="18"/>
  <c r="E23" i="18"/>
  <c r="D23" i="18"/>
  <c r="C23" i="18"/>
  <c r="B23" i="18"/>
  <c r="F22" i="18"/>
  <c r="E22" i="18"/>
  <c r="D22" i="18"/>
  <c r="C22" i="18"/>
  <c r="B22" i="18"/>
  <c r="F21" i="18"/>
  <c r="E21" i="18"/>
  <c r="D21" i="18"/>
  <c r="C21" i="18"/>
  <c r="B21" i="18"/>
  <c r="F20" i="18"/>
  <c r="E20" i="18"/>
  <c r="D20" i="18"/>
  <c r="C20" i="18"/>
  <c r="B20" i="18"/>
  <c r="F19" i="18"/>
  <c r="E19" i="18"/>
  <c r="D19" i="18"/>
  <c r="C19" i="18"/>
  <c r="B19" i="18"/>
  <c r="F18" i="18"/>
  <c r="E18" i="18"/>
  <c r="D18" i="18"/>
  <c r="C18" i="18"/>
  <c r="B18" i="18"/>
  <c r="F17" i="18"/>
  <c r="E17" i="18"/>
  <c r="D17" i="18"/>
  <c r="C17" i="18"/>
  <c r="B17" i="18"/>
  <c r="F16" i="18"/>
  <c r="E16" i="18"/>
  <c r="D16" i="18"/>
  <c r="C16" i="18"/>
  <c r="B16" i="18"/>
  <c r="F15" i="18"/>
  <c r="E15" i="18"/>
  <c r="D15" i="18"/>
  <c r="C15" i="18"/>
  <c r="B15" i="18"/>
  <c r="F14" i="18"/>
  <c r="E14" i="18"/>
  <c r="D14" i="18"/>
  <c r="C14" i="18"/>
  <c r="B14" i="18"/>
  <c r="F13" i="18"/>
  <c r="E13" i="18"/>
  <c r="D13" i="18"/>
  <c r="C13" i="18"/>
  <c r="B13" i="18"/>
  <c r="F12" i="18"/>
  <c r="E12" i="18"/>
  <c r="D12" i="18"/>
  <c r="C12" i="18"/>
  <c r="B12" i="18"/>
  <c r="F11" i="18"/>
  <c r="E11" i="18"/>
  <c r="D11" i="18"/>
  <c r="C11" i="18"/>
  <c r="B11" i="18"/>
  <c r="F10" i="18"/>
  <c r="E10" i="18"/>
  <c r="D10" i="18"/>
  <c r="C10" i="18"/>
  <c r="B10" i="18"/>
  <c r="F9" i="18"/>
  <c r="E9" i="18"/>
  <c r="D9" i="18"/>
  <c r="C9" i="18"/>
  <c r="B9" i="18"/>
  <c r="F8" i="18"/>
  <c r="E8" i="18"/>
  <c r="D8" i="18"/>
  <c r="C8" i="18"/>
  <c r="B8" i="18"/>
  <c r="F7" i="18"/>
  <c r="E7" i="18"/>
  <c r="D7" i="18"/>
  <c r="C7" i="18"/>
  <c r="B7" i="18"/>
  <c r="F6" i="18"/>
  <c r="E6" i="18"/>
  <c r="D6" i="18"/>
  <c r="C6" i="18"/>
  <c r="B6" i="18"/>
  <c r="C46" i="17"/>
  <c r="F42" i="17"/>
  <c r="E42" i="17"/>
  <c r="D42" i="17"/>
  <c r="C42" i="17"/>
  <c r="B42" i="17"/>
  <c r="F41" i="17"/>
  <c r="E41" i="17"/>
  <c r="D41" i="17"/>
  <c r="C41" i="17"/>
  <c r="B41" i="17"/>
  <c r="F39" i="17"/>
  <c r="E39" i="17"/>
  <c r="D39" i="17"/>
  <c r="C39" i="17"/>
  <c r="B39" i="17"/>
  <c r="F38" i="17"/>
  <c r="E38" i="17"/>
  <c r="D38" i="17"/>
  <c r="C38" i="17"/>
  <c r="B38" i="17"/>
  <c r="F37" i="17"/>
  <c r="E37" i="17"/>
  <c r="D37" i="17"/>
  <c r="C37" i="17"/>
  <c r="B37" i="17"/>
  <c r="F36" i="17"/>
  <c r="E36" i="17"/>
  <c r="D36" i="17"/>
  <c r="C36" i="17"/>
  <c r="B36" i="17"/>
  <c r="F35" i="17"/>
  <c r="E35" i="17"/>
  <c r="D35" i="17"/>
  <c r="C35" i="17"/>
  <c r="B35" i="17"/>
  <c r="F31" i="17"/>
  <c r="E31" i="17"/>
  <c r="D31" i="17"/>
  <c r="C31" i="17"/>
  <c r="B31" i="17"/>
  <c r="F28" i="17"/>
  <c r="E28" i="17"/>
  <c r="D28" i="17"/>
  <c r="C28" i="17"/>
  <c r="B28" i="17"/>
  <c r="F27" i="17"/>
  <c r="E27" i="17"/>
  <c r="D27" i="17"/>
  <c r="C27" i="17"/>
  <c r="B27" i="17"/>
  <c r="F26" i="17"/>
  <c r="E26" i="17"/>
  <c r="D26" i="17"/>
  <c r="C26" i="17"/>
  <c r="B26" i="17"/>
  <c r="F25" i="17"/>
  <c r="E25" i="17"/>
  <c r="D25" i="17"/>
  <c r="C25" i="17"/>
  <c r="B25" i="17"/>
  <c r="C22" i="17"/>
  <c r="B22" i="17"/>
  <c r="B21" i="17"/>
  <c r="F18" i="17"/>
  <c r="E18" i="17"/>
  <c r="D18" i="17"/>
  <c r="C18" i="17"/>
  <c r="B18" i="17"/>
  <c r="F17" i="17"/>
  <c r="E17" i="17"/>
  <c r="D17" i="17"/>
  <c r="C17" i="17"/>
  <c r="B17" i="17"/>
  <c r="F16" i="17"/>
  <c r="E16" i="17"/>
  <c r="D16" i="17"/>
  <c r="C16" i="17"/>
  <c r="B16" i="17"/>
  <c r="F15" i="17"/>
  <c r="E15" i="17"/>
  <c r="D15" i="17"/>
  <c r="C15" i="17"/>
  <c r="B15" i="17"/>
  <c r="F14" i="17"/>
  <c r="E14" i="17"/>
  <c r="D14" i="17"/>
  <c r="C14" i="17"/>
  <c r="B14" i="17"/>
  <c r="F13" i="17"/>
  <c r="E13" i="17"/>
  <c r="D13" i="17"/>
  <c r="C13" i="17"/>
  <c r="B13" i="17"/>
  <c r="F12" i="17"/>
  <c r="E12" i="17"/>
  <c r="D12" i="17"/>
  <c r="C12" i="17"/>
  <c r="B12" i="17"/>
  <c r="F11" i="17"/>
  <c r="E11" i="17"/>
  <c r="D11" i="17"/>
  <c r="C11" i="17"/>
  <c r="B11" i="17"/>
  <c r="F10" i="17"/>
  <c r="E10" i="17"/>
  <c r="D10" i="17"/>
  <c r="C10" i="17"/>
  <c r="B10" i="17"/>
  <c r="F9" i="17"/>
  <c r="E9" i="17"/>
  <c r="D9" i="17"/>
  <c r="C9" i="17"/>
  <c r="B9" i="17"/>
  <c r="F8" i="17"/>
  <c r="E8" i="17"/>
  <c r="D8" i="17"/>
  <c r="C8" i="17"/>
  <c r="B8" i="17"/>
  <c r="F7" i="17"/>
  <c r="E7" i="17"/>
  <c r="D7" i="17"/>
  <c r="C7" i="17"/>
  <c r="B7" i="17"/>
  <c r="F6" i="17"/>
  <c r="E6" i="17"/>
  <c r="D6" i="17"/>
  <c r="C6" i="17"/>
  <c r="B6" i="17"/>
  <c r="F5" i="17"/>
  <c r="E5" i="17"/>
  <c r="D5" i="17"/>
  <c r="C5" i="17"/>
  <c r="B5" i="17"/>
  <c r="H4" i="17"/>
  <c r="G4" i="17"/>
  <c r="F4" i="17"/>
  <c r="E4" i="17"/>
  <c r="D4" i="17"/>
  <c r="C4" i="17"/>
  <c r="F3" i="17"/>
  <c r="E3" i="17"/>
  <c r="D3" i="17"/>
  <c r="C3" i="17"/>
  <c r="B3" i="17"/>
  <c r="B13" i="12"/>
  <c r="B12" i="12"/>
  <c r="F10" i="12"/>
  <c r="E10" i="12"/>
  <c r="D10" i="12"/>
  <c r="C10" i="12"/>
  <c r="F8" i="12"/>
  <c r="E8" i="12"/>
  <c r="D8" i="12"/>
  <c r="C8" i="12"/>
  <c r="F7" i="12"/>
  <c r="E7" i="12"/>
  <c r="D7" i="12"/>
  <c r="C7" i="12"/>
  <c r="F6" i="12"/>
  <c r="E6" i="12"/>
  <c r="D6" i="12"/>
  <c r="C6" i="12"/>
  <c r="J5" i="12"/>
  <c r="F5" i="12"/>
  <c r="E5" i="12"/>
  <c r="D5" i="12"/>
  <c r="C5" i="12"/>
  <c r="F4" i="12"/>
  <c r="E4" i="12"/>
  <c r="D4" i="12"/>
  <c r="C4" i="12"/>
  <c r="B4" i="12"/>
  <c r="F3" i="12"/>
  <c r="E3" i="12"/>
  <c r="D3" i="12"/>
  <c r="C3" i="12"/>
  <c r="B3" i="12"/>
  <c r="F2" i="12"/>
  <c r="E2" i="12"/>
  <c r="D2" i="12"/>
  <c r="C2" i="12"/>
  <c r="B2" i="12"/>
  <c r="I40" i="16"/>
  <c r="H40" i="16"/>
  <c r="F40" i="16"/>
  <c r="E40" i="16"/>
  <c r="D40" i="16"/>
  <c r="C40" i="16"/>
  <c r="B40" i="16"/>
  <c r="I39" i="16"/>
  <c r="H39" i="16"/>
  <c r="F39" i="16"/>
  <c r="E39" i="16"/>
  <c r="D39" i="16"/>
  <c r="C39" i="16"/>
  <c r="B39" i="16"/>
  <c r="I38" i="16"/>
  <c r="H38" i="16"/>
  <c r="F38" i="16"/>
  <c r="E38" i="16"/>
  <c r="D38" i="16"/>
  <c r="C38" i="16"/>
  <c r="B38" i="16"/>
  <c r="I36" i="16"/>
  <c r="H36" i="16"/>
  <c r="F36" i="16"/>
  <c r="E36" i="16"/>
  <c r="D36" i="16"/>
  <c r="C36" i="16"/>
  <c r="B36" i="16"/>
  <c r="I35" i="16"/>
  <c r="H35" i="16"/>
  <c r="F35" i="16"/>
  <c r="E35" i="16"/>
  <c r="D35" i="16"/>
  <c r="C35" i="16"/>
  <c r="B35" i="16"/>
  <c r="I34" i="16"/>
  <c r="H34" i="16"/>
  <c r="F34" i="16"/>
  <c r="E34" i="16"/>
  <c r="D34" i="16"/>
  <c r="C34" i="16"/>
  <c r="B34" i="16"/>
  <c r="I33" i="16"/>
  <c r="H33" i="16"/>
  <c r="F33" i="16"/>
  <c r="E33" i="16"/>
  <c r="D33" i="16"/>
  <c r="C33" i="16"/>
  <c r="B33" i="16"/>
  <c r="I30" i="16"/>
  <c r="H30" i="16"/>
  <c r="F30" i="16"/>
  <c r="E30" i="16"/>
  <c r="D30" i="16"/>
  <c r="C30" i="16"/>
  <c r="B30" i="16"/>
  <c r="I29" i="16"/>
  <c r="H29" i="16"/>
  <c r="F29" i="16"/>
  <c r="E29" i="16"/>
  <c r="D29" i="16"/>
  <c r="C29" i="16"/>
  <c r="B29" i="16"/>
  <c r="I28" i="16"/>
  <c r="H28" i="16"/>
  <c r="F28" i="16"/>
  <c r="E28" i="16"/>
  <c r="D28" i="16"/>
  <c r="C28" i="16"/>
  <c r="B28" i="16"/>
  <c r="I27" i="16"/>
  <c r="H27" i="16"/>
  <c r="F27" i="16"/>
  <c r="E27" i="16"/>
  <c r="D27" i="16"/>
  <c r="C27" i="16"/>
  <c r="B27" i="16"/>
  <c r="I26" i="16"/>
  <c r="H26" i="16"/>
  <c r="F26" i="16"/>
  <c r="E26" i="16"/>
  <c r="D26" i="16"/>
  <c r="C26" i="16"/>
  <c r="B26" i="16"/>
  <c r="I24" i="16"/>
  <c r="H24" i="16"/>
  <c r="F24" i="16"/>
  <c r="E24" i="16"/>
  <c r="D24" i="16"/>
  <c r="C24" i="16"/>
  <c r="B24" i="16"/>
  <c r="I23" i="16"/>
  <c r="H23" i="16"/>
  <c r="F23" i="16"/>
  <c r="E23" i="16"/>
  <c r="D23" i="16"/>
  <c r="C23" i="16"/>
  <c r="B23" i="16"/>
  <c r="I22" i="16"/>
  <c r="H22" i="16"/>
  <c r="F22" i="16"/>
  <c r="E22" i="16"/>
  <c r="D22" i="16"/>
  <c r="C22" i="16"/>
  <c r="B22" i="16"/>
  <c r="I21" i="16"/>
  <c r="H21" i="16"/>
  <c r="F21" i="16"/>
  <c r="E21" i="16"/>
  <c r="D21" i="16"/>
  <c r="C21" i="16"/>
  <c r="B21" i="16"/>
  <c r="I20" i="16"/>
  <c r="H20" i="16"/>
  <c r="F20" i="16"/>
  <c r="E20" i="16"/>
  <c r="D20" i="16"/>
  <c r="C20" i="16"/>
  <c r="B20" i="16"/>
  <c r="I18" i="16"/>
  <c r="H18" i="16"/>
  <c r="F18" i="16"/>
  <c r="E18" i="16"/>
  <c r="D18" i="16"/>
  <c r="C18" i="16"/>
  <c r="B18" i="16"/>
  <c r="I17" i="16"/>
  <c r="H17" i="16"/>
  <c r="F17" i="16"/>
  <c r="E17" i="16"/>
  <c r="D17" i="16"/>
  <c r="C17" i="16"/>
  <c r="B17" i="16"/>
  <c r="I16" i="16"/>
  <c r="H16" i="16"/>
  <c r="F16" i="16"/>
  <c r="E16" i="16"/>
  <c r="D16" i="16"/>
  <c r="C16" i="16"/>
  <c r="B16" i="16"/>
  <c r="I14" i="16"/>
  <c r="H14" i="16"/>
  <c r="F14" i="16"/>
  <c r="E14" i="16"/>
  <c r="D14" i="16"/>
  <c r="C14" i="16"/>
  <c r="B14" i="16"/>
  <c r="I13" i="16"/>
  <c r="H13" i="16"/>
  <c r="F13" i="16"/>
  <c r="E13" i="16"/>
  <c r="D13" i="16"/>
  <c r="C13" i="16"/>
  <c r="B13" i="16"/>
  <c r="I12" i="16"/>
  <c r="H12" i="16"/>
  <c r="F12" i="16"/>
  <c r="E12" i="16"/>
  <c r="D12" i="16"/>
  <c r="C12" i="16"/>
  <c r="B12" i="16"/>
  <c r="I11" i="16"/>
  <c r="H11" i="16"/>
  <c r="F11" i="16"/>
  <c r="E11" i="16"/>
  <c r="D11" i="16"/>
  <c r="C11" i="16"/>
  <c r="B11" i="16"/>
  <c r="I10" i="16"/>
  <c r="H10" i="16"/>
  <c r="F10" i="16"/>
  <c r="E10" i="16"/>
  <c r="D10" i="16"/>
  <c r="C10" i="16"/>
  <c r="B10" i="16"/>
  <c r="I8" i="16"/>
  <c r="H8" i="16"/>
  <c r="E8" i="16"/>
  <c r="D8" i="16"/>
  <c r="C8" i="16"/>
  <c r="I7" i="16"/>
  <c r="H7" i="16"/>
  <c r="F7" i="16"/>
  <c r="E7" i="16"/>
  <c r="D7" i="16"/>
  <c r="C7" i="16"/>
  <c r="I6" i="16"/>
  <c r="H6" i="16"/>
  <c r="F6" i="16"/>
  <c r="E6" i="16"/>
  <c r="D6" i="16"/>
  <c r="C6" i="16"/>
  <c r="I5" i="16"/>
  <c r="H5" i="16"/>
  <c r="F5" i="16"/>
  <c r="E5" i="16"/>
  <c r="D5" i="16"/>
  <c r="C5" i="16"/>
  <c r="I4" i="16"/>
  <c r="H4" i="16"/>
  <c r="F4" i="16"/>
  <c r="E4" i="16"/>
  <c r="D4" i="16"/>
  <c r="C4" i="16"/>
  <c r="H1482" i="15"/>
  <c r="G1482" i="15"/>
  <c r="H1481" i="15"/>
  <c r="G1481" i="15"/>
  <c r="H1480" i="15"/>
  <c r="G1480" i="15"/>
  <c r="H1479" i="15"/>
  <c r="G1479" i="15"/>
  <c r="H1478" i="15"/>
  <c r="G1478" i="15"/>
  <c r="H1477" i="15"/>
  <c r="G1477" i="15"/>
  <c r="H1476" i="15"/>
  <c r="G1476" i="15"/>
  <c r="H1475" i="15"/>
  <c r="G1475" i="15"/>
  <c r="H1474" i="15"/>
  <c r="G1474" i="15"/>
  <c r="H1473" i="15"/>
  <c r="G1473" i="15"/>
  <c r="H1472" i="15"/>
  <c r="G1472" i="15"/>
  <c r="H1471" i="15"/>
  <c r="G1471" i="15"/>
  <c r="H1470" i="15"/>
  <c r="G1470" i="15"/>
  <c r="H1469" i="15"/>
  <c r="G1469" i="15"/>
  <c r="H1468" i="15"/>
  <c r="G1468" i="15"/>
  <c r="H1467" i="15"/>
  <c r="G1467" i="15"/>
  <c r="H1466" i="15"/>
  <c r="G1466" i="15"/>
  <c r="H1465" i="15"/>
  <c r="G1465" i="15"/>
  <c r="H1464" i="15"/>
  <c r="G1464" i="15"/>
  <c r="H1463" i="15"/>
  <c r="G1463" i="15"/>
  <c r="H1462" i="15"/>
  <c r="G1462" i="15"/>
  <c r="H1461" i="15"/>
  <c r="G1461" i="15"/>
  <c r="H1460" i="15"/>
  <c r="G1460" i="15"/>
  <c r="H1459" i="15"/>
  <c r="G1459" i="15"/>
  <c r="H1458" i="15"/>
  <c r="G1458" i="15"/>
  <c r="H1457" i="15"/>
  <c r="G1457" i="15"/>
  <c r="H1456" i="15"/>
  <c r="G1456" i="15"/>
  <c r="H1455" i="15"/>
  <c r="G1455" i="15"/>
  <c r="H1454" i="15"/>
  <c r="G1454" i="15"/>
  <c r="H1453" i="15"/>
  <c r="G1453" i="15"/>
  <c r="H1452" i="15"/>
  <c r="G1452" i="15"/>
  <c r="H1451" i="15"/>
  <c r="G1451" i="15"/>
  <c r="H1450" i="15"/>
  <c r="G1450" i="15"/>
  <c r="H1449" i="15"/>
  <c r="G1449" i="15"/>
  <c r="H1448" i="15"/>
  <c r="G1448" i="15"/>
  <c r="H1447" i="15"/>
  <c r="G1447" i="15"/>
  <c r="H1446" i="15"/>
  <c r="G1446" i="15"/>
  <c r="H1445" i="15"/>
  <c r="G1445" i="15"/>
  <c r="H1444" i="15"/>
  <c r="G1444" i="15"/>
  <c r="H1443" i="15"/>
  <c r="G1443" i="15"/>
  <c r="H1442" i="15"/>
  <c r="G1442" i="15"/>
  <c r="H1441" i="15"/>
  <c r="G1441" i="15"/>
  <c r="H1440" i="15"/>
  <c r="G1440" i="15"/>
  <c r="H1439" i="15"/>
  <c r="G1439" i="15"/>
  <c r="H1438" i="15"/>
  <c r="G1438" i="15"/>
  <c r="H1437" i="15"/>
  <c r="G1437" i="15"/>
  <c r="H1436" i="15"/>
  <c r="G1436" i="15"/>
  <c r="H1435" i="15"/>
  <c r="G1435" i="15"/>
  <c r="H1434" i="15"/>
  <c r="G1434" i="15"/>
  <c r="H1433" i="15"/>
  <c r="G1433" i="15"/>
  <c r="H1432" i="15"/>
  <c r="G1432" i="15"/>
  <c r="H1431" i="15"/>
  <c r="G1431" i="15"/>
  <c r="H1430" i="15"/>
  <c r="G1430" i="15"/>
  <c r="H1429" i="15"/>
  <c r="G1429" i="15"/>
  <c r="H1428" i="15"/>
  <c r="G1428" i="15"/>
  <c r="H1427" i="15"/>
  <c r="G1427" i="15"/>
  <c r="H1426" i="15"/>
  <c r="G1426" i="15"/>
  <c r="H1425" i="15"/>
  <c r="G1425" i="15"/>
  <c r="H1424" i="15"/>
  <c r="G1424" i="15"/>
  <c r="H1423" i="15"/>
  <c r="G1423" i="15"/>
  <c r="H1422" i="15"/>
  <c r="G1422" i="15"/>
  <c r="H1421" i="15"/>
  <c r="G1421" i="15"/>
  <c r="H1420" i="15"/>
  <c r="G1420" i="15"/>
  <c r="H1419" i="15"/>
  <c r="G1419" i="15"/>
  <c r="H1418" i="15"/>
  <c r="G1418" i="15"/>
  <c r="H1417" i="15"/>
  <c r="G1417" i="15"/>
  <c r="H1416" i="15"/>
  <c r="G1416" i="15"/>
  <c r="H1415" i="15"/>
  <c r="G1415" i="15"/>
  <c r="H1414" i="15"/>
  <c r="G1414" i="15"/>
  <c r="H1413" i="15"/>
  <c r="G1413" i="15"/>
  <c r="H1412" i="15"/>
  <c r="G1412" i="15"/>
  <c r="H1411" i="15"/>
  <c r="G1411" i="15"/>
  <c r="H1410" i="15"/>
  <c r="G1410" i="15"/>
  <c r="H1409" i="15"/>
  <c r="G1409" i="15"/>
  <c r="H1408" i="15"/>
  <c r="G1408" i="15"/>
  <c r="H1407" i="15"/>
  <c r="G1407" i="15"/>
  <c r="H1406" i="15"/>
  <c r="G1406" i="15"/>
  <c r="H1405" i="15"/>
  <c r="G1405" i="15"/>
  <c r="H1404" i="15"/>
  <c r="G1404" i="15"/>
  <c r="H1403" i="15"/>
  <c r="G1403" i="15"/>
  <c r="H1402" i="15"/>
  <c r="G1402" i="15"/>
  <c r="H1401" i="15"/>
  <c r="G1401" i="15"/>
  <c r="H1400" i="15"/>
  <c r="G1400" i="15"/>
  <c r="H1399" i="15"/>
  <c r="G1399" i="15"/>
  <c r="H1398" i="15"/>
  <c r="G1398" i="15"/>
  <c r="H1397" i="15"/>
  <c r="G1397" i="15"/>
  <c r="H1396" i="15"/>
  <c r="G1396" i="15"/>
  <c r="H1395" i="15"/>
  <c r="G1395" i="15"/>
  <c r="H1394" i="15"/>
  <c r="G1394" i="15"/>
  <c r="H1393" i="15"/>
  <c r="G1393" i="15"/>
  <c r="H1392" i="15"/>
  <c r="G1392" i="15"/>
  <c r="H1391" i="15"/>
  <c r="G1391" i="15"/>
  <c r="H1390" i="15"/>
  <c r="G1390" i="15"/>
  <c r="H1389" i="15"/>
  <c r="G1389" i="15"/>
  <c r="H1388" i="15"/>
  <c r="G1388" i="15"/>
  <c r="H1387" i="15"/>
  <c r="G1387" i="15"/>
  <c r="H1386" i="15"/>
  <c r="G1386" i="15"/>
  <c r="H1385" i="15"/>
  <c r="G1385" i="15"/>
  <c r="H1384" i="15"/>
  <c r="G1384" i="15"/>
  <c r="H1383" i="15"/>
  <c r="G1383" i="15"/>
  <c r="H1382" i="15"/>
  <c r="G1382" i="15"/>
  <c r="H1381" i="15"/>
  <c r="G1381" i="15"/>
  <c r="H1380" i="15"/>
  <c r="G1380" i="15"/>
  <c r="H1379" i="15"/>
  <c r="G1379" i="15"/>
  <c r="H1378" i="15"/>
  <c r="G1378" i="15"/>
  <c r="H1377" i="15"/>
  <c r="G1377" i="15"/>
  <c r="H1376" i="15"/>
  <c r="G1376" i="15"/>
  <c r="H1375" i="15"/>
  <c r="G1375" i="15"/>
  <c r="H1374" i="15"/>
  <c r="G1374" i="15"/>
  <c r="H1373" i="15"/>
  <c r="G1373" i="15"/>
  <c r="H1372" i="15"/>
  <c r="G1372" i="15"/>
  <c r="H1371" i="15"/>
  <c r="G1371" i="15"/>
  <c r="H1370" i="15"/>
  <c r="G1370" i="15"/>
  <c r="H1369" i="15"/>
  <c r="G1369" i="15"/>
  <c r="H1368" i="15"/>
  <c r="G1368" i="15"/>
  <c r="H1367" i="15"/>
  <c r="G1367" i="15"/>
  <c r="H1366" i="15"/>
  <c r="G1366" i="15"/>
  <c r="H1365" i="15"/>
  <c r="G1365" i="15"/>
  <c r="H1364" i="15"/>
  <c r="G1364" i="15"/>
  <c r="H1363" i="15"/>
  <c r="G1363" i="15"/>
  <c r="H1362" i="15"/>
  <c r="G1362" i="15"/>
  <c r="H1361" i="15"/>
  <c r="G1361" i="15"/>
  <c r="H1360" i="15"/>
  <c r="G1360" i="15"/>
  <c r="H1359" i="15"/>
  <c r="G1359" i="15"/>
  <c r="H1358" i="15"/>
  <c r="G1358" i="15"/>
  <c r="H1357" i="15"/>
  <c r="G1357" i="15"/>
  <c r="H1356" i="15"/>
  <c r="G1356" i="15"/>
  <c r="H1355" i="15"/>
  <c r="G1355" i="15"/>
  <c r="H1354" i="15"/>
  <c r="G1354" i="15"/>
  <c r="H1353" i="15"/>
  <c r="G1353" i="15"/>
  <c r="H1352" i="15"/>
  <c r="G1352" i="15"/>
  <c r="H1351" i="15"/>
  <c r="G1351" i="15"/>
  <c r="H1350" i="15"/>
  <c r="G1350" i="15"/>
  <c r="H1349" i="15"/>
  <c r="G1349" i="15"/>
  <c r="H1348" i="15"/>
  <c r="G1348" i="15"/>
  <c r="H1347" i="15"/>
  <c r="G1347" i="15"/>
  <c r="H1346" i="15"/>
  <c r="G1346" i="15"/>
  <c r="H1345" i="15"/>
  <c r="G1345" i="15"/>
  <c r="H1344" i="15"/>
  <c r="G1344" i="15"/>
  <c r="H1343" i="15"/>
  <c r="G1343" i="15"/>
  <c r="H1342" i="15"/>
  <c r="G1342" i="15"/>
  <c r="H1341" i="15"/>
  <c r="G1341" i="15"/>
  <c r="H1340" i="15"/>
  <c r="G1340" i="15"/>
  <c r="H1339" i="15"/>
  <c r="G1339" i="15"/>
  <c r="H1338" i="15"/>
  <c r="G1338" i="15"/>
  <c r="H1337" i="15"/>
  <c r="G1337" i="15"/>
  <c r="H1336" i="15"/>
  <c r="G1336" i="15"/>
  <c r="H1335" i="15"/>
  <c r="G1335" i="15"/>
  <c r="H1334" i="15"/>
  <c r="G1334" i="15"/>
  <c r="H1333" i="15"/>
  <c r="G1333" i="15"/>
  <c r="H1332" i="15"/>
  <c r="G1332" i="15"/>
  <c r="H1331" i="15"/>
  <c r="G1331" i="15"/>
  <c r="H1330" i="15"/>
  <c r="G1330" i="15"/>
  <c r="H1329" i="15"/>
  <c r="G1329" i="15"/>
  <c r="H1328" i="15"/>
  <c r="G1328" i="15"/>
  <c r="H1327" i="15"/>
  <c r="G1327" i="15"/>
  <c r="H1326" i="15"/>
  <c r="G1326" i="15"/>
  <c r="H1325" i="15"/>
  <c r="G1325" i="15"/>
  <c r="H1324" i="15"/>
  <c r="G1324" i="15"/>
  <c r="H1323" i="15"/>
  <c r="G1323" i="15"/>
  <c r="H1322" i="15"/>
  <c r="G1322" i="15"/>
  <c r="H1321" i="15"/>
  <c r="G1321" i="15"/>
  <c r="H1320" i="15"/>
  <c r="G1320" i="15"/>
  <c r="H1319" i="15"/>
  <c r="G1319" i="15"/>
  <c r="H1318" i="15"/>
  <c r="G1318" i="15"/>
  <c r="H1317" i="15"/>
  <c r="G1317" i="15"/>
  <c r="H1316" i="15"/>
  <c r="G1316" i="15"/>
  <c r="H1315" i="15"/>
  <c r="G1315" i="15"/>
  <c r="H1314" i="15"/>
  <c r="G1314" i="15"/>
  <c r="H1313" i="15"/>
  <c r="G1313" i="15"/>
  <c r="H1312" i="15"/>
  <c r="G1312" i="15"/>
  <c r="H1311" i="15"/>
  <c r="G1311" i="15"/>
  <c r="H1310" i="15"/>
  <c r="G1310" i="15"/>
  <c r="H1309" i="15"/>
  <c r="G1309" i="15"/>
  <c r="H1308" i="15"/>
  <c r="G1308" i="15"/>
  <c r="H1307" i="15"/>
  <c r="G1307" i="15"/>
  <c r="H1306" i="15"/>
  <c r="G1306" i="15"/>
  <c r="H1305" i="15"/>
  <c r="G1305" i="15"/>
  <c r="H1304" i="15"/>
  <c r="G1304" i="15"/>
  <c r="H1303" i="15"/>
  <c r="G1303" i="15"/>
  <c r="H1302" i="15"/>
  <c r="G1302" i="15"/>
  <c r="H1301" i="15"/>
  <c r="G1301" i="15"/>
  <c r="H1300" i="15"/>
  <c r="G1300" i="15"/>
  <c r="H1299" i="15"/>
  <c r="G1299" i="15"/>
  <c r="H1298" i="15"/>
  <c r="G1298" i="15"/>
  <c r="H1297" i="15"/>
  <c r="G1297" i="15"/>
  <c r="H1296" i="15"/>
  <c r="G1296" i="15"/>
  <c r="H1295" i="15"/>
  <c r="G1295" i="15"/>
  <c r="H1294" i="15"/>
  <c r="G1294" i="15"/>
  <c r="H1293" i="15"/>
  <c r="G1293" i="15"/>
  <c r="H1292" i="15"/>
  <c r="G1292" i="15"/>
  <c r="H1291" i="15"/>
  <c r="G1291" i="15"/>
  <c r="H1290" i="15"/>
  <c r="G1290" i="15"/>
  <c r="H1289" i="15"/>
  <c r="G1289" i="15"/>
  <c r="H1288" i="15"/>
  <c r="G1288" i="15"/>
  <c r="H1287" i="15"/>
  <c r="G1287" i="15"/>
  <c r="H1286" i="15"/>
  <c r="G1286" i="15"/>
  <c r="H1285" i="15"/>
  <c r="G1285" i="15"/>
  <c r="H1284" i="15"/>
  <c r="G1284" i="15"/>
  <c r="H1283" i="15"/>
  <c r="G1283" i="15"/>
  <c r="H1282" i="15"/>
  <c r="G1282" i="15"/>
  <c r="H1281" i="15"/>
  <c r="G1281" i="15"/>
  <c r="H1280" i="15"/>
  <c r="G1280" i="15"/>
  <c r="H1279" i="15"/>
  <c r="G1279" i="15"/>
  <c r="H1278" i="15"/>
  <c r="G1278" i="15"/>
  <c r="H1277" i="15"/>
  <c r="G1277" i="15"/>
  <c r="H1276" i="15"/>
  <c r="G1276" i="15"/>
  <c r="H1275" i="15"/>
  <c r="G1275" i="15"/>
  <c r="H1274" i="15"/>
  <c r="G1274" i="15"/>
  <c r="H1273" i="15"/>
  <c r="G1273" i="15"/>
  <c r="H1272" i="15"/>
  <c r="G1272" i="15"/>
  <c r="H1271" i="15"/>
  <c r="G1271" i="15"/>
  <c r="H1270" i="15"/>
  <c r="G1270" i="15"/>
  <c r="H1269" i="15"/>
  <c r="G1269" i="15"/>
  <c r="H1268" i="15"/>
  <c r="G1268" i="15"/>
  <c r="H1267" i="15"/>
  <c r="G1267" i="15"/>
  <c r="H1266" i="15"/>
  <c r="G1266" i="15"/>
  <c r="H1265" i="15"/>
  <c r="G1265" i="15"/>
  <c r="H1264" i="15"/>
  <c r="G1264" i="15"/>
  <c r="H1263" i="15"/>
  <c r="G1263" i="15"/>
  <c r="H1262" i="15"/>
  <c r="G1262" i="15"/>
  <c r="H1261" i="15"/>
  <c r="G1261" i="15"/>
  <c r="H1260" i="15"/>
  <c r="G1260" i="15"/>
  <c r="H1259" i="15"/>
  <c r="G1259" i="15"/>
  <c r="H1258" i="15"/>
  <c r="G1258" i="15"/>
  <c r="H1257" i="15"/>
  <c r="G1257" i="15"/>
  <c r="H1256" i="15"/>
  <c r="G1256" i="15"/>
  <c r="H1255" i="15"/>
  <c r="G1255" i="15"/>
  <c r="H1254" i="15"/>
  <c r="G1254" i="15"/>
  <c r="H1253" i="15"/>
  <c r="G1253" i="15"/>
  <c r="H1252" i="15"/>
  <c r="G1252" i="15"/>
  <c r="H1251" i="15"/>
  <c r="G1251" i="15"/>
  <c r="H1250" i="15"/>
  <c r="G1250" i="15"/>
  <c r="H1249" i="15"/>
  <c r="G1249" i="15"/>
  <c r="H1248" i="15"/>
  <c r="G1248" i="15"/>
  <c r="H1247" i="15"/>
  <c r="G1247" i="15"/>
  <c r="H1246" i="15"/>
  <c r="G1246" i="15"/>
  <c r="H1245" i="15"/>
  <c r="G1245" i="15"/>
  <c r="H1244" i="15"/>
  <c r="G1244" i="15"/>
  <c r="H1243" i="15"/>
  <c r="G1243" i="15"/>
  <c r="H1242" i="15"/>
  <c r="G1242" i="15"/>
  <c r="H1241" i="15"/>
  <c r="G1241" i="15"/>
  <c r="H1240" i="15"/>
  <c r="G1240" i="15"/>
  <c r="H1239" i="15"/>
  <c r="G1239" i="15"/>
  <c r="H1238" i="15"/>
  <c r="G1238" i="15"/>
  <c r="H1237" i="15"/>
  <c r="G1237" i="15"/>
  <c r="H1236" i="15"/>
  <c r="G1236" i="15"/>
  <c r="H1235" i="15"/>
  <c r="G1235" i="15"/>
  <c r="H1234" i="15"/>
  <c r="G1234" i="15"/>
  <c r="H1233" i="15"/>
  <c r="G1233" i="15"/>
  <c r="H1232" i="15"/>
  <c r="G1232" i="15"/>
  <c r="H1231" i="15"/>
  <c r="G1231" i="15"/>
  <c r="H1230" i="15"/>
  <c r="G1230" i="15"/>
  <c r="H1229" i="15"/>
  <c r="G1229" i="15"/>
  <c r="H1228" i="15"/>
  <c r="G1228" i="15"/>
  <c r="H1227" i="15"/>
  <c r="G1227" i="15"/>
  <c r="H1226" i="15"/>
  <c r="G1226" i="15"/>
  <c r="H1225" i="15"/>
  <c r="G1225" i="15"/>
  <c r="H1224" i="15"/>
  <c r="G1224" i="15"/>
  <c r="H1223" i="15"/>
  <c r="G1223" i="15"/>
  <c r="H1222" i="15"/>
  <c r="G1222" i="15"/>
  <c r="H1221" i="15"/>
  <c r="G1221" i="15"/>
  <c r="H1220" i="15"/>
  <c r="G1220" i="15"/>
  <c r="H1219" i="15"/>
  <c r="G1219" i="15"/>
  <c r="H1218" i="15"/>
  <c r="G1218" i="15"/>
  <c r="H1217" i="15"/>
  <c r="G1217" i="15"/>
  <c r="H1216" i="15"/>
  <c r="G1216" i="15"/>
  <c r="H1215" i="15"/>
  <c r="G1215" i="15"/>
  <c r="H1214" i="15"/>
  <c r="G1214" i="15"/>
  <c r="H1213" i="15"/>
  <c r="G1213" i="15"/>
  <c r="H1212" i="15"/>
  <c r="G1212" i="15"/>
  <c r="H1211" i="15"/>
  <c r="G1211" i="15"/>
  <c r="H1210" i="15"/>
  <c r="G1210" i="15"/>
  <c r="H1209" i="15"/>
  <c r="G1209" i="15"/>
  <c r="H1208" i="15"/>
  <c r="G1208" i="15"/>
  <c r="H1207" i="15"/>
  <c r="G1207" i="15"/>
  <c r="H1206" i="15"/>
  <c r="G1206" i="15"/>
  <c r="H1205" i="15"/>
  <c r="G1205" i="15"/>
  <c r="H1204" i="15"/>
  <c r="G1204" i="15"/>
  <c r="H1203" i="15"/>
  <c r="G1203" i="15"/>
  <c r="H1202" i="15"/>
  <c r="G1202" i="15"/>
  <c r="H1201" i="15"/>
  <c r="G1201" i="15"/>
  <c r="H1200" i="15"/>
  <c r="G1200" i="15"/>
  <c r="H1199" i="15"/>
  <c r="G1199" i="15"/>
  <c r="H1198" i="15"/>
  <c r="G1198" i="15"/>
  <c r="H1197" i="15"/>
  <c r="G1197" i="15"/>
  <c r="H1196" i="15"/>
  <c r="G1196" i="15"/>
  <c r="H1195" i="15"/>
  <c r="G1195" i="15"/>
  <c r="H1194" i="15"/>
  <c r="G1194" i="15"/>
  <c r="H1193" i="15"/>
  <c r="G1193" i="15"/>
  <c r="H1192" i="15"/>
  <c r="G1192" i="15"/>
  <c r="H1191" i="15"/>
  <c r="G1191" i="15"/>
  <c r="H1190" i="15"/>
  <c r="G1190" i="15"/>
  <c r="H1189" i="15"/>
  <c r="G1189" i="15"/>
  <c r="H1188" i="15"/>
  <c r="G1188" i="15"/>
  <c r="H1187" i="15"/>
  <c r="G1187" i="15"/>
  <c r="H1186" i="15"/>
  <c r="G1186" i="15"/>
  <c r="H1185" i="15"/>
  <c r="G1185" i="15"/>
  <c r="H1184" i="15"/>
  <c r="G1184" i="15"/>
  <c r="H1183" i="15"/>
  <c r="G1183" i="15"/>
  <c r="H1182" i="15"/>
  <c r="G1182" i="15"/>
  <c r="H1181" i="15"/>
  <c r="G1181" i="15"/>
  <c r="H1180" i="15"/>
  <c r="G1180" i="15"/>
  <c r="H1179" i="15"/>
  <c r="G1179" i="15"/>
  <c r="H1178" i="15"/>
  <c r="G1178" i="15"/>
  <c r="H1177" i="15"/>
  <c r="G1177" i="15"/>
  <c r="H1176" i="15"/>
  <c r="G1176" i="15"/>
  <c r="H1175" i="15"/>
  <c r="G1175" i="15"/>
  <c r="H1174" i="15"/>
  <c r="G1174" i="15"/>
  <c r="H1173" i="15"/>
  <c r="G1173" i="15"/>
  <c r="H1172" i="15"/>
  <c r="G1172" i="15"/>
  <c r="H1171" i="15"/>
  <c r="G1171" i="15"/>
  <c r="H1170" i="15"/>
  <c r="G1170" i="15"/>
  <c r="H1169" i="15"/>
  <c r="G1169" i="15"/>
  <c r="H1168" i="15"/>
  <c r="G1168" i="15"/>
  <c r="H1167" i="15"/>
  <c r="G1167" i="15"/>
  <c r="H1166" i="15"/>
  <c r="G1166" i="15"/>
  <c r="H1165" i="15"/>
  <c r="G1165" i="15"/>
  <c r="H1164" i="15"/>
  <c r="G1164" i="15"/>
  <c r="H1163" i="15"/>
  <c r="G1163" i="15"/>
  <c r="H1162" i="15"/>
  <c r="G1162" i="15"/>
  <c r="H1161" i="15"/>
  <c r="G1161" i="15"/>
  <c r="H1160" i="15"/>
  <c r="G1160" i="15"/>
  <c r="H1159" i="15"/>
  <c r="G1159" i="15"/>
  <c r="H1158" i="15"/>
  <c r="G1158" i="15"/>
  <c r="H1157" i="15"/>
  <c r="G1157" i="15"/>
  <c r="H1156" i="15"/>
  <c r="G1156" i="15"/>
  <c r="H1155" i="15"/>
  <c r="G1155" i="15"/>
  <c r="H1154" i="15"/>
  <c r="G1154" i="15"/>
  <c r="H1153" i="15"/>
  <c r="G1153" i="15"/>
  <c r="H1152" i="15"/>
  <c r="G1152" i="15"/>
  <c r="H1151" i="15"/>
  <c r="G1151" i="15"/>
  <c r="H1150" i="15"/>
  <c r="G1150" i="15"/>
  <c r="H1149" i="15"/>
  <c r="G1149" i="15"/>
  <c r="H1148" i="15"/>
  <c r="G1148" i="15"/>
  <c r="H1147" i="15"/>
  <c r="G1147" i="15"/>
  <c r="H1146" i="15"/>
  <c r="G1146" i="15"/>
  <c r="H1145" i="15"/>
  <c r="G1145" i="15"/>
  <c r="H1144" i="15"/>
  <c r="G1144" i="15"/>
  <c r="H1143" i="15"/>
  <c r="G1143" i="15"/>
  <c r="H1142" i="15"/>
  <c r="G1142" i="15"/>
  <c r="H1141" i="15"/>
  <c r="G1141" i="15"/>
  <c r="H1140" i="15"/>
  <c r="G1140" i="15"/>
  <c r="H1139" i="15"/>
  <c r="G1139" i="15"/>
  <c r="H1138" i="15"/>
  <c r="G1138" i="15"/>
  <c r="H1137" i="15"/>
  <c r="G1137" i="15"/>
  <c r="H1136" i="15"/>
  <c r="G1136" i="15"/>
  <c r="H1135" i="15"/>
  <c r="G1135" i="15"/>
  <c r="H1134" i="15"/>
  <c r="G1134" i="15"/>
  <c r="H1133" i="15"/>
  <c r="G1133" i="15"/>
  <c r="H1132" i="15"/>
  <c r="G1132" i="15"/>
  <c r="H1131" i="15"/>
  <c r="G1131" i="15"/>
  <c r="H1130" i="15"/>
  <c r="G1130" i="15"/>
  <c r="H1129" i="15"/>
  <c r="G1129" i="15"/>
  <c r="H1128" i="15"/>
  <c r="G1128" i="15"/>
  <c r="H1127" i="15"/>
  <c r="G1127" i="15"/>
  <c r="H1126" i="15"/>
  <c r="G1126" i="15"/>
  <c r="H1125" i="15"/>
  <c r="G1125" i="15"/>
  <c r="H1124" i="15"/>
  <c r="G1124" i="15"/>
  <c r="H1123" i="15"/>
  <c r="G1123" i="15"/>
  <c r="H1122" i="15"/>
  <c r="G1122" i="15"/>
  <c r="H1121" i="15"/>
  <c r="G1121" i="15"/>
  <c r="H1120" i="15"/>
  <c r="G1120" i="15"/>
  <c r="H1119" i="15"/>
  <c r="G1119" i="15"/>
  <c r="H1118" i="15"/>
  <c r="G1118" i="15"/>
  <c r="H1117" i="15"/>
  <c r="G1117" i="15"/>
  <c r="H1116" i="15"/>
  <c r="G1116" i="15"/>
  <c r="H1115" i="15"/>
  <c r="G1115" i="15"/>
  <c r="H1114" i="15"/>
  <c r="G1114" i="15"/>
  <c r="H1113" i="15"/>
  <c r="G1113" i="15"/>
  <c r="H1112" i="15"/>
  <c r="G1112" i="15"/>
  <c r="H1111" i="15"/>
  <c r="G1111" i="15"/>
  <c r="H1110" i="15"/>
  <c r="G1110" i="15"/>
  <c r="H1109" i="15"/>
  <c r="G1109" i="15"/>
  <c r="H1108" i="15"/>
  <c r="G1108" i="15"/>
  <c r="H1107" i="15"/>
  <c r="G1107" i="15"/>
  <c r="H1106" i="15"/>
  <c r="G1106" i="15"/>
  <c r="H1105" i="15"/>
  <c r="G1105" i="15"/>
  <c r="H1104" i="15"/>
  <c r="G1104" i="15"/>
  <c r="H1103" i="15"/>
  <c r="G1103" i="15"/>
  <c r="H1102" i="15"/>
  <c r="G1102" i="15"/>
  <c r="H1101" i="15"/>
  <c r="G1101" i="15"/>
  <c r="H1100" i="15"/>
  <c r="G1100" i="15"/>
  <c r="H1099" i="15"/>
  <c r="G1099" i="15"/>
  <c r="H1098" i="15"/>
  <c r="G1098" i="15"/>
  <c r="H1097" i="15"/>
  <c r="G1097" i="15"/>
  <c r="H1096" i="15"/>
  <c r="G1096" i="15"/>
  <c r="H1095" i="15"/>
  <c r="G1095" i="15"/>
  <c r="H1094" i="15"/>
  <c r="G1094" i="15"/>
  <c r="H1093" i="15"/>
  <c r="G1093" i="15"/>
  <c r="H1092" i="15"/>
  <c r="G1092" i="15"/>
  <c r="H1091" i="15"/>
  <c r="G1091" i="15"/>
  <c r="H1090" i="15"/>
  <c r="G1090" i="15"/>
  <c r="H1089" i="15"/>
  <c r="G1089" i="15"/>
  <c r="H1088" i="15"/>
  <c r="G1088" i="15"/>
  <c r="H1087" i="15"/>
  <c r="G1087" i="15"/>
  <c r="H1086" i="15"/>
  <c r="G1086" i="15"/>
  <c r="H1085" i="15"/>
  <c r="G1085" i="15"/>
  <c r="H1084" i="15"/>
  <c r="G1084" i="15"/>
  <c r="H1083" i="15"/>
  <c r="G1083" i="15"/>
  <c r="H1082" i="15"/>
  <c r="G1082" i="15"/>
  <c r="H1081" i="15"/>
  <c r="G1081" i="15"/>
  <c r="H1080" i="15"/>
  <c r="G1080" i="15"/>
  <c r="H1079" i="15"/>
  <c r="G1079" i="15"/>
  <c r="H1078" i="15"/>
  <c r="G1078" i="15"/>
  <c r="H1077" i="15"/>
  <c r="G1077" i="15"/>
  <c r="H1076" i="15"/>
  <c r="G1076" i="15"/>
  <c r="H1075" i="15"/>
  <c r="G1075" i="15"/>
  <c r="H1074" i="15"/>
  <c r="G1074" i="15"/>
  <c r="H1073" i="15"/>
  <c r="G1073" i="15"/>
  <c r="H1072" i="15"/>
  <c r="G1072" i="15"/>
  <c r="H1071" i="15"/>
  <c r="G1071" i="15"/>
  <c r="H1070" i="15"/>
  <c r="G1070" i="15"/>
  <c r="H1069" i="15"/>
  <c r="G1069" i="15"/>
  <c r="H1068" i="15"/>
  <c r="G1068" i="15"/>
  <c r="H1067" i="15"/>
  <c r="G1067" i="15"/>
  <c r="H1066" i="15"/>
  <c r="G1066" i="15"/>
  <c r="H1065" i="15"/>
  <c r="G1065" i="15"/>
  <c r="H1064" i="15"/>
  <c r="G1064" i="15"/>
  <c r="H1063" i="15"/>
  <c r="G1063" i="15"/>
  <c r="H1062" i="15"/>
  <c r="G1062" i="15"/>
  <c r="H1061" i="15"/>
  <c r="G1061" i="15"/>
  <c r="H1060" i="15"/>
  <c r="G1060" i="15"/>
  <c r="H1059" i="15"/>
  <c r="G1059" i="15"/>
  <c r="H1058" i="15"/>
  <c r="G1058" i="15"/>
  <c r="H1057" i="15"/>
  <c r="G1057" i="15"/>
  <c r="H1056" i="15"/>
  <c r="G1056" i="15"/>
  <c r="H1055" i="15"/>
  <c r="G1055" i="15"/>
  <c r="H1054" i="15"/>
  <c r="G1054" i="15"/>
  <c r="H1053" i="15"/>
  <c r="G1053" i="15"/>
  <c r="H1052" i="15"/>
  <c r="G1052" i="15"/>
  <c r="H1051" i="15"/>
  <c r="G1051" i="15"/>
  <c r="H1050" i="15"/>
  <c r="G1050" i="15"/>
  <c r="H1049" i="15"/>
  <c r="G1049" i="15"/>
  <c r="H1048" i="15"/>
  <c r="G1048" i="15"/>
  <c r="H1047" i="15"/>
  <c r="G1047" i="15"/>
  <c r="H1046" i="15"/>
  <c r="G1046" i="15"/>
  <c r="H1045" i="15"/>
  <c r="G1045" i="15"/>
  <c r="H1044" i="15"/>
  <c r="G1044" i="15"/>
  <c r="H1043" i="15"/>
  <c r="G1043" i="15"/>
  <c r="H1042" i="15"/>
  <c r="G1042" i="15"/>
  <c r="H1041" i="15"/>
  <c r="G1041" i="15"/>
  <c r="H1040" i="15"/>
  <c r="G1040" i="15"/>
  <c r="H1039" i="15"/>
  <c r="G1039" i="15"/>
  <c r="H1038" i="15"/>
  <c r="G1038" i="15"/>
  <c r="H1037" i="15"/>
  <c r="G1037" i="15"/>
  <c r="H1036" i="15"/>
  <c r="G1036" i="15"/>
  <c r="H1035" i="15"/>
  <c r="G1035" i="15"/>
  <c r="H1034" i="15"/>
  <c r="G1034" i="15"/>
  <c r="H1033" i="15"/>
  <c r="G1033" i="15"/>
  <c r="H1032" i="15"/>
  <c r="G1032" i="15"/>
  <c r="H1031" i="15"/>
  <c r="G1031" i="15"/>
  <c r="H1030" i="15"/>
  <c r="G1030" i="15"/>
  <c r="H1029" i="15"/>
  <c r="G1029" i="15"/>
  <c r="H1028" i="15"/>
  <c r="G1028" i="15"/>
  <c r="H1027" i="15"/>
  <c r="G1027" i="15"/>
  <c r="H1026" i="15"/>
  <c r="G1026" i="15"/>
  <c r="H1025" i="15"/>
  <c r="G1025" i="15"/>
  <c r="H1024" i="15"/>
  <c r="G1024" i="15"/>
  <c r="H1023" i="15"/>
  <c r="G1023" i="15"/>
  <c r="H1022" i="15"/>
  <c r="G1022" i="15"/>
  <c r="H1021" i="15"/>
  <c r="G1021" i="15"/>
  <c r="H1020" i="15"/>
  <c r="G1020" i="15"/>
  <c r="H1019" i="15"/>
  <c r="G1019" i="15"/>
  <c r="H1018" i="15"/>
  <c r="G1018" i="15"/>
  <c r="H1017" i="15"/>
  <c r="G1017" i="15"/>
  <c r="H1016" i="15"/>
  <c r="G1016" i="15"/>
  <c r="H1015" i="15"/>
  <c r="G1015" i="15"/>
  <c r="H1014" i="15"/>
  <c r="G1014" i="15"/>
  <c r="H1013" i="15"/>
  <c r="G1013" i="15"/>
  <c r="H1012" i="15"/>
  <c r="G1012" i="15"/>
  <c r="H1011" i="15"/>
  <c r="G1011" i="15"/>
  <c r="H1010" i="15"/>
  <c r="G1010" i="15"/>
  <c r="H1009" i="15"/>
  <c r="G1009" i="15"/>
  <c r="H1008" i="15"/>
  <c r="G1008" i="15"/>
  <c r="H1007" i="15"/>
  <c r="G1007" i="15"/>
  <c r="H1006" i="15"/>
  <c r="G1006" i="15"/>
  <c r="H1005" i="15"/>
  <c r="G1005" i="15"/>
  <c r="H1004" i="15"/>
  <c r="G1004" i="15"/>
  <c r="H1003" i="15"/>
  <c r="G1003" i="15"/>
  <c r="H1002" i="15"/>
  <c r="G1002" i="15"/>
  <c r="H1001" i="15"/>
  <c r="G1001" i="15"/>
  <c r="H1000" i="15"/>
  <c r="G1000" i="15"/>
  <c r="H999" i="15"/>
  <c r="G999" i="15"/>
  <c r="H998" i="15"/>
  <c r="G998" i="15"/>
  <c r="H997" i="15"/>
  <c r="G997" i="15"/>
  <c r="H996" i="15"/>
  <c r="G996" i="15"/>
  <c r="H995" i="15"/>
  <c r="G995" i="15"/>
  <c r="H994" i="15"/>
  <c r="G994" i="15"/>
  <c r="H993" i="15"/>
  <c r="G993" i="15"/>
  <c r="H992" i="15"/>
  <c r="G992" i="15"/>
  <c r="H991" i="15"/>
  <c r="G991" i="15"/>
  <c r="H990" i="15"/>
  <c r="G990" i="15"/>
  <c r="H989" i="15"/>
  <c r="G989" i="15"/>
  <c r="H988" i="15"/>
  <c r="G988" i="15"/>
  <c r="H987" i="15"/>
  <c r="G987" i="15"/>
  <c r="H986" i="15"/>
  <c r="G986" i="15"/>
  <c r="H985" i="15"/>
  <c r="G985" i="15"/>
  <c r="H984" i="15"/>
  <c r="G984" i="15"/>
  <c r="H983" i="15"/>
  <c r="G983" i="15"/>
  <c r="H982" i="15"/>
  <c r="G982" i="15"/>
  <c r="H981" i="15"/>
  <c r="G981" i="15"/>
  <c r="H980" i="15"/>
  <c r="G980" i="15"/>
  <c r="H979" i="15"/>
  <c r="G979" i="15"/>
  <c r="H978" i="15"/>
  <c r="G978" i="15"/>
  <c r="H977" i="15"/>
  <c r="G977" i="15"/>
  <c r="H976" i="15"/>
  <c r="G976" i="15"/>
  <c r="H975" i="15"/>
  <c r="G975" i="15"/>
  <c r="H974" i="15"/>
  <c r="G974" i="15"/>
  <c r="H973" i="15"/>
  <c r="G973" i="15"/>
  <c r="H972" i="15"/>
  <c r="G972" i="15"/>
  <c r="H971" i="15"/>
  <c r="G971" i="15"/>
  <c r="H970" i="15"/>
  <c r="G970" i="15"/>
  <c r="H969" i="15"/>
  <c r="G969" i="15"/>
  <c r="H968" i="15"/>
  <c r="G968" i="15"/>
  <c r="H967" i="15"/>
  <c r="G967" i="15"/>
  <c r="H966" i="15"/>
  <c r="G966" i="15"/>
  <c r="H965" i="15"/>
  <c r="G965" i="15"/>
  <c r="H964" i="15"/>
  <c r="G964" i="15"/>
  <c r="H963" i="15"/>
  <c r="G963" i="15"/>
  <c r="H962" i="15"/>
  <c r="G962" i="15"/>
  <c r="H961" i="15"/>
  <c r="G961" i="15"/>
  <c r="H960" i="15"/>
  <c r="G960" i="15"/>
  <c r="H959" i="15"/>
  <c r="G959" i="15"/>
  <c r="H958" i="15"/>
  <c r="G958" i="15"/>
  <c r="H957" i="15"/>
  <c r="G957" i="15"/>
  <c r="H956" i="15"/>
  <c r="G956" i="15"/>
  <c r="H955" i="15"/>
  <c r="G955" i="15"/>
  <c r="H954" i="15"/>
  <c r="G954" i="15"/>
  <c r="H953" i="15"/>
  <c r="G953" i="15"/>
  <c r="H952" i="15"/>
  <c r="G952" i="15"/>
  <c r="H951" i="15"/>
  <c r="G951" i="15"/>
  <c r="H950" i="15"/>
  <c r="G950" i="15"/>
  <c r="H949" i="15"/>
  <c r="G949" i="15"/>
  <c r="H948" i="15"/>
  <c r="G948" i="15"/>
  <c r="H947" i="15"/>
  <c r="G947" i="15"/>
  <c r="H946" i="15"/>
  <c r="G946" i="15"/>
  <c r="H945" i="15"/>
  <c r="G945" i="15"/>
  <c r="H944" i="15"/>
  <c r="G944" i="15"/>
  <c r="H943" i="15"/>
  <c r="G943" i="15"/>
  <c r="H942" i="15"/>
  <c r="G942" i="15"/>
  <c r="H941" i="15"/>
  <c r="G941" i="15"/>
  <c r="H940" i="15"/>
  <c r="G940" i="15"/>
  <c r="H939" i="15"/>
  <c r="G939" i="15"/>
  <c r="H938" i="15"/>
  <c r="G938" i="15"/>
  <c r="H937" i="15"/>
  <c r="G937" i="15"/>
  <c r="H936" i="15"/>
  <c r="G936" i="15"/>
  <c r="H935" i="15"/>
  <c r="G935" i="15"/>
  <c r="H934" i="15"/>
  <c r="G934" i="15"/>
  <c r="H933" i="15"/>
  <c r="G933" i="15"/>
  <c r="H932" i="15"/>
  <c r="G932" i="15"/>
  <c r="H931" i="15"/>
  <c r="G931" i="15"/>
  <c r="H930" i="15"/>
  <c r="G930" i="15"/>
  <c r="H929" i="15"/>
  <c r="G929" i="15"/>
  <c r="H928" i="15"/>
  <c r="G928" i="15"/>
  <c r="H927" i="15"/>
  <c r="G927" i="15"/>
  <c r="H926" i="15"/>
  <c r="G926" i="15"/>
  <c r="H925" i="15"/>
  <c r="G925" i="15"/>
  <c r="H924" i="15"/>
  <c r="G924" i="15"/>
  <c r="H923" i="15"/>
  <c r="G923" i="15"/>
  <c r="H922" i="15"/>
  <c r="G922" i="15"/>
  <c r="H921" i="15"/>
  <c r="G921" i="15"/>
  <c r="H920" i="15"/>
  <c r="G920" i="15"/>
  <c r="H919" i="15"/>
  <c r="G919" i="15"/>
  <c r="H918" i="15"/>
  <c r="G918" i="15"/>
  <c r="H917" i="15"/>
  <c r="G917" i="15"/>
  <c r="H916" i="15"/>
  <c r="G916" i="15"/>
  <c r="H915" i="15"/>
  <c r="G915" i="15"/>
  <c r="H914" i="15"/>
  <c r="G914" i="15"/>
  <c r="H913" i="15"/>
  <c r="G913" i="15"/>
  <c r="H912" i="15"/>
  <c r="G912" i="15"/>
  <c r="H911" i="15"/>
  <c r="G911" i="15"/>
  <c r="H910" i="15"/>
  <c r="G910" i="15"/>
  <c r="H909" i="15"/>
  <c r="G909" i="15"/>
  <c r="H908" i="15"/>
  <c r="G908" i="15"/>
  <c r="H907" i="15"/>
  <c r="G907" i="15"/>
  <c r="H906" i="15"/>
  <c r="G906" i="15"/>
  <c r="H905" i="15"/>
  <c r="G905" i="15"/>
  <c r="H904" i="15"/>
  <c r="G904" i="15"/>
  <c r="H903" i="15"/>
  <c r="G903" i="15"/>
  <c r="H902" i="15"/>
  <c r="G902" i="15"/>
  <c r="H901" i="15"/>
  <c r="G901" i="15"/>
  <c r="H900" i="15"/>
  <c r="G900" i="15"/>
  <c r="H899" i="15"/>
  <c r="G899" i="15"/>
  <c r="H898" i="15"/>
  <c r="G898" i="15"/>
  <c r="H897" i="15"/>
  <c r="G897" i="15"/>
  <c r="H896" i="15"/>
  <c r="G896" i="15"/>
  <c r="H895" i="15"/>
  <c r="G895" i="15"/>
  <c r="H894" i="15"/>
  <c r="G894" i="15"/>
  <c r="H893" i="15"/>
  <c r="G893" i="15"/>
  <c r="H892" i="15"/>
  <c r="G892" i="15"/>
  <c r="H891" i="15"/>
  <c r="G891" i="15"/>
  <c r="H890" i="15"/>
  <c r="G890" i="15"/>
  <c r="H889" i="15"/>
  <c r="G889" i="15"/>
  <c r="H888" i="15"/>
  <c r="G888" i="15"/>
  <c r="H887" i="15"/>
  <c r="G887" i="15"/>
  <c r="H886" i="15"/>
  <c r="G886" i="15"/>
  <c r="H885" i="15"/>
  <c r="G885" i="15"/>
  <c r="H884" i="15"/>
  <c r="G884" i="15"/>
  <c r="H883" i="15"/>
  <c r="G883" i="15"/>
  <c r="H882" i="15"/>
  <c r="G882" i="15"/>
  <c r="H881" i="15"/>
  <c r="G881" i="15"/>
  <c r="H880" i="15"/>
  <c r="G880" i="15"/>
  <c r="H879" i="15"/>
  <c r="G879" i="15"/>
  <c r="H878" i="15"/>
  <c r="G878" i="15"/>
  <c r="H877" i="15"/>
  <c r="G877" i="15"/>
  <c r="H876" i="15"/>
  <c r="G876" i="15"/>
  <c r="H875" i="15"/>
  <c r="G875" i="15"/>
  <c r="H874" i="15"/>
  <c r="G874" i="15"/>
  <c r="H873" i="15"/>
  <c r="G873" i="15"/>
  <c r="H872" i="15"/>
  <c r="G872" i="15"/>
  <c r="H871" i="15"/>
  <c r="G871" i="15"/>
  <c r="H870" i="15"/>
  <c r="G870" i="15"/>
  <c r="H869" i="15"/>
  <c r="G869" i="15"/>
  <c r="H868" i="15"/>
  <c r="G868" i="15"/>
  <c r="H867" i="15"/>
  <c r="G867" i="15"/>
  <c r="H866" i="15"/>
  <c r="G866" i="15"/>
  <c r="H865" i="15"/>
  <c r="G865" i="15"/>
  <c r="H864" i="15"/>
  <c r="G864" i="15"/>
  <c r="H863" i="15"/>
  <c r="G863" i="15"/>
  <c r="H862" i="15"/>
  <c r="G862" i="15"/>
  <c r="H861" i="15"/>
  <c r="G861" i="15"/>
  <c r="H860" i="15"/>
  <c r="G860" i="15"/>
  <c r="H859" i="15"/>
  <c r="G859" i="15"/>
  <c r="H858" i="15"/>
  <c r="G858" i="15"/>
  <c r="H857" i="15"/>
  <c r="G857" i="15"/>
  <c r="H856" i="15"/>
  <c r="G856" i="15"/>
  <c r="H855" i="15"/>
  <c r="G855" i="15"/>
  <c r="H854" i="15"/>
  <c r="G854" i="15"/>
  <c r="H853" i="15"/>
  <c r="G853" i="15"/>
  <c r="H852" i="15"/>
  <c r="G852" i="15"/>
  <c r="H851" i="15"/>
  <c r="G851" i="15"/>
  <c r="H850" i="15"/>
  <c r="G850" i="15"/>
  <c r="H849" i="15"/>
  <c r="G849" i="15"/>
  <c r="H848" i="15"/>
  <c r="G848" i="15"/>
  <c r="H847" i="15"/>
  <c r="G847" i="15"/>
  <c r="H846" i="15"/>
  <c r="G846" i="15"/>
  <c r="H845" i="15"/>
  <c r="G845" i="15"/>
  <c r="H844" i="15"/>
  <c r="G844" i="15"/>
  <c r="H843" i="15"/>
  <c r="G843" i="15"/>
  <c r="H842" i="15"/>
  <c r="G842" i="15"/>
  <c r="H841" i="15"/>
  <c r="G841" i="15"/>
  <c r="H840" i="15"/>
  <c r="G840" i="15"/>
  <c r="H839" i="15"/>
  <c r="G839" i="15"/>
  <c r="H838" i="15"/>
  <c r="G838" i="15"/>
  <c r="H837" i="15"/>
  <c r="G837" i="15"/>
  <c r="H836" i="15"/>
  <c r="G836" i="15"/>
  <c r="H835" i="15"/>
  <c r="G835" i="15"/>
  <c r="H834" i="15"/>
  <c r="G834" i="15"/>
  <c r="H833" i="15"/>
  <c r="G833" i="15"/>
  <c r="H832" i="15"/>
  <c r="G832" i="15"/>
  <c r="H831" i="15"/>
  <c r="G831" i="15"/>
  <c r="H830" i="15"/>
  <c r="G830" i="15"/>
  <c r="H829" i="15"/>
  <c r="G829" i="15"/>
  <c r="H828" i="15"/>
  <c r="G828" i="15"/>
  <c r="H827" i="15"/>
  <c r="G827" i="15"/>
  <c r="H826" i="15"/>
  <c r="G826" i="15"/>
  <c r="H825" i="15"/>
  <c r="G825" i="15"/>
  <c r="H824" i="15"/>
  <c r="G824" i="15"/>
  <c r="H823" i="15"/>
  <c r="G823" i="15"/>
  <c r="H822" i="15"/>
  <c r="G822" i="15"/>
  <c r="H821" i="15"/>
  <c r="G821" i="15"/>
  <c r="H820" i="15"/>
  <c r="G820" i="15"/>
  <c r="H819" i="15"/>
  <c r="G819" i="15"/>
  <c r="H818" i="15"/>
  <c r="G818" i="15"/>
  <c r="H817" i="15"/>
  <c r="G817" i="15"/>
  <c r="H816" i="15"/>
  <c r="G816" i="15"/>
  <c r="H815" i="15"/>
  <c r="G815" i="15"/>
  <c r="H814" i="15"/>
  <c r="G814" i="15"/>
  <c r="H813" i="15"/>
  <c r="G813" i="15"/>
  <c r="H812" i="15"/>
  <c r="G812" i="15"/>
  <c r="H811" i="15"/>
  <c r="G811" i="15"/>
  <c r="H810" i="15"/>
  <c r="G810" i="15"/>
  <c r="H809" i="15"/>
  <c r="G809" i="15"/>
  <c r="H808" i="15"/>
  <c r="G808" i="15"/>
  <c r="H807" i="15"/>
  <c r="G807" i="15"/>
  <c r="H806" i="15"/>
  <c r="G806" i="15"/>
  <c r="H805" i="15"/>
  <c r="G805" i="15"/>
  <c r="H804" i="15"/>
  <c r="G804" i="15"/>
  <c r="H803" i="15"/>
  <c r="G803" i="15"/>
  <c r="H802" i="15"/>
  <c r="G802" i="15"/>
  <c r="H801" i="15"/>
  <c r="G801" i="15"/>
  <c r="H800" i="15"/>
  <c r="G800" i="15"/>
  <c r="H799" i="15"/>
  <c r="G799" i="15"/>
  <c r="H798" i="15"/>
  <c r="G798" i="15"/>
  <c r="H797" i="15"/>
  <c r="G797" i="15"/>
  <c r="H796" i="15"/>
  <c r="G796" i="15"/>
  <c r="H795" i="15"/>
  <c r="G795" i="15"/>
  <c r="H794" i="15"/>
  <c r="G794" i="15"/>
  <c r="H793" i="15"/>
  <c r="G793" i="15"/>
  <c r="H792" i="15"/>
  <c r="G792" i="15"/>
  <c r="H791" i="15"/>
  <c r="G791" i="15"/>
  <c r="H790" i="15"/>
  <c r="G790" i="15"/>
  <c r="H789" i="15"/>
  <c r="G789" i="15"/>
  <c r="H788" i="15"/>
  <c r="G788" i="15"/>
  <c r="H787" i="15"/>
  <c r="G787" i="15"/>
  <c r="H786" i="15"/>
  <c r="G786" i="15"/>
  <c r="H785" i="15"/>
  <c r="G785" i="15"/>
  <c r="H784" i="15"/>
  <c r="G784" i="15"/>
  <c r="H783" i="15"/>
  <c r="G783" i="15"/>
  <c r="H782" i="15"/>
  <c r="G782" i="15"/>
  <c r="H781" i="15"/>
  <c r="G781" i="15"/>
  <c r="H780" i="15"/>
  <c r="G780" i="15"/>
  <c r="H779" i="15"/>
  <c r="G779" i="15"/>
  <c r="H778" i="15"/>
  <c r="G778" i="15"/>
  <c r="H777" i="15"/>
  <c r="G777" i="15"/>
  <c r="H776" i="15"/>
  <c r="G776" i="15"/>
  <c r="H775" i="15"/>
  <c r="G775" i="15"/>
  <c r="H774" i="15"/>
  <c r="G774" i="15"/>
  <c r="H773" i="15"/>
  <c r="G773" i="15"/>
  <c r="H772" i="15"/>
  <c r="G772" i="15"/>
  <c r="H771" i="15"/>
  <c r="G771" i="15"/>
  <c r="H770" i="15"/>
  <c r="G770" i="15"/>
  <c r="H769" i="15"/>
  <c r="G769" i="15"/>
  <c r="H768" i="15"/>
  <c r="G768" i="15"/>
  <c r="H767" i="15"/>
  <c r="G767" i="15"/>
  <c r="H766" i="15"/>
  <c r="G766" i="15"/>
  <c r="H765" i="15"/>
  <c r="G765" i="15"/>
  <c r="H764" i="15"/>
  <c r="G764" i="15"/>
  <c r="H763" i="15"/>
  <c r="G763" i="15"/>
  <c r="H762" i="15"/>
  <c r="G762" i="15"/>
  <c r="H761" i="15"/>
  <c r="G761" i="15"/>
  <c r="H760" i="15"/>
  <c r="G760" i="15"/>
  <c r="H759" i="15"/>
  <c r="G759" i="15"/>
  <c r="H758" i="15"/>
  <c r="G758" i="15"/>
  <c r="H757" i="15"/>
  <c r="G757" i="15"/>
  <c r="H756" i="15"/>
  <c r="G756" i="15"/>
  <c r="H755" i="15"/>
  <c r="G755" i="15"/>
  <c r="H754" i="15"/>
  <c r="G754" i="15"/>
  <c r="H753" i="15"/>
  <c r="G753" i="15"/>
  <c r="H752" i="15"/>
  <c r="G752" i="15"/>
  <c r="H751" i="15"/>
  <c r="G751" i="15"/>
  <c r="H750" i="15"/>
  <c r="G750" i="15"/>
  <c r="H749" i="15"/>
  <c r="G749" i="15"/>
  <c r="H748" i="15"/>
  <c r="G748" i="15"/>
  <c r="H747" i="15"/>
  <c r="G747" i="15"/>
  <c r="H746" i="15"/>
  <c r="G746" i="15"/>
  <c r="H745" i="15"/>
  <c r="G745" i="15"/>
  <c r="H744" i="15"/>
  <c r="G744" i="15"/>
  <c r="H743" i="15"/>
  <c r="G743" i="15"/>
  <c r="H742" i="15"/>
  <c r="G742" i="15"/>
  <c r="H741" i="15"/>
  <c r="G741" i="15"/>
  <c r="H740" i="15"/>
  <c r="G740" i="15"/>
  <c r="H739" i="15"/>
  <c r="G739" i="15"/>
  <c r="H738" i="15"/>
  <c r="G738" i="15"/>
  <c r="H737" i="15"/>
  <c r="G737" i="15"/>
  <c r="H736" i="15"/>
  <c r="G736" i="15"/>
  <c r="H735" i="15"/>
  <c r="G735" i="15"/>
  <c r="H734" i="15"/>
  <c r="G734" i="15"/>
  <c r="H733" i="15"/>
  <c r="G733" i="15"/>
  <c r="H732" i="15"/>
  <c r="G732" i="15"/>
  <c r="H731" i="15"/>
  <c r="G731" i="15"/>
  <c r="H730" i="15"/>
  <c r="G730" i="15"/>
  <c r="H729" i="15"/>
  <c r="G729" i="15"/>
  <c r="H728" i="15"/>
  <c r="G728" i="15"/>
  <c r="H727" i="15"/>
  <c r="G727" i="15"/>
  <c r="H726" i="15"/>
  <c r="G726" i="15"/>
  <c r="H725" i="15"/>
  <c r="G725" i="15"/>
  <c r="H724" i="15"/>
  <c r="G724" i="15"/>
  <c r="H723" i="15"/>
  <c r="G723" i="15"/>
  <c r="H722" i="15"/>
  <c r="G722" i="15"/>
  <c r="H721" i="15"/>
  <c r="G721" i="15"/>
  <c r="H720" i="15"/>
  <c r="G720" i="15"/>
  <c r="H719" i="15"/>
  <c r="G719" i="15"/>
  <c r="H718" i="15"/>
  <c r="G718" i="15"/>
  <c r="H717" i="15"/>
  <c r="G717" i="15"/>
  <c r="H716" i="15"/>
  <c r="G716" i="15"/>
  <c r="H715" i="15"/>
  <c r="G715" i="15"/>
  <c r="H714" i="15"/>
  <c r="G714" i="15"/>
  <c r="H713" i="15"/>
  <c r="G713" i="15"/>
  <c r="H712" i="15"/>
  <c r="G712" i="15"/>
  <c r="H711" i="15"/>
  <c r="G711" i="15"/>
  <c r="H710" i="15"/>
  <c r="G710" i="15"/>
  <c r="H709" i="15"/>
  <c r="G709" i="15"/>
  <c r="H708" i="15"/>
  <c r="G708" i="15"/>
  <c r="H707" i="15"/>
  <c r="G707" i="15"/>
  <c r="H706" i="15"/>
  <c r="G706" i="15"/>
  <c r="H705" i="15"/>
  <c r="G705" i="15"/>
  <c r="H704" i="15"/>
  <c r="G704" i="15"/>
  <c r="H703" i="15"/>
  <c r="G703" i="15"/>
  <c r="H702" i="15"/>
  <c r="G702" i="15"/>
  <c r="H701" i="15"/>
  <c r="G701" i="15"/>
  <c r="H700" i="15"/>
  <c r="G700" i="15"/>
  <c r="H699" i="15"/>
  <c r="G699" i="15"/>
  <c r="H698" i="15"/>
  <c r="G698" i="15"/>
  <c r="H697" i="15"/>
  <c r="G697" i="15"/>
  <c r="H696" i="15"/>
  <c r="G696" i="15"/>
  <c r="H695" i="15"/>
  <c r="G695" i="15"/>
  <c r="H694" i="15"/>
  <c r="G694" i="15"/>
  <c r="H693" i="15"/>
  <c r="G693" i="15"/>
  <c r="H692" i="15"/>
  <c r="G692" i="15"/>
  <c r="H691" i="15"/>
  <c r="G691" i="15"/>
  <c r="H690" i="15"/>
  <c r="G690" i="15"/>
  <c r="H689" i="15"/>
  <c r="G689" i="15"/>
  <c r="H688" i="15"/>
  <c r="G688" i="15"/>
  <c r="H687" i="15"/>
  <c r="G687" i="15"/>
  <c r="H686" i="15"/>
  <c r="G686" i="15"/>
  <c r="H685" i="15"/>
  <c r="G685" i="15"/>
  <c r="H684" i="15"/>
  <c r="G684" i="15"/>
  <c r="H683" i="15"/>
  <c r="G683" i="15"/>
  <c r="H682" i="15"/>
  <c r="G682" i="15"/>
  <c r="H681" i="15"/>
  <c r="G681" i="15"/>
  <c r="H680" i="15"/>
  <c r="G680" i="15"/>
  <c r="H679" i="15"/>
  <c r="G679" i="15"/>
  <c r="H678" i="15"/>
  <c r="G678" i="15"/>
  <c r="H677" i="15"/>
  <c r="G677" i="15"/>
  <c r="H676" i="15"/>
  <c r="G676" i="15"/>
  <c r="H675" i="15"/>
  <c r="G675" i="15"/>
  <c r="H674" i="15"/>
  <c r="G674" i="15"/>
  <c r="H673" i="15"/>
  <c r="G673" i="15"/>
  <c r="H672" i="15"/>
  <c r="G672" i="15"/>
  <c r="H671" i="15"/>
  <c r="G671" i="15"/>
  <c r="H670" i="15"/>
  <c r="G670" i="15"/>
  <c r="H669" i="15"/>
  <c r="G669" i="15"/>
  <c r="H668" i="15"/>
  <c r="G668" i="15"/>
  <c r="H667" i="15"/>
  <c r="G667" i="15"/>
  <c r="H666" i="15"/>
  <c r="G666" i="15"/>
  <c r="H665" i="15"/>
  <c r="G665" i="15"/>
  <c r="H664" i="15"/>
  <c r="G664" i="15"/>
  <c r="H663" i="15"/>
  <c r="G663" i="15"/>
  <c r="H662" i="15"/>
  <c r="G662" i="15"/>
  <c r="H661" i="15"/>
  <c r="G661" i="15"/>
  <c r="H660" i="15"/>
  <c r="G660" i="15"/>
  <c r="H659" i="15"/>
  <c r="G659" i="15"/>
  <c r="H658" i="15"/>
  <c r="G658" i="15"/>
  <c r="H657" i="15"/>
  <c r="G657" i="15"/>
  <c r="H656" i="15"/>
  <c r="G656" i="15"/>
  <c r="H655" i="15"/>
  <c r="G655" i="15"/>
  <c r="H654" i="15"/>
  <c r="G654" i="15"/>
  <c r="H653" i="15"/>
  <c r="G653" i="15"/>
  <c r="H652" i="15"/>
  <c r="G652" i="15"/>
  <c r="H651" i="15"/>
  <c r="G651" i="15"/>
  <c r="H650" i="15"/>
  <c r="G650" i="15"/>
  <c r="H649" i="15"/>
  <c r="G649" i="15"/>
  <c r="H648" i="15"/>
  <c r="G648" i="15"/>
  <c r="H647" i="15"/>
  <c r="G647" i="15"/>
  <c r="H646" i="15"/>
  <c r="G646" i="15"/>
  <c r="H645" i="15"/>
  <c r="G645" i="15"/>
  <c r="H644" i="15"/>
  <c r="G644" i="15"/>
  <c r="H643" i="15"/>
  <c r="G643" i="15"/>
  <c r="H642" i="15"/>
  <c r="G642" i="15"/>
  <c r="H641" i="15"/>
  <c r="G641" i="15"/>
  <c r="H640" i="15"/>
  <c r="G640" i="15"/>
  <c r="H639" i="15"/>
  <c r="G639" i="15"/>
  <c r="H638" i="15"/>
  <c r="G638" i="15"/>
  <c r="H637" i="15"/>
  <c r="G637" i="15"/>
  <c r="H636" i="15"/>
  <c r="G636" i="15"/>
  <c r="H635" i="15"/>
  <c r="G635" i="15"/>
  <c r="H634" i="15"/>
  <c r="G634" i="15"/>
  <c r="H633" i="15"/>
  <c r="G633" i="15"/>
  <c r="H632" i="15"/>
  <c r="G632" i="15"/>
  <c r="H631" i="15"/>
  <c r="G631" i="15"/>
  <c r="H630" i="15"/>
  <c r="G630" i="15"/>
  <c r="H629" i="15"/>
  <c r="G629" i="15"/>
  <c r="H628" i="15"/>
  <c r="G628" i="15"/>
  <c r="H627" i="15"/>
  <c r="G627" i="15"/>
  <c r="H626" i="15"/>
  <c r="G626" i="15"/>
  <c r="H625" i="15"/>
  <c r="G625" i="15"/>
  <c r="H624" i="15"/>
  <c r="G624" i="15"/>
  <c r="H623" i="15"/>
  <c r="G623" i="15"/>
  <c r="H622" i="15"/>
  <c r="G622" i="15"/>
  <c r="H621" i="15"/>
  <c r="G621" i="15"/>
  <c r="H620" i="15"/>
  <c r="G620" i="15"/>
  <c r="H619" i="15"/>
  <c r="G619" i="15"/>
  <c r="H618" i="15"/>
  <c r="G618" i="15"/>
  <c r="H617" i="15"/>
  <c r="G617" i="15"/>
  <c r="H616" i="15"/>
  <c r="G616" i="15"/>
  <c r="H615" i="15"/>
  <c r="G615" i="15"/>
  <c r="H614" i="15"/>
  <c r="G614" i="15"/>
  <c r="H613" i="15"/>
  <c r="G613" i="15"/>
  <c r="H612" i="15"/>
  <c r="G612" i="15"/>
  <c r="H611" i="15"/>
  <c r="G611" i="15"/>
  <c r="H610" i="15"/>
  <c r="G610" i="15"/>
  <c r="H609" i="15"/>
  <c r="G609" i="15"/>
  <c r="H608" i="15"/>
  <c r="G608" i="15"/>
  <c r="H607" i="15"/>
  <c r="G607" i="15"/>
  <c r="H606" i="15"/>
  <c r="G606" i="15"/>
  <c r="H605" i="15"/>
  <c r="G605" i="15"/>
  <c r="H604" i="15"/>
  <c r="G604" i="15"/>
  <c r="H603" i="15"/>
  <c r="G603" i="15"/>
  <c r="H602" i="15"/>
  <c r="G602" i="15"/>
  <c r="H601" i="15"/>
  <c r="G601" i="15"/>
  <c r="H600" i="15"/>
  <c r="G600" i="15"/>
  <c r="H599" i="15"/>
  <c r="G599" i="15"/>
  <c r="H598" i="15"/>
  <c r="G598" i="15"/>
  <c r="H597" i="15"/>
  <c r="G597" i="15"/>
  <c r="H596" i="15"/>
  <c r="G596" i="15"/>
  <c r="H595" i="15"/>
  <c r="G595" i="15"/>
  <c r="H594" i="15"/>
  <c r="G594" i="15"/>
  <c r="H593" i="15"/>
  <c r="G593" i="15"/>
  <c r="H592" i="15"/>
  <c r="G592" i="15"/>
  <c r="H591" i="15"/>
  <c r="G591" i="15"/>
  <c r="H590" i="15"/>
  <c r="G590" i="15"/>
  <c r="H589" i="15"/>
  <c r="G589" i="15"/>
  <c r="H588" i="15"/>
  <c r="G588" i="15"/>
  <c r="H587" i="15"/>
  <c r="G587" i="15"/>
  <c r="H586" i="15"/>
  <c r="G586" i="15"/>
  <c r="H585" i="15"/>
  <c r="G585" i="15"/>
  <c r="H584" i="15"/>
  <c r="G584" i="15"/>
  <c r="H583" i="15"/>
  <c r="G583" i="15"/>
  <c r="H582" i="15"/>
  <c r="G582" i="15"/>
  <c r="H581" i="15"/>
  <c r="G581" i="15"/>
  <c r="H580" i="15"/>
  <c r="G580" i="15"/>
  <c r="H579" i="15"/>
  <c r="G579" i="15"/>
  <c r="H578" i="15"/>
  <c r="G578" i="15"/>
  <c r="H577" i="15"/>
  <c r="G577" i="15"/>
  <c r="H576" i="15"/>
  <c r="G576" i="15"/>
  <c r="H575" i="15"/>
  <c r="G575" i="15"/>
  <c r="H574" i="15"/>
  <c r="G574" i="15"/>
  <c r="H573" i="15"/>
  <c r="G573" i="15"/>
  <c r="H572" i="15"/>
  <c r="G572" i="15"/>
  <c r="H571" i="15"/>
  <c r="G571" i="15"/>
  <c r="H570" i="15"/>
  <c r="G570" i="15"/>
  <c r="H569" i="15"/>
  <c r="G569" i="15"/>
  <c r="H568" i="15"/>
  <c r="G568" i="15"/>
  <c r="H567" i="15"/>
  <c r="G567" i="15"/>
  <c r="H566" i="15"/>
  <c r="G566" i="15"/>
  <c r="H565" i="15"/>
  <c r="G565" i="15"/>
  <c r="H564" i="15"/>
  <c r="G564" i="15"/>
  <c r="H563" i="15"/>
  <c r="G563" i="15"/>
  <c r="H562" i="15"/>
  <c r="G562" i="15"/>
  <c r="H561" i="15"/>
  <c r="G561" i="15"/>
  <c r="H560" i="15"/>
  <c r="G560" i="15"/>
  <c r="H559" i="15"/>
  <c r="G559" i="15"/>
  <c r="H558" i="15"/>
  <c r="G558" i="15"/>
  <c r="H557" i="15"/>
  <c r="G557" i="15"/>
  <c r="H556" i="15"/>
  <c r="G556" i="15"/>
  <c r="H555" i="15"/>
  <c r="G555" i="15"/>
  <c r="H554" i="15"/>
  <c r="G554" i="15"/>
  <c r="H553" i="15"/>
  <c r="G553" i="15"/>
  <c r="H552" i="15"/>
  <c r="G552" i="15"/>
  <c r="H551" i="15"/>
  <c r="G551" i="15"/>
  <c r="H550" i="15"/>
  <c r="G550" i="15"/>
  <c r="H549" i="15"/>
  <c r="G549" i="15"/>
  <c r="H548" i="15"/>
  <c r="G548" i="15"/>
  <c r="H547" i="15"/>
  <c r="G547" i="15"/>
  <c r="H546" i="15"/>
  <c r="G546" i="15"/>
  <c r="H545" i="15"/>
  <c r="G545" i="15"/>
  <c r="H544" i="15"/>
  <c r="G544" i="15"/>
  <c r="H543" i="15"/>
  <c r="G543" i="15"/>
  <c r="H542" i="15"/>
  <c r="G542" i="15"/>
  <c r="H541" i="15"/>
  <c r="G541" i="15"/>
  <c r="H540" i="15"/>
  <c r="G540" i="15"/>
  <c r="H539" i="15"/>
  <c r="G539" i="15"/>
  <c r="H538" i="15"/>
  <c r="G538" i="15"/>
  <c r="H537" i="15"/>
  <c r="G537" i="15"/>
  <c r="H536" i="15"/>
  <c r="G536" i="15"/>
  <c r="H535" i="15"/>
  <c r="G535" i="15"/>
  <c r="H534" i="15"/>
  <c r="G534" i="15"/>
  <c r="H533" i="15"/>
  <c r="G533" i="15"/>
  <c r="H532" i="15"/>
  <c r="G532" i="15"/>
  <c r="H531" i="15"/>
  <c r="G531" i="15"/>
  <c r="H530" i="15"/>
  <c r="G530" i="15"/>
  <c r="H529" i="15"/>
  <c r="G529" i="15"/>
  <c r="H528" i="15"/>
  <c r="G528" i="15"/>
  <c r="H527" i="15"/>
  <c r="G527" i="15"/>
  <c r="H526" i="15"/>
  <c r="G526" i="15"/>
  <c r="H525" i="15"/>
  <c r="G525" i="15"/>
  <c r="H524" i="15"/>
  <c r="G524" i="15"/>
  <c r="H523" i="15"/>
  <c r="G523" i="15"/>
  <c r="H522" i="15"/>
  <c r="G522" i="15"/>
  <c r="H521" i="15"/>
  <c r="G521" i="15"/>
  <c r="H520" i="15"/>
  <c r="G520" i="15"/>
  <c r="H519" i="15"/>
  <c r="G519" i="15"/>
  <c r="H518" i="15"/>
  <c r="G518" i="15"/>
  <c r="H517" i="15"/>
  <c r="G517" i="15"/>
  <c r="H516" i="15"/>
  <c r="G516" i="15"/>
  <c r="H515" i="15"/>
  <c r="G515" i="15"/>
  <c r="H514" i="15"/>
  <c r="G514" i="15"/>
  <c r="H513" i="15"/>
  <c r="G513" i="15"/>
  <c r="H512" i="15"/>
  <c r="G512" i="15"/>
  <c r="H511" i="15"/>
  <c r="G511" i="15"/>
  <c r="H510" i="15"/>
  <c r="G510" i="15"/>
  <c r="H509" i="15"/>
  <c r="G509" i="15"/>
  <c r="H508" i="15"/>
  <c r="G508" i="15"/>
  <c r="H507" i="15"/>
  <c r="G507" i="15"/>
  <c r="H506" i="15"/>
  <c r="G506" i="15"/>
  <c r="H505" i="15"/>
  <c r="G505" i="15"/>
  <c r="H504" i="15"/>
  <c r="G504" i="15"/>
  <c r="H503" i="15"/>
  <c r="G503" i="15"/>
  <c r="H502" i="15"/>
  <c r="G502" i="15"/>
  <c r="H501" i="15"/>
  <c r="G501" i="15"/>
  <c r="H500" i="15"/>
  <c r="G500" i="15"/>
  <c r="H499" i="15"/>
  <c r="G499" i="15"/>
  <c r="H498" i="15"/>
  <c r="G498" i="15"/>
  <c r="H497" i="15"/>
  <c r="G497" i="15"/>
  <c r="H496" i="15"/>
  <c r="G496" i="15"/>
  <c r="H495" i="15"/>
  <c r="G495" i="15"/>
  <c r="H494" i="15"/>
  <c r="G494" i="15"/>
  <c r="H493" i="15"/>
  <c r="G493" i="15"/>
  <c r="H492" i="15"/>
  <c r="G492" i="15"/>
  <c r="H491" i="15"/>
  <c r="G491" i="15"/>
  <c r="H490" i="15"/>
  <c r="G490" i="15"/>
  <c r="H489" i="15"/>
  <c r="G489" i="15"/>
  <c r="H488" i="15"/>
  <c r="G488" i="15"/>
  <c r="H487" i="15"/>
  <c r="G487" i="15"/>
  <c r="H486" i="15"/>
  <c r="G486" i="15"/>
  <c r="H485" i="15"/>
  <c r="G485" i="15"/>
  <c r="H484" i="15"/>
  <c r="G484" i="15"/>
  <c r="H483" i="15"/>
  <c r="G483" i="15"/>
  <c r="H482" i="15"/>
  <c r="G482" i="15"/>
  <c r="H481" i="15"/>
  <c r="G481" i="15"/>
  <c r="H480" i="15"/>
  <c r="G480" i="15"/>
  <c r="H479" i="15"/>
  <c r="G479" i="15"/>
  <c r="H478" i="15"/>
  <c r="G478" i="15"/>
  <c r="H477" i="15"/>
  <c r="G477" i="15"/>
  <c r="H476" i="15"/>
  <c r="G476" i="15"/>
  <c r="H475" i="15"/>
  <c r="G475" i="15"/>
  <c r="H474" i="15"/>
  <c r="G474" i="15"/>
  <c r="H473" i="15"/>
  <c r="G473" i="15"/>
  <c r="H472" i="15"/>
  <c r="G472" i="15"/>
  <c r="H471" i="15"/>
  <c r="G471" i="15"/>
  <c r="H470" i="15"/>
  <c r="G470" i="15"/>
  <c r="H469" i="15"/>
  <c r="G469" i="15"/>
  <c r="H468" i="15"/>
  <c r="G468" i="15"/>
  <c r="H467" i="15"/>
  <c r="G467" i="15"/>
  <c r="H466" i="15"/>
  <c r="G466" i="15"/>
  <c r="H465" i="15"/>
  <c r="G465" i="15"/>
  <c r="H464" i="15"/>
  <c r="G464" i="15"/>
  <c r="H463" i="15"/>
  <c r="G463" i="15"/>
  <c r="H462" i="15"/>
  <c r="G462" i="15"/>
  <c r="H461" i="15"/>
  <c r="G461" i="15"/>
  <c r="H460" i="15"/>
  <c r="G460" i="15"/>
  <c r="H459" i="15"/>
  <c r="G459" i="15"/>
  <c r="H458" i="15"/>
  <c r="G458" i="15"/>
  <c r="H457" i="15"/>
  <c r="G457" i="15"/>
  <c r="H456" i="15"/>
  <c r="G456" i="15"/>
  <c r="H455" i="15"/>
  <c r="G455" i="15"/>
  <c r="H454" i="15"/>
  <c r="G454" i="15"/>
  <c r="H453" i="15"/>
  <c r="G453" i="15"/>
  <c r="H452" i="15"/>
  <c r="G452" i="15"/>
  <c r="H451" i="15"/>
  <c r="G451" i="15"/>
  <c r="H450" i="15"/>
  <c r="G450" i="15"/>
  <c r="H449" i="15"/>
  <c r="G449" i="15"/>
  <c r="H448" i="15"/>
  <c r="G448" i="15"/>
  <c r="H447" i="15"/>
  <c r="G447" i="15"/>
  <c r="H446" i="15"/>
  <c r="G446" i="15"/>
  <c r="H445" i="15"/>
  <c r="G445" i="15"/>
  <c r="H444" i="15"/>
  <c r="G444" i="15"/>
  <c r="H443" i="15"/>
  <c r="G443" i="15"/>
  <c r="H442" i="15"/>
  <c r="G442" i="15"/>
  <c r="H441" i="15"/>
  <c r="G441" i="15"/>
  <c r="H440" i="15"/>
  <c r="G440" i="15"/>
  <c r="H439" i="15"/>
  <c r="G439" i="15"/>
  <c r="H438" i="15"/>
  <c r="G438" i="15"/>
  <c r="H437" i="15"/>
  <c r="G437" i="15"/>
  <c r="H436" i="15"/>
  <c r="G436" i="15"/>
  <c r="H435" i="15"/>
  <c r="G435" i="15"/>
  <c r="H434" i="15"/>
  <c r="G434" i="15"/>
  <c r="H433" i="15"/>
  <c r="G433" i="15"/>
  <c r="H432" i="15"/>
  <c r="G432" i="15"/>
  <c r="H431" i="15"/>
  <c r="G431" i="15"/>
  <c r="H430" i="15"/>
  <c r="G430" i="15"/>
  <c r="H429" i="15"/>
  <c r="G429" i="15"/>
  <c r="H428" i="15"/>
  <c r="G428" i="15"/>
  <c r="H427" i="15"/>
  <c r="G427" i="15"/>
  <c r="H426" i="15"/>
  <c r="G426" i="15"/>
  <c r="H425" i="15"/>
  <c r="G425" i="15"/>
  <c r="H424" i="15"/>
  <c r="G424" i="15"/>
  <c r="H423" i="15"/>
  <c r="G423" i="15"/>
  <c r="H422" i="15"/>
  <c r="G422" i="15"/>
  <c r="H421" i="15"/>
  <c r="G421" i="15"/>
  <c r="H420" i="15"/>
  <c r="G420" i="15"/>
  <c r="H419" i="15"/>
  <c r="G419" i="15"/>
  <c r="H418" i="15"/>
  <c r="G418" i="15"/>
  <c r="H417" i="15"/>
  <c r="G417" i="15"/>
  <c r="H416" i="15"/>
  <c r="G416" i="15"/>
  <c r="H415" i="15"/>
  <c r="G415" i="15"/>
  <c r="H414" i="15"/>
  <c r="G414" i="15"/>
  <c r="H413" i="15"/>
  <c r="G413" i="15"/>
  <c r="H412" i="15"/>
  <c r="G412" i="15"/>
  <c r="H411" i="15"/>
  <c r="G411" i="15"/>
  <c r="H410" i="15"/>
  <c r="G410" i="15"/>
  <c r="H409" i="15"/>
  <c r="G409" i="15"/>
  <c r="H408" i="15"/>
  <c r="G408" i="15"/>
  <c r="H407" i="15"/>
  <c r="G407" i="15"/>
  <c r="H406" i="15"/>
  <c r="G406" i="15"/>
  <c r="H405" i="15"/>
  <c r="G405" i="15"/>
  <c r="H404" i="15"/>
  <c r="G404" i="15"/>
  <c r="H403" i="15"/>
  <c r="G403" i="15"/>
  <c r="H402" i="15"/>
  <c r="G402" i="15"/>
  <c r="H401" i="15"/>
  <c r="G401" i="15"/>
  <c r="H400" i="15"/>
  <c r="G400" i="15"/>
  <c r="H399" i="15"/>
  <c r="G399" i="15"/>
  <c r="H398" i="15"/>
  <c r="G398" i="15"/>
  <c r="H397" i="15"/>
  <c r="G397" i="15"/>
  <c r="H396" i="15"/>
  <c r="G396" i="15"/>
  <c r="H395" i="15"/>
  <c r="G395" i="15"/>
  <c r="H394" i="15"/>
  <c r="G394" i="15"/>
  <c r="H393" i="15"/>
  <c r="G393" i="15"/>
  <c r="H392" i="15"/>
  <c r="G392" i="15"/>
  <c r="H391" i="15"/>
  <c r="G391" i="15"/>
  <c r="H390" i="15"/>
  <c r="G390" i="15"/>
  <c r="H389" i="15"/>
  <c r="G389" i="15"/>
  <c r="H388" i="15"/>
  <c r="G388" i="15"/>
  <c r="H387" i="15"/>
  <c r="G387" i="15"/>
  <c r="H386" i="15"/>
  <c r="G386" i="15"/>
  <c r="H385" i="15"/>
  <c r="G385" i="15"/>
  <c r="H384" i="15"/>
  <c r="G384" i="15"/>
  <c r="H383" i="15"/>
  <c r="G383" i="15"/>
  <c r="H382" i="15"/>
  <c r="G382" i="15"/>
  <c r="H381" i="15"/>
  <c r="G381" i="15"/>
  <c r="H380" i="15"/>
  <c r="G380" i="15"/>
  <c r="H379" i="15"/>
  <c r="G379" i="15"/>
  <c r="H378" i="15"/>
  <c r="G378" i="15"/>
  <c r="H377" i="15"/>
  <c r="G377" i="15"/>
  <c r="H376" i="15"/>
  <c r="G376" i="15"/>
  <c r="H375" i="15"/>
  <c r="G375" i="15"/>
  <c r="H374" i="15"/>
  <c r="G374" i="15"/>
  <c r="H373" i="15"/>
  <c r="G373" i="15"/>
  <c r="H372" i="15"/>
  <c r="G372" i="15"/>
  <c r="H371" i="15"/>
  <c r="G371" i="15"/>
  <c r="H370" i="15"/>
  <c r="G370" i="15"/>
  <c r="H369" i="15"/>
  <c r="G369" i="15"/>
  <c r="H368" i="15"/>
  <c r="G368" i="15"/>
  <c r="H367" i="15"/>
  <c r="G367" i="15"/>
  <c r="H366" i="15"/>
  <c r="G366" i="15"/>
  <c r="H365" i="15"/>
  <c r="G365" i="15"/>
  <c r="H364" i="15"/>
  <c r="G364" i="15"/>
  <c r="H363" i="15"/>
  <c r="G363" i="15"/>
  <c r="H362" i="15"/>
  <c r="G362" i="15"/>
  <c r="H361" i="15"/>
  <c r="G361" i="15"/>
  <c r="H360" i="15"/>
  <c r="G360" i="15"/>
  <c r="H359" i="15"/>
  <c r="G359" i="15"/>
  <c r="H358" i="15"/>
  <c r="G358" i="15"/>
  <c r="H357" i="15"/>
  <c r="G357" i="15"/>
  <c r="H356" i="15"/>
  <c r="G356" i="15"/>
  <c r="H355" i="15"/>
  <c r="G355" i="15"/>
  <c r="H354" i="15"/>
  <c r="G354" i="15"/>
  <c r="H353" i="15"/>
  <c r="G353" i="15"/>
  <c r="H352" i="15"/>
  <c r="G352" i="15"/>
  <c r="H351" i="15"/>
  <c r="G351" i="15"/>
  <c r="H350" i="15"/>
  <c r="G350" i="15"/>
  <c r="H349" i="15"/>
  <c r="G349" i="15"/>
  <c r="H348" i="15"/>
  <c r="G348" i="15"/>
  <c r="H347" i="15"/>
  <c r="G347" i="15"/>
  <c r="H346" i="15"/>
  <c r="G346" i="15"/>
  <c r="H345" i="15"/>
  <c r="G345" i="15"/>
  <c r="H344" i="15"/>
  <c r="G344" i="15"/>
  <c r="H343" i="15"/>
  <c r="G343" i="15"/>
  <c r="H342" i="15"/>
  <c r="G342" i="15"/>
  <c r="H341" i="15"/>
  <c r="G341" i="15"/>
  <c r="H340" i="15"/>
  <c r="G340" i="15"/>
  <c r="H339" i="15"/>
  <c r="G339" i="15"/>
  <c r="H338" i="15"/>
  <c r="G338" i="15"/>
  <c r="H337" i="15"/>
  <c r="G337" i="15"/>
  <c r="H336" i="15"/>
  <c r="G336" i="15"/>
  <c r="H335" i="15"/>
  <c r="G335" i="15"/>
  <c r="H334" i="15"/>
  <c r="G334" i="15"/>
  <c r="H333" i="15"/>
  <c r="G333" i="15"/>
  <c r="H332" i="15"/>
  <c r="G332" i="15"/>
  <c r="H331" i="15"/>
  <c r="G331" i="15"/>
  <c r="H330" i="15"/>
  <c r="G330" i="15"/>
  <c r="H329" i="15"/>
  <c r="G329" i="15"/>
  <c r="H328" i="15"/>
  <c r="G328" i="15"/>
  <c r="H327" i="15"/>
  <c r="G327" i="15"/>
  <c r="H326" i="15"/>
  <c r="G326" i="15"/>
  <c r="H325" i="15"/>
  <c r="G325" i="15"/>
  <c r="H324" i="15"/>
  <c r="G324" i="15"/>
  <c r="H323" i="15"/>
  <c r="G323" i="15"/>
  <c r="H322" i="15"/>
  <c r="G322" i="15"/>
  <c r="H321" i="15"/>
  <c r="G321" i="15"/>
  <c r="H320" i="15"/>
  <c r="G320" i="15"/>
  <c r="H319" i="15"/>
  <c r="G319" i="15"/>
  <c r="H318" i="15"/>
  <c r="G318" i="15"/>
  <c r="H317" i="15"/>
  <c r="G317" i="15"/>
  <c r="H316" i="15"/>
  <c r="G316" i="15"/>
  <c r="H315" i="15"/>
  <c r="G315" i="15"/>
  <c r="H314" i="15"/>
  <c r="G314" i="15"/>
  <c r="H313" i="15"/>
  <c r="G313" i="15"/>
  <c r="H312" i="15"/>
  <c r="G312" i="15"/>
  <c r="H311" i="15"/>
  <c r="G311" i="15"/>
  <c r="H310" i="15"/>
  <c r="G310" i="15"/>
  <c r="H309" i="15"/>
  <c r="G309" i="15"/>
  <c r="H308" i="15"/>
  <c r="G308" i="15"/>
  <c r="H307" i="15"/>
  <c r="G307" i="15"/>
  <c r="H306" i="15"/>
  <c r="G306" i="15"/>
  <c r="H305" i="15"/>
  <c r="G305" i="15"/>
  <c r="H304" i="15"/>
  <c r="G304" i="15"/>
  <c r="H303" i="15"/>
  <c r="G303" i="15"/>
  <c r="H302" i="15"/>
  <c r="G302" i="15"/>
  <c r="H301" i="15"/>
  <c r="G301" i="15"/>
  <c r="H300" i="15"/>
  <c r="G300" i="15"/>
  <c r="H299" i="15"/>
  <c r="G299" i="15"/>
  <c r="H298" i="15"/>
  <c r="G298" i="15"/>
  <c r="H297" i="15"/>
  <c r="G297" i="15"/>
  <c r="H296" i="15"/>
  <c r="G296" i="15"/>
  <c r="H295" i="15"/>
  <c r="G295" i="15"/>
  <c r="H294" i="15"/>
  <c r="G294" i="15"/>
  <c r="H293" i="15"/>
  <c r="G293" i="15"/>
  <c r="H292" i="15"/>
  <c r="G292" i="15"/>
  <c r="H291" i="15"/>
  <c r="G291" i="15"/>
  <c r="H290" i="15"/>
  <c r="G290" i="15"/>
  <c r="H289" i="15"/>
  <c r="G289" i="15"/>
  <c r="H288" i="15"/>
  <c r="G288" i="15"/>
  <c r="H287" i="15"/>
  <c r="G287" i="15"/>
  <c r="H286" i="15"/>
  <c r="G286" i="15"/>
  <c r="H285" i="15"/>
  <c r="G285" i="15"/>
  <c r="H284" i="15"/>
  <c r="G284" i="15"/>
  <c r="H283" i="15"/>
  <c r="G283" i="15"/>
  <c r="H282" i="15"/>
  <c r="G282" i="15"/>
  <c r="H281" i="15"/>
  <c r="G281" i="15"/>
  <c r="H280" i="15"/>
  <c r="G280" i="15"/>
  <c r="H279" i="15"/>
  <c r="G279" i="15"/>
  <c r="H278" i="15"/>
  <c r="G278" i="15"/>
  <c r="H277" i="15"/>
  <c r="G277" i="15"/>
  <c r="H276" i="15"/>
  <c r="G276" i="15"/>
  <c r="H275" i="15"/>
  <c r="G275" i="15"/>
  <c r="H274" i="15"/>
  <c r="G274" i="15"/>
  <c r="H273" i="15"/>
  <c r="G273" i="15"/>
  <c r="H272" i="15"/>
  <c r="G272" i="15"/>
  <c r="H271" i="15"/>
  <c r="G271" i="15"/>
  <c r="H270" i="15"/>
  <c r="G270" i="15"/>
  <c r="H269" i="15"/>
  <c r="G269" i="15"/>
  <c r="H268" i="15"/>
  <c r="G268" i="15"/>
  <c r="H267" i="15"/>
  <c r="G267" i="15"/>
  <c r="H266" i="15"/>
  <c r="G266" i="15"/>
  <c r="H265" i="15"/>
  <c r="G265" i="15"/>
  <c r="H264" i="15"/>
  <c r="G264" i="15"/>
  <c r="H263" i="15"/>
  <c r="G263" i="15"/>
  <c r="H262" i="15"/>
  <c r="G262" i="15"/>
  <c r="H261" i="15"/>
  <c r="G261" i="15"/>
  <c r="H260" i="15"/>
  <c r="G260" i="15"/>
  <c r="H259" i="15"/>
  <c r="G259" i="15"/>
  <c r="H258" i="15"/>
  <c r="G258" i="15"/>
  <c r="H257" i="15"/>
  <c r="G257" i="15"/>
  <c r="H256" i="15"/>
  <c r="G256" i="15"/>
  <c r="H255" i="15"/>
  <c r="G255" i="15"/>
  <c r="H254" i="15"/>
  <c r="G254" i="15"/>
  <c r="H253" i="15"/>
  <c r="G253" i="15"/>
  <c r="H252" i="15"/>
  <c r="G252" i="15"/>
  <c r="H251" i="15"/>
  <c r="G251" i="15"/>
  <c r="H250" i="15"/>
  <c r="G250" i="15"/>
  <c r="H249" i="15"/>
  <c r="G249" i="15"/>
  <c r="H248" i="15"/>
  <c r="G248" i="15"/>
  <c r="H247" i="15"/>
  <c r="G247" i="15"/>
  <c r="H246" i="15"/>
  <c r="G246" i="15"/>
  <c r="H245" i="15"/>
  <c r="G245" i="15"/>
  <c r="H244" i="15"/>
  <c r="G244" i="15"/>
  <c r="H243" i="15"/>
  <c r="G243" i="15"/>
  <c r="H242" i="15"/>
  <c r="G242" i="15"/>
  <c r="H241" i="15"/>
  <c r="G241" i="15"/>
  <c r="H240" i="15"/>
  <c r="G240" i="15"/>
  <c r="H239" i="15"/>
  <c r="G239" i="15"/>
  <c r="H238" i="15"/>
  <c r="G238" i="15"/>
  <c r="H237" i="15"/>
  <c r="G237" i="15"/>
  <c r="H236" i="15"/>
  <c r="G236" i="15"/>
  <c r="H235" i="15"/>
  <c r="G235" i="15"/>
  <c r="H234" i="15"/>
  <c r="G234" i="15"/>
  <c r="H233" i="15"/>
  <c r="G233" i="15"/>
  <c r="H232" i="15"/>
  <c r="G232" i="15"/>
  <c r="H231" i="15"/>
  <c r="G231" i="15"/>
  <c r="H230" i="15"/>
  <c r="G230" i="15"/>
  <c r="H229" i="15"/>
  <c r="G229" i="15"/>
  <c r="H228" i="15"/>
  <c r="G228" i="15"/>
  <c r="H227" i="15"/>
  <c r="G227" i="15"/>
  <c r="H226" i="15"/>
  <c r="G226" i="15"/>
  <c r="H225" i="15"/>
  <c r="G225" i="15"/>
  <c r="H224" i="15"/>
  <c r="G224" i="15"/>
  <c r="H223" i="15"/>
  <c r="G223" i="15"/>
  <c r="H222" i="15"/>
  <c r="G222" i="15"/>
  <c r="H221" i="15"/>
  <c r="G221" i="15"/>
  <c r="H220" i="15"/>
  <c r="G220" i="15"/>
  <c r="H219" i="15"/>
  <c r="G219" i="15"/>
  <c r="H218" i="15"/>
  <c r="G218" i="15"/>
  <c r="H217" i="15"/>
  <c r="G217" i="15"/>
  <c r="H216" i="15"/>
  <c r="G216" i="15"/>
  <c r="H215" i="15"/>
  <c r="G215" i="15"/>
  <c r="H214" i="15"/>
  <c r="G214" i="15"/>
  <c r="H213" i="15"/>
  <c r="G213" i="15"/>
  <c r="H212" i="15"/>
  <c r="G212" i="15"/>
  <c r="H211" i="15"/>
  <c r="G211" i="15"/>
  <c r="H210" i="15"/>
  <c r="G210" i="15"/>
  <c r="H209" i="15"/>
  <c r="G209" i="15"/>
  <c r="H208" i="15"/>
  <c r="G208" i="15"/>
  <c r="H207" i="15"/>
  <c r="G207" i="15"/>
  <c r="H206" i="15"/>
  <c r="G206" i="15"/>
  <c r="H205" i="15"/>
  <c r="G205" i="15"/>
  <c r="H204" i="15"/>
  <c r="G204" i="15"/>
  <c r="H203" i="15"/>
  <c r="G203" i="15"/>
  <c r="H202" i="15"/>
  <c r="G202" i="15"/>
  <c r="H201" i="15"/>
  <c r="G201" i="15"/>
  <c r="H200" i="15"/>
  <c r="G200" i="15"/>
  <c r="H199" i="15"/>
  <c r="G199" i="15"/>
  <c r="H198" i="15"/>
  <c r="G198" i="15"/>
  <c r="H197" i="15"/>
  <c r="G197" i="15"/>
  <c r="H196" i="15"/>
  <c r="G196" i="15"/>
  <c r="H195" i="15"/>
  <c r="G195" i="15"/>
  <c r="H194" i="15"/>
  <c r="G194" i="15"/>
  <c r="H193" i="15"/>
  <c r="G193" i="15"/>
  <c r="H192" i="15"/>
  <c r="G192" i="15"/>
  <c r="H191" i="15"/>
  <c r="G191" i="15"/>
  <c r="H190" i="15"/>
  <c r="G190" i="15"/>
  <c r="H189" i="15"/>
  <c r="G189" i="15"/>
  <c r="H188" i="15"/>
  <c r="G188" i="15"/>
  <c r="H187" i="15"/>
  <c r="G187" i="15"/>
  <c r="H186" i="15"/>
  <c r="G186" i="15"/>
  <c r="H185" i="15"/>
  <c r="G185" i="15"/>
  <c r="H184" i="15"/>
  <c r="G184" i="15"/>
  <c r="H183" i="15"/>
  <c r="G183" i="15"/>
  <c r="H182" i="15"/>
  <c r="G182" i="15"/>
  <c r="H181" i="15"/>
  <c r="G181" i="15"/>
  <c r="H180" i="15"/>
  <c r="G180" i="15"/>
  <c r="H179" i="15"/>
  <c r="G179" i="15"/>
  <c r="H178" i="15"/>
  <c r="G178" i="15"/>
  <c r="H177" i="15"/>
  <c r="G177" i="15"/>
  <c r="H176" i="15"/>
  <c r="G176" i="15"/>
  <c r="H175" i="15"/>
  <c r="G175" i="15"/>
  <c r="H174" i="15"/>
  <c r="G174" i="15"/>
  <c r="H173" i="15"/>
  <c r="G173" i="15"/>
  <c r="H172" i="15"/>
  <c r="G172" i="15"/>
  <c r="H171" i="15"/>
  <c r="G171" i="15"/>
  <c r="H170" i="15"/>
  <c r="G170" i="15"/>
  <c r="H169" i="15"/>
  <c r="G169" i="15"/>
  <c r="H168" i="15"/>
  <c r="G168" i="15"/>
  <c r="H167" i="15"/>
  <c r="G167" i="15"/>
  <c r="H166" i="15"/>
  <c r="G166" i="15"/>
  <c r="H165" i="15"/>
  <c r="G165" i="15"/>
  <c r="H164" i="15"/>
  <c r="G164" i="15"/>
  <c r="H163" i="15"/>
  <c r="G163" i="15"/>
  <c r="H162" i="15"/>
  <c r="G162" i="15"/>
  <c r="H161" i="15"/>
  <c r="G161" i="15"/>
  <c r="H160" i="15"/>
  <c r="G160" i="15"/>
  <c r="H159" i="15"/>
  <c r="G159" i="15"/>
  <c r="H158" i="15"/>
  <c r="G158" i="15"/>
  <c r="H157" i="15"/>
  <c r="G157" i="15"/>
  <c r="H156" i="15"/>
  <c r="G156" i="15"/>
  <c r="H155" i="15"/>
  <c r="G155" i="15"/>
  <c r="H154" i="15"/>
  <c r="G154" i="15"/>
  <c r="H153" i="15"/>
  <c r="G153" i="15"/>
  <c r="H152" i="15"/>
  <c r="G152" i="15"/>
  <c r="H151" i="15"/>
  <c r="G151" i="15"/>
  <c r="H150" i="15"/>
  <c r="G150" i="15"/>
  <c r="H149" i="15"/>
  <c r="G149" i="15"/>
  <c r="H148" i="15"/>
  <c r="G148" i="15"/>
  <c r="H147" i="15"/>
  <c r="G147" i="15"/>
  <c r="H146" i="15"/>
  <c r="G146" i="15"/>
  <c r="H145" i="15"/>
  <c r="G145" i="15"/>
  <c r="H144" i="15"/>
  <c r="G144" i="15"/>
  <c r="H143" i="15"/>
  <c r="G143" i="15"/>
  <c r="H142" i="15"/>
  <c r="G142" i="15"/>
  <c r="H141" i="15"/>
  <c r="G141" i="15"/>
  <c r="H140" i="15"/>
  <c r="G140" i="15"/>
  <c r="H139" i="15"/>
  <c r="G139" i="15"/>
  <c r="H138" i="15"/>
  <c r="G138" i="15"/>
  <c r="H137" i="15"/>
  <c r="G137" i="15"/>
  <c r="H136" i="15"/>
  <c r="G136" i="15"/>
  <c r="H135" i="15"/>
  <c r="G135" i="15"/>
  <c r="H134" i="15"/>
  <c r="G134" i="15"/>
  <c r="H133" i="15"/>
  <c r="G133" i="15"/>
  <c r="H132" i="15"/>
  <c r="G132" i="15"/>
  <c r="H131" i="15"/>
  <c r="G131" i="15"/>
  <c r="H130" i="15"/>
  <c r="G130" i="15"/>
  <c r="H129" i="15"/>
  <c r="G129" i="15"/>
  <c r="H128" i="15"/>
  <c r="G128" i="15"/>
  <c r="H127" i="15"/>
  <c r="G127" i="15"/>
  <c r="H126" i="15"/>
  <c r="G126" i="15"/>
  <c r="H125" i="15"/>
  <c r="G125" i="15"/>
  <c r="H124" i="15"/>
  <c r="G124" i="15"/>
  <c r="H123" i="15"/>
  <c r="G123" i="15"/>
  <c r="H122" i="15"/>
  <c r="G122" i="15"/>
  <c r="H121" i="15"/>
  <c r="G121" i="15"/>
  <c r="H120" i="15"/>
  <c r="G120" i="15"/>
  <c r="H119" i="15"/>
  <c r="G119" i="15"/>
  <c r="H118" i="15"/>
  <c r="G118" i="15"/>
  <c r="H117" i="15"/>
  <c r="G117" i="15"/>
  <c r="H116" i="15"/>
  <c r="G116" i="15"/>
  <c r="H115" i="15"/>
  <c r="G115" i="15"/>
  <c r="H114" i="15"/>
  <c r="G114" i="15"/>
  <c r="H113" i="15"/>
  <c r="G113" i="15"/>
  <c r="H112" i="15"/>
  <c r="G112" i="15"/>
  <c r="H111" i="15"/>
  <c r="G111" i="15"/>
  <c r="H110" i="15"/>
  <c r="G110" i="15"/>
  <c r="H109" i="15"/>
  <c r="G109" i="15"/>
  <c r="H108" i="15"/>
  <c r="G108" i="15"/>
  <c r="H107" i="15"/>
  <c r="G107" i="15"/>
  <c r="H106" i="15"/>
  <c r="G106" i="15"/>
  <c r="H105" i="15"/>
  <c r="G105" i="15"/>
  <c r="H104" i="15"/>
  <c r="G104" i="15"/>
  <c r="H103" i="15"/>
  <c r="G103" i="15"/>
  <c r="H102" i="15"/>
  <c r="G102" i="15"/>
  <c r="H101" i="15"/>
  <c r="G101" i="15"/>
  <c r="H100" i="15"/>
  <c r="G100" i="15"/>
  <c r="H99" i="15"/>
  <c r="G99" i="15"/>
  <c r="H98" i="15"/>
  <c r="G98" i="15"/>
  <c r="H97" i="15"/>
  <c r="G97" i="15"/>
  <c r="H96" i="15"/>
  <c r="G96" i="15"/>
  <c r="H95" i="15"/>
  <c r="G95" i="15"/>
  <c r="H94" i="15"/>
  <c r="G94" i="15"/>
  <c r="H93" i="15"/>
  <c r="G93" i="15"/>
  <c r="H92" i="15"/>
  <c r="G92" i="15"/>
  <c r="H91" i="15"/>
  <c r="G91" i="15"/>
  <c r="H90" i="15"/>
  <c r="G90" i="15"/>
  <c r="H89" i="15"/>
  <c r="G89" i="15"/>
  <c r="H88" i="15"/>
  <c r="G88" i="15"/>
  <c r="H87" i="15"/>
  <c r="G87" i="15"/>
  <c r="H86" i="15"/>
  <c r="G86" i="15"/>
  <c r="H85" i="15"/>
  <c r="G85" i="15"/>
  <c r="H84" i="15"/>
  <c r="G84" i="15"/>
  <c r="H83" i="15"/>
  <c r="G83" i="15"/>
  <c r="H82" i="15"/>
  <c r="G82" i="15"/>
  <c r="H81" i="15"/>
  <c r="G81" i="15"/>
  <c r="H80" i="15"/>
  <c r="G80" i="15"/>
  <c r="H79" i="15"/>
  <c r="G79" i="15"/>
  <c r="H78" i="15"/>
  <c r="G78" i="15"/>
  <c r="H77" i="15"/>
  <c r="G77" i="15"/>
  <c r="H76" i="15"/>
  <c r="G76" i="15"/>
  <c r="H75" i="15"/>
  <c r="G75" i="15"/>
  <c r="H74" i="15"/>
  <c r="G74" i="15"/>
  <c r="H73" i="15"/>
  <c r="G73" i="15"/>
  <c r="H72" i="15"/>
  <c r="G72" i="15"/>
  <c r="H71" i="15"/>
  <c r="G71" i="15"/>
  <c r="H70" i="15"/>
  <c r="G70" i="15"/>
  <c r="H69" i="15"/>
  <c r="G69" i="15"/>
  <c r="H68" i="15"/>
  <c r="G68" i="15"/>
  <c r="H67" i="15"/>
  <c r="G67" i="15"/>
  <c r="H66" i="15"/>
  <c r="G66" i="15"/>
  <c r="H65" i="15"/>
  <c r="G65" i="15"/>
  <c r="H64" i="15"/>
  <c r="G64" i="15"/>
  <c r="H63" i="15"/>
  <c r="G63" i="15"/>
  <c r="H62" i="15"/>
  <c r="G62" i="15"/>
  <c r="H61" i="15"/>
  <c r="G61" i="15"/>
  <c r="H60" i="15"/>
  <c r="G60" i="15"/>
  <c r="H59" i="15"/>
  <c r="G59" i="15"/>
  <c r="H58" i="15"/>
  <c r="G58" i="15"/>
  <c r="H57" i="15"/>
  <c r="G57" i="15"/>
  <c r="H56" i="15"/>
  <c r="G56" i="15"/>
  <c r="H55" i="15"/>
  <c r="G55" i="15"/>
  <c r="H54" i="15"/>
  <c r="G54" i="15"/>
  <c r="H53" i="15"/>
  <c r="G53" i="15"/>
  <c r="H52" i="15"/>
  <c r="G52" i="15"/>
  <c r="H51" i="15"/>
  <c r="G51" i="15"/>
  <c r="H50" i="15"/>
  <c r="G50" i="15"/>
  <c r="H49" i="15"/>
  <c r="G49" i="15"/>
  <c r="H48" i="15"/>
  <c r="G48" i="15"/>
  <c r="H47" i="15"/>
  <c r="G47" i="15"/>
  <c r="H46" i="15"/>
  <c r="G46" i="15"/>
  <c r="H45" i="15"/>
  <c r="G45" i="15"/>
  <c r="H44" i="15"/>
  <c r="G44" i="15"/>
  <c r="H43" i="15"/>
  <c r="G43" i="15"/>
  <c r="H42" i="15"/>
  <c r="G42" i="15"/>
  <c r="H41" i="15"/>
  <c r="G41" i="15"/>
  <c r="H40" i="15"/>
  <c r="G40" i="15"/>
  <c r="H39" i="15"/>
  <c r="G39" i="15"/>
  <c r="H38" i="15"/>
  <c r="G38" i="15"/>
  <c r="H37" i="15"/>
  <c r="G37" i="15"/>
  <c r="H36" i="15"/>
  <c r="G36" i="15"/>
  <c r="H35" i="15"/>
  <c r="G35" i="15"/>
  <c r="H34" i="15"/>
  <c r="G34" i="15"/>
  <c r="H33" i="15"/>
  <c r="G33" i="15"/>
  <c r="H32" i="15"/>
  <c r="G32" i="15"/>
  <c r="H31" i="15"/>
  <c r="G31" i="15"/>
  <c r="H30" i="15"/>
  <c r="G30" i="15"/>
  <c r="H29" i="15"/>
  <c r="G29" i="15"/>
  <c r="H28" i="15"/>
  <c r="G28" i="15"/>
  <c r="H27" i="15"/>
  <c r="G27" i="15"/>
  <c r="H26" i="15"/>
  <c r="G26" i="15"/>
  <c r="H25" i="15"/>
  <c r="G25" i="15"/>
  <c r="H24" i="15"/>
  <c r="G24" i="15"/>
  <c r="H23" i="15"/>
  <c r="G23" i="15"/>
  <c r="H22" i="15"/>
  <c r="G22" i="15"/>
  <c r="H21" i="15"/>
  <c r="G21" i="15"/>
  <c r="H20" i="15"/>
  <c r="G20" i="15"/>
  <c r="H19" i="15"/>
  <c r="G19" i="15"/>
  <c r="H18" i="15"/>
  <c r="G18" i="15"/>
  <c r="H17" i="15"/>
  <c r="G17" i="15"/>
  <c r="H16" i="15"/>
  <c r="G16" i="15"/>
  <c r="H15" i="15"/>
  <c r="G15" i="15"/>
  <c r="H14" i="15"/>
  <c r="G14" i="15"/>
  <c r="H13" i="15"/>
  <c r="G13" i="15"/>
  <c r="H12" i="15"/>
  <c r="G12" i="15"/>
  <c r="H11" i="15"/>
  <c r="G11" i="15"/>
  <c r="H10" i="15"/>
  <c r="G10" i="15"/>
  <c r="H9" i="15"/>
  <c r="G9" i="15"/>
  <c r="H8" i="15"/>
  <c r="G8" i="15"/>
  <c r="H7" i="15"/>
  <c r="G7" i="15"/>
  <c r="H6" i="15"/>
  <c r="G6" i="15"/>
  <c r="H5" i="15"/>
  <c r="G5" i="15"/>
  <c r="H4" i="15"/>
  <c r="G4" i="15"/>
  <c r="I3" i="15"/>
  <c r="C12" i="22" s="1"/>
  <c r="C14" i="22" s="1"/>
  <c r="D26" i="22" s="1"/>
  <c r="E26" i="22" s="1"/>
  <c r="E27" i="22" s="1"/>
  <c r="H3" i="15"/>
  <c r="G3" i="15"/>
  <c r="J3" i="15" s="1"/>
  <c r="K26" i="14"/>
  <c r="J26" i="14"/>
  <c r="I26" i="14"/>
  <c r="K25" i="14"/>
  <c r="J25" i="14"/>
  <c r="I25" i="14"/>
  <c r="K24" i="14"/>
  <c r="J24" i="14"/>
  <c r="I24" i="14"/>
  <c r="K23" i="14"/>
  <c r="J23" i="14"/>
  <c r="I23" i="14"/>
  <c r="C10" i="11"/>
  <c r="C9" i="11"/>
  <c r="F7" i="11"/>
  <c r="E7" i="11"/>
  <c r="D7" i="11"/>
  <c r="C7" i="11"/>
  <c r="F6" i="11"/>
  <c r="E6" i="11"/>
  <c r="D6" i="11"/>
  <c r="C6" i="11"/>
  <c r="F5" i="11"/>
  <c r="E5" i="11"/>
  <c r="D5" i="11"/>
  <c r="C5" i="11"/>
  <c r="B5" i="11"/>
  <c r="F4" i="11"/>
  <c r="E4" i="11"/>
  <c r="D4" i="11"/>
  <c r="C4" i="11"/>
  <c r="B4" i="11"/>
  <c r="F3" i="11"/>
  <c r="E3" i="11"/>
  <c r="D3" i="11"/>
  <c r="C3" i="11"/>
  <c r="B3" i="11"/>
  <c r="F2" i="11"/>
  <c r="E2" i="11"/>
  <c r="D2" i="11"/>
  <c r="C2" i="11"/>
  <c r="B2" i="11"/>
  <c r="C12" i="10"/>
  <c r="C11" i="10"/>
  <c r="F9" i="10"/>
  <c r="E9" i="10"/>
  <c r="D9" i="10"/>
  <c r="C9" i="10"/>
  <c r="F8" i="10"/>
  <c r="E8" i="10"/>
  <c r="D8" i="10"/>
  <c r="C8" i="10"/>
  <c r="F6" i="10"/>
  <c r="E6" i="10"/>
  <c r="D6" i="10"/>
  <c r="C6" i="10"/>
  <c r="B6" i="10"/>
  <c r="F5" i="10"/>
  <c r="E5" i="10"/>
  <c r="D5" i="10"/>
  <c r="C5" i="10"/>
  <c r="B5" i="10"/>
  <c r="F4" i="10"/>
  <c r="E4" i="10"/>
  <c r="D4" i="10"/>
  <c r="C4" i="10"/>
  <c r="B4" i="10"/>
  <c r="F3" i="10"/>
  <c r="E3" i="10"/>
  <c r="D3" i="10"/>
  <c r="C3" i="10"/>
  <c r="F2" i="10"/>
  <c r="E2" i="10"/>
  <c r="D2" i="10"/>
  <c r="C2" i="10"/>
  <c r="P57" i="9"/>
  <c r="O57" i="9"/>
  <c r="N57" i="9"/>
  <c r="M57" i="9"/>
  <c r="P56" i="9"/>
  <c r="O56" i="9"/>
  <c r="N56" i="9"/>
  <c r="M56" i="9"/>
  <c r="P54" i="9"/>
  <c r="O54" i="9"/>
  <c r="N54" i="9"/>
  <c r="M54" i="9"/>
  <c r="P53" i="9"/>
  <c r="O53" i="9"/>
  <c r="N53" i="9"/>
  <c r="P50" i="9"/>
  <c r="O50" i="9"/>
  <c r="N50" i="9"/>
  <c r="M50" i="9"/>
  <c r="P47" i="9"/>
  <c r="O47" i="9"/>
  <c r="N47" i="9"/>
  <c r="M47" i="9"/>
  <c r="I47" i="9"/>
  <c r="H47" i="9"/>
  <c r="G47" i="9"/>
  <c r="F47" i="9"/>
  <c r="E47" i="9"/>
  <c r="P46" i="9"/>
  <c r="O46" i="9"/>
  <c r="N46" i="9"/>
  <c r="M46" i="9"/>
  <c r="I46" i="9"/>
  <c r="H46" i="9"/>
  <c r="G46" i="9"/>
  <c r="F46" i="9"/>
  <c r="E46" i="9"/>
  <c r="P45" i="9"/>
  <c r="O45" i="9"/>
  <c r="N45" i="9"/>
  <c r="M45" i="9"/>
  <c r="P43" i="9"/>
  <c r="O43" i="9"/>
  <c r="N43" i="9"/>
  <c r="M43" i="9"/>
  <c r="P42" i="9"/>
  <c r="O42" i="9"/>
  <c r="N42" i="9"/>
  <c r="M42" i="9"/>
  <c r="P41" i="9"/>
  <c r="O41" i="9"/>
  <c r="N41" i="9"/>
  <c r="P40" i="9"/>
  <c r="O40" i="9"/>
  <c r="N40" i="9"/>
  <c r="M40" i="9"/>
  <c r="P38" i="9"/>
  <c r="O38" i="9"/>
  <c r="N38" i="9"/>
  <c r="M38" i="9"/>
  <c r="P37" i="9"/>
  <c r="O37" i="9"/>
  <c r="N37" i="9"/>
  <c r="M37" i="9"/>
  <c r="P35" i="9"/>
  <c r="O35" i="9"/>
  <c r="N35" i="9"/>
  <c r="M35" i="9"/>
  <c r="P34" i="9"/>
  <c r="O34" i="9"/>
  <c r="N34" i="9"/>
  <c r="M34" i="9"/>
  <c r="P33" i="9"/>
  <c r="O33" i="9"/>
  <c r="N33" i="9"/>
  <c r="M33" i="9"/>
  <c r="I33" i="9"/>
  <c r="H33" i="9"/>
  <c r="G33" i="9"/>
  <c r="F33" i="9"/>
  <c r="E33" i="9"/>
  <c r="P32" i="9"/>
  <c r="O32" i="9"/>
  <c r="N32" i="9"/>
  <c r="M32" i="9"/>
  <c r="P31" i="9"/>
  <c r="O31" i="9"/>
  <c r="N31" i="9"/>
  <c r="M31" i="9"/>
  <c r="P30" i="9"/>
  <c r="O30" i="9"/>
  <c r="N30" i="9"/>
  <c r="M30" i="9"/>
  <c r="P29" i="9"/>
  <c r="O29" i="9"/>
  <c r="N29" i="9"/>
  <c r="M29" i="9"/>
  <c r="P26" i="9"/>
  <c r="O26" i="9"/>
  <c r="N26" i="9"/>
  <c r="M26" i="9"/>
  <c r="I26" i="9"/>
  <c r="H26" i="9"/>
  <c r="G26" i="9"/>
  <c r="F26" i="9"/>
  <c r="E26" i="9"/>
  <c r="P25" i="9"/>
  <c r="O25" i="9"/>
  <c r="N25" i="9"/>
  <c r="M25" i="9"/>
  <c r="I25" i="9"/>
  <c r="H25" i="9"/>
  <c r="G25" i="9"/>
  <c r="F25" i="9"/>
  <c r="E25" i="9"/>
  <c r="P24" i="9"/>
  <c r="O24" i="9"/>
  <c r="N24" i="9"/>
  <c r="M24" i="9"/>
  <c r="P23" i="9"/>
  <c r="O23" i="9"/>
  <c r="N23" i="9"/>
  <c r="M23" i="9"/>
  <c r="P22" i="9"/>
  <c r="O22" i="9"/>
  <c r="N22" i="9"/>
  <c r="M22" i="9"/>
  <c r="P21" i="9"/>
  <c r="O21" i="9"/>
  <c r="N21" i="9"/>
  <c r="M21" i="9"/>
  <c r="P19" i="9"/>
  <c r="O19" i="9"/>
  <c r="N19" i="9"/>
  <c r="M19" i="9"/>
  <c r="I19" i="9"/>
  <c r="H19" i="9"/>
  <c r="G19" i="9"/>
  <c r="F19" i="9"/>
  <c r="E19" i="9"/>
  <c r="P18" i="9"/>
  <c r="O18" i="9"/>
  <c r="N18" i="9"/>
  <c r="P17" i="9"/>
  <c r="O17" i="9"/>
  <c r="N17" i="9"/>
  <c r="M17" i="9"/>
  <c r="P16" i="9"/>
  <c r="O16" i="9"/>
  <c r="N16" i="9"/>
  <c r="M16" i="9"/>
  <c r="P13" i="9"/>
  <c r="O13" i="9"/>
  <c r="N13" i="9"/>
  <c r="M13" i="9"/>
  <c r="P12" i="9"/>
  <c r="P11" i="9"/>
  <c r="O11" i="9"/>
  <c r="N11" i="9"/>
  <c r="M11" i="9"/>
  <c r="I11" i="9"/>
  <c r="H11" i="9"/>
  <c r="G11" i="9"/>
  <c r="F11" i="9"/>
  <c r="E11" i="9"/>
  <c r="P10" i="9"/>
  <c r="O10" i="9"/>
  <c r="N10" i="9"/>
  <c r="P9" i="9"/>
  <c r="O9" i="9"/>
  <c r="N9" i="9"/>
  <c r="M9" i="9"/>
  <c r="I9" i="9"/>
  <c r="H9" i="9"/>
  <c r="G9" i="9"/>
  <c r="F9" i="9"/>
  <c r="E9" i="9"/>
  <c r="P8" i="9"/>
  <c r="O8" i="9"/>
  <c r="N8" i="9"/>
  <c r="M8" i="9"/>
  <c r="I7" i="9"/>
  <c r="H7" i="9"/>
  <c r="G7" i="9"/>
  <c r="F7" i="9"/>
  <c r="E7" i="9"/>
  <c r="P6" i="9"/>
  <c r="O6" i="9"/>
  <c r="N6" i="9"/>
  <c r="M6" i="9"/>
  <c r="P34" i="8"/>
  <c r="O34" i="8"/>
  <c r="N34" i="8"/>
  <c r="M34" i="8"/>
  <c r="P32" i="8"/>
  <c r="O32" i="8"/>
  <c r="N32" i="8"/>
  <c r="M32" i="8"/>
  <c r="P31" i="8"/>
  <c r="O31" i="8"/>
  <c r="N31" i="8"/>
  <c r="M31" i="8"/>
  <c r="P28" i="8"/>
  <c r="O28" i="8"/>
  <c r="N28" i="8"/>
  <c r="M28" i="8"/>
  <c r="J28" i="8"/>
  <c r="I28" i="8"/>
  <c r="H28" i="8"/>
  <c r="G28" i="8"/>
  <c r="F28" i="8"/>
  <c r="P27" i="8"/>
  <c r="O27" i="8"/>
  <c r="N27" i="8"/>
  <c r="M27" i="8"/>
  <c r="P26" i="8"/>
  <c r="O26" i="8"/>
  <c r="N26" i="8"/>
  <c r="M26" i="8"/>
  <c r="J26" i="8"/>
  <c r="I26" i="8"/>
  <c r="H26" i="8"/>
  <c r="G26" i="8"/>
  <c r="F26" i="8"/>
  <c r="P25" i="8"/>
  <c r="O25" i="8"/>
  <c r="N25" i="8"/>
  <c r="M25" i="8"/>
  <c r="J25" i="8"/>
  <c r="I25" i="8"/>
  <c r="H25" i="8"/>
  <c r="G25" i="8"/>
  <c r="F25" i="8"/>
  <c r="P24" i="8"/>
  <c r="O24" i="8"/>
  <c r="N24" i="8"/>
  <c r="M24" i="8"/>
  <c r="J24" i="8"/>
  <c r="I24" i="8"/>
  <c r="H24" i="8"/>
  <c r="G24" i="8"/>
  <c r="F24" i="8"/>
  <c r="P23" i="8"/>
  <c r="O23" i="8"/>
  <c r="N23" i="8"/>
  <c r="M23" i="8"/>
  <c r="J23" i="8"/>
  <c r="I23" i="8"/>
  <c r="H23" i="8"/>
  <c r="G23" i="8"/>
  <c r="F23" i="8"/>
  <c r="P22" i="8"/>
  <c r="O22" i="8"/>
  <c r="N22" i="8"/>
  <c r="M22" i="8"/>
  <c r="P21" i="8"/>
  <c r="O21" i="8"/>
  <c r="N21" i="8"/>
  <c r="M21" i="8"/>
  <c r="P19" i="8"/>
  <c r="O19" i="8"/>
  <c r="N19" i="8"/>
  <c r="M19" i="8"/>
  <c r="J19" i="8"/>
  <c r="I19" i="8"/>
  <c r="H19" i="8"/>
  <c r="G19" i="8"/>
  <c r="F19" i="8"/>
  <c r="P17" i="8"/>
  <c r="O17" i="8"/>
  <c r="N17" i="8"/>
  <c r="M17" i="8"/>
  <c r="J17" i="8"/>
  <c r="I17" i="8"/>
  <c r="H17" i="8"/>
  <c r="G17" i="8"/>
  <c r="F17" i="8"/>
  <c r="P16" i="8"/>
  <c r="O16" i="8"/>
  <c r="N16" i="8"/>
  <c r="M16" i="8"/>
  <c r="J16" i="8"/>
  <c r="I16" i="8"/>
  <c r="H16" i="8"/>
  <c r="G16" i="8"/>
  <c r="F16" i="8"/>
  <c r="P15" i="8"/>
  <c r="O15" i="8"/>
  <c r="N15" i="8"/>
  <c r="M15" i="8"/>
  <c r="P14" i="8"/>
  <c r="O14" i="8"/>
  <c r="N14" i="8"/>
  <c r="M14" i="8"/>
  <c r="P13" i="8"/>
  <c r="O13" i="8"/>
  <c r="N13" i="8"/>
  <c r="M13" i="8"/>
  <c r="P12" i="8"/>
  <c r="O12" i="8"/>
  <c r="N12" i="8"/>
  <c r="M12" i="8"/>
  <c r="P11" i="8"/>
  <c r="O11" i="8"/>
  <c r="N11" i="8"/>
  <c r="M11" i="8"/>
  <c r="P9" i="8"/>
  <c r="O9" i="8"/>
  <c r="N9" i="8"/>
  <c r="M9" i="8"/>
  <c r="J9" i="8"/>
  <c r="I9" i="8"/>
  <c r="H9" i="8"/>
  <c r="G9" i="8"/>
  <c r="F9" i="8"/>
  <c r="P8" i="8"/>
  <c r="O8" i="8"/>
  <c r="N8" i="8"/>
  <c r="M8" i="8"/>
  <c r="P7" i="8"/>
  <c r="O7" i="8"/>
  <c r="N7" i="8"/>
  <c r="M7" i="8"/>
  <c r="J7" i="8"/>
  <c r="I7" i="8"/>
  <c r="H7" i="8"/>
  <c r="G7" i="8"/>
  <c r="F7" i="8"/>
  <c r="P6" i="8"/>
  <c r="O6" i="8"/>
  <c r="N6" i="8"/>
  <c r="M6" i="8"/>
  <c r="J6" i="8"/>
  <c r="I6" i="8"/>
  <c r="H6" i="8"/>
  <c r="G6" i="8"/>
  <c r="F6" i="8"/>
  <c r="P5" i="8"/>
  <c r="O5" i="8"/>
  <c r="N5" i="8"/>
  <c r="M5" i="8"/>
  <c r="H42" i="7"/>
  <c r="H41" i="7"/>
  <c r="H37" i="7"/>
  <c r="H36" i="7"/>
  <c r="H29" i="7"/>
  <c r="G29" i="7"/>
  <c r="F29" i="7"/>
  <c r="H28" i="7"/>
  <c r="G28" i="7"/>
  <c r="F28" i="7"/>
  <c r="H27" i="7"/>
  <c r="G27" i="7"/>
  <c r="F27" i="7"/>
  <c r="H26" i="7"/>
  <c r="G26" i="7"/>
  <c r="F26" i="7"/>
  <c r="H25" i="7"/>
  <c r="H24" i="7"/>
  <c r="H22" i="7"/>
  <c r="G22" i="7"/>
  <c r="F22" i="7"/>
  <c r="H21" i="7"/>
  <c r="G21" i="7"/>
  <c r="F21" i="7"/>
  <c r="H16" i="7"/>
  <c r="G16" i="7"/>
  <c r="F16" i="7"/>
  <c r="H15" i="7"/>
  <c r="H14" i="7"/>
  <c r="H13" i="7"/>
  <c r="H12" i="7"/>
  <c r="H11" i="7"/>
  <c r="H9" i="7"/>
  <c r="G9" i="7"/>
  <c r="F9" i="7"/>
  <c r="H8" i="7"/>
  <c r="H7" i="7"/>
  <c r="G7" i="7"/>
  <c r="F7" i="7"/>
  <c r="H6" i="7"/>
  <c r="G6" i="7"/>
  <c r="F6" i="7"/>
  <c r="H5" i="7"/>
  <c r="H63" i="6"/>
  <c r="H62" i="6"/>
  <c r="H60" i="6"/>
  <c r="H59" i="6"/>
  <c r="H55" i="6"/>
  <c r="H50" i="6"/>
  <c r="H47" i="6"/>
  <c r="H43" i="6"/>
  <c r="G43" i="6"/>
  <c r="F43" i="6"/>
  <c r="H42" i="6"/>
  <c r="G42" i="6"/>
  <c r="F42" i="6"/>
  <c r="H41" i="6"/>
  <c r="H40" i="6"/>
  <c r="H39" i="6"/>
  <c r="H38" i="6"/>
  <c r="H37" i="6"/>
  <c r="H36" i="6"/>
  <c r="H34" i="6"/>
  <c r="G34" i="6"/>
  <c r="F34" i="6"/>
  <c r="H33" i="6"/>
  <c r="H31" i="6"/>
  <c r="H30" i="6"/>
  <c r="H29" i="6"/>
  <c r="G29" i="6"/>
  <c r="F29" i="6"/>
  <c r="H28" i="6"/>
  <c r="H27" i="6"/>
  <c r="H26" i="6"/>
  <c r="H25" i="6"/>
  <c r="H22" i="6"/>
  <c r="G22" i="6"/>
  <c r="F22" i="6"/>
  <c r="H21" i="6"/>
  <c r="G21" i="6"/>
  <c r="F21" i="6"/>
  <c r="H20" i="6"/>
  <c r="H19" i="6"/>
  <c r="H18" i="6"/>
  <c r="H16" i="6"/>
  <c r="G16" i="6"/>
  <c r="F16" i="6"/>
  <c r="H15" i="6"/>
  <c r="H14" i="6"/>
  <c r="H12" i="6"/>
  <c r="H11" i="6"/>
  <c r="G11" i="6"/>
  <c r="F11" i="6"/>
  <c r="H10" i="6"/>
  <c r="H9" i="6"/>
  <c r="G9" i="6"/>
  <c r="F9" i="6"/>
  <c r="H8" i="6"/>
  <c r="H7" i="6"/>
  <c r="G7" i="6"/>
  <c r="F7" i="6"/>
  <c r="H6" i="6"/>
  <c r="N29" i="5"/>
  <c r="M29" i="5"/>
  <c r="L29" i="5"/>
  <c r="N27" i="5"/>
  <c r="M27" i="5"/>
  <c r="L27" i="5"/>
  <c r="N26" i="5"/>
  <c r="M26" i="5"/>
  <c r="L26" i="5"/>
  <c r="M24" i="5"/>
  <c r="L24" i="5"/>
  <c r="N23" i="5"/>
  <c r="M23" i="5"/>
  <c r="L23" i="5"/>
  <c r="J23" i="5"/>
  <c r="I23" i="5"/>
  <c r="H23" i="5"/>
  <c r="G23" i="5"/>
  <c r="F23" i="5"/>
  <c r="N22" i="5"/>
  <c r="M22" i="5"/>
  <c r="L22" i="5"/>
  <c r="N21" i="5"/>
  <c r="M21" i="5"/>
  <c r="L21" i="5"/>
  <c r="J21" i="5"/>
  <c r="I21" i="5"/>
  <c r="H21" i="5"/>
  <c r="G21" i="5"/>
  <c r="F21" i="5"/>
  <c r="N20" i="5"/>
  <c r="M20" i="5"/>
  <c r="L20" i="5"/>
  <c r="N19" i="5"/>
  <c r="M19" i="5"/>
  <c r="L19" i="5"/>
  <c r="J19" i="5"/>
  <c r="I19" i="5"/>
  <c r="H19" i="5"/>
  <c r="G19" i="5"/>
  <c r="F19" i="5"/>
  <c r="N17" i="5"/>
  <c r="M17" i="5"/>
  <c r="L17" i="5"/>
  <c r="J17" i="5"/>
  <c r="I17" i="5"/>
  <c r="H17" i="5"/>
  <c r="G17" i="5"/>
  <c r="F17" i="5"/>
  <c r="N16" i="5"/>
  <c r="M16" i="5"/>
  <c r="L16" i="5"/>
  <c r="J16" i="5"/>
  <c r="I16" i="5"/>
  <c r="H16" i="5"/>
  <c r="G16" i="5"/>
  <c r="F16" i="5"/>
  <c r="N15" i="5"/>
  <c r="M15" i="5"/>
  <c r="L15" i="5"/>
  <c r="J15" i="5"/>
  <c r="I15" i="5"/>
  <c r="H15" i="5"/>
  <c r="G15" i="5"/>
  <c r="F15" i="5"/>
  <c r="N13" i="5"/>
  <c r="M13" i="5"/>
  <c r="L13" i="5"/>
  <c r="J13" i="5"/>
  <c r="I13" i="5"/>
  <c r="H13" i="5"/>
  <c r="G13" i="5"/>
  <c r="F13" i="5"/>
  <c r="N12" i="5"/>
  <c r="M12" i="5"/>
  <c r="L12" i="5"/>
  <c r="N11" i="5"/>
  <c r="M11" i="5"/>
  <c r="L11" i="5"/>
  <c r="N10" i="5"/>
  <c r="M10" i="5"/>
  <c r="L10" i="5"/>
  <c r="N9" i="5"/>
  <c r="M9" i="5"/>
  <c r="L9" i="5"/>
  <c r="N7" i="5"/>
  <c r="M7" i="5"/>
  <c r="L7" i="5"/>
  <c r="J7" i="5"/>
  <c r="I7" i="5"/>
  <c r="H7" i="5"/>
  <c r="G7" i="5"/>
  <c r="F7" i="5"/>
  <c r="N6" i="5"/>
  <c r="M6" i="5"/>
  <c r="L6" i="5"/>
  <c r="N5" i="5"/>
  <c r="M5" i="5"/>
  <c r="L5" i="5"/>
  <c r="F27" i="4"/>
  <c r="L26" i="4"/>
  <c r="K26" i="4"/>
  <c r="J26" i="4"/>
  <c r="F26" i="4"/>
  <c r="L24" i="4"/>
  <c r="K24" i="4"/>
  <c r="J24" i="4"/>
  <c r="F24" i="4"/>
  <c r="L23" i="4"/>
  <c r="K23" i="4"/>
  <c r="J23" i="4"/>
  <c r="F23" i="4"/>
  <c r="L21" i="4"/>
  <c r="K21" i="4"/>
  <c r="J21" i="4"/>
  <c r="I21" i="4"/>
  <c r="H21" i="4"/>
  <c r="G21" i="4"/>
  <c r="F21" i="4"/>
  <c r="E21" i="4"/>
  <c r="D21" i="4"/>
  <c r="L20" i="4"/>
  <c r="K20" i="4"/>
  <c r="J20" i="4"/>
  <c r="F20" i="4"/>
  <c r="L19" i="4"/>
  <c r="K19" i="4"/>
  <c r="J19" i="4"/>
  <c r="I19" i="4"/>
  <c r="H19" i="4"/>
  <c r="G19" i="4"/>
  <c r="F19" i="4"/>
  <c r="E19" i="4"/>
  <c r="D19" i="4"/>
  <c r="F18" i="4"/>
  <c r="L17" i="4"/>
  <c r="K17" i="4"/>
  <c r="J17" i="4"/>
  <c r="I17" i="4"/>
  <c r="H17" i="4"/>
  <c r="G17" i="4"/>
  <c r="F17" i="4"/>
  <c r="E17" i="4"/>
  <c r="D17" i="4"/>
  <c r="L16" i="4"/>
  <c r="K16" i="4"/>
  <c r="J16" i="4"/>
  <c r="I16" i="4"/>
  <c r="H16" i="4"/>
  <c r="G16" i="4"/>
  <c r="F16" i="4"/>
  <c r="E16" i="4"/>
  <c r="D16" i="4"/>
  <c r="L15" i="4"/>
  <c r="K15" i="4"/>
  <c r="J15" i="4"/>
  <c r="I15" i="4"/>
  <c r="H15" i="4"/>
  <c r="G15" i="4"/>
  <c r="F15" i="4"/>
  <c r="E15" i="4"/>
  <c r="D15" i="4"/>
  <c r="L13" i="4"/>
  <c r="K13" i="4"/>
  <c r="J13" i="4"/>
  <c r="I13" i="4"/>
  <c r="H13" i="4"/>
  <c r="G13" i="4"/>
  <c r="F13" i="4"/>
  <c r="E13" i="4"/>
  <c r="D13" i="4"/>
  <c r="L12" i="4"/>
  <c r="K12" i="4"/>
  <c r="J12" i="4"/>
  <c r="F12" i="4"/>
  <c r="L11" i="4"/>
  <c r="K11" i="4"/>
  <c r="J11" i="4"/>
  <c r="F11" i="4"/>
  <c r="L10" i="4"/>
  <c r="K10" i="4"/>
  <c r="J10" i="4"/>
  <c r="F10" i="4"/>
  <c r="L9" i="4"/>
  <c r="K9" i="4"/>
  <c r="J9" i="4"/>
  <c r="F9" i="4"/>
  <c r="L7" i="4"/>
  <c r="K7" i="4"/>
  <c r="J7" i="4"/>
  <c r="I7" i="4"/>
  <c r="H7" i="4"/>
  <c r="G7" i="4"/>
  <c r="F7" i="4"/>
  <c r="E7" i="4"/>
  <c r="D7" i="4"/>
  <c r="L6" i="4"/>
  <c r="K6" i="4"/>
  <c r="J6" i="4"/>
  <c r="F6" i="4"/>
  <c r="L5" i="4"/>
  <c r="K5" i="4"/>
  <c r="J5" i="4"/>
  <c r="F5" i="4"/>
</calcChain>
</file>

<file path=xl/sharedStrings.xml><?xml version="1.0" encoding="utf-8"?>
<sst xmlns="http://schemas.openxmlformats.org/spreadsheetml/2006/main" count="998" uniqueCount="572">
  <si>
    <t>About the Company</t>
  </si>
  <si>
    <t>Message from the chairman -“Our strategic pivot to an AI-first approach has been instrumental in reimagining our operations and client relationships. By embedding AI in every aspect of our services, we have harnessed its power to enhance decisionmaking, optimize processes, and elevate customer experiences.” Who we are - As one of the world’s leading technology consulting and digital solutions enterprise, LTIMindtree enables businesses across diverse sectors to harness the power of digital technology to deal with complex business challenges, innovate at scale, and drive tangible business outcomes                                             Services offering - Consulting, Enterprise Automation, Digital Engineering, Platform Operations, Low Code Integration, Enterprise Cloud Applications, Oracle, Data and Analytics, Cloud and Digital Infrastructure, Cybersecurity, Salesforce, Interactive, SAP, Quality Engineering Services, Enterprise AI, iNXT                                 Industires Served - 1. Core / Strong Presence
BFSI (Banking, Financial Services, Insurance)
Technology sector
2. Expansion / Growth Industries
Manufacturing, Resources (Energy &amp; Utilities),Healthcare,Life Sciences,Media &amp; Communications
Consumer Business which include: Retail, Consumer Goods,Travel, Transport, Hospitality</t>
  </si>
  <si>
    <t>Subsidiaries</t>
  </si>
  <si>
    <t>S.No</t>
  </si>
  <si>
    <t>Company Name,Type,Country/Region</t>
  </si>
  <si>
    <t>Larsen &amp; Toubro Limited,Parent Company,India</t>
  </si>
  <si>
    <t>L&amp;T Infotech LLC,Subsidiary,USA</t>
  </si>
  <si>
    <t>L&amp;T Infotech GmbH,Subsidiary,Germany</t>
  </si>
  <si>
    <t>L&amp;T Infotech S.A.,Subsidiary,France</t>
  </si>
  <si>
    <t>L&amp;T Infotech (Canada) Limited,Subsidiary,Canada</t>
  </si>
  <si>
    <t>L&amp;T Infotech (UK) Limited,Subsidiary,UK</t>
  </si>
  <si>
    <t>L&amp;T Infotech (Singapore) Pte. Ltd.,Subsidiary,Singapore</t>
  </si>
  <si>
    <t>L&amp;T Infotech (Australia) Pty Ltd,Subsidiary,Australia</t>
  </si>
  <si>
    <t>L&amp;T Infotech (South Africa) (Pty) Ltd,Subsidiary,South Africa</t>
  </si>
  <si>
    <t>Mindtree LLC,Subsidiary,USA</t>
  </si>
  <si>
    <t>Mindtree Software Solutions (UK) Ltd,Subsidiary,UK</t>
  </si>
  <si>
    <t>Mindtree Consulting Pte Ltd,Subsidiary,Singapore</t>
  </si>
  <si>
    <t>Mindtree Ltd (Australia) Pty Ltd,Subsidiary,Australia</t>
  </si>
  <si>
    <t>Mindtree GmbH,Subsidiary,Germany</t>
  </si>
  <si>
    <t>Registered Office</t>
  </si>
  <si>
    <t>L&amp;T House, Ballard Estate, Mumbai – 400001, Maharashtra</t>
  </si>
  <si>
    <t>Technology Tower I, Powai, Mumbai – 400072</t>
  </si>
  <si>
    <t>Global Village, Mysore Road, Bengaluru – 560059</t>
  </si>
  <si>
    <t>Units</t>
  </si>
  <si>
    <t>Company</t>
  </si>
  <si>
    <t>Units Type</t>
  </si>
  <si>
    <t>Number</t>
  </si>
  <si>
    <t>Details</t>
  </si>
  <si>
    <t>LTIMindtree</t>
  </si>
  <si>
    <t>Offices</t>
  </si>
  <si>
    <t>Across 41 countries</t>
  </si>
  <si>
    <t>Countries</t>
  </si>
  <si>
    <t>Global presence</t>
  </si>
  <si>
    <t>Category &amp; Name of Shareholder</t>
  </si>
  <si>
    <t>Entity Type</t>
  </si>
  <si>
    <t>No. of Shareholders</t>
  </si>
  <si>
    <t>No. of Fully Paid-Up Equity Shares held</t>
  </si>
  <si>
    <t>Partly paid up equity shares held</t>
  </si>
  <si>
    <t>No. of shares underlying Depository Receipts</t>
  </si>
  <si>
    <t>Total No. Shares held</t>
  </si>
  <si>
    <t>Shareholding Calculated as per SCRR , 1957 As a % of (A+B+C2)</t>
  </si>
  <si>
    <t>Number of Voting Rights held in each class of securities</t>
  </si>
  <si>
    <t>No. of Shares Underlying Outstanding convertible securities</t>
  </si>
  <si>
    <t>No. Of Shares Underlying Outstanding Warrants</t>
  </si>
  <si>
    <t>No. Of Outstanding ESOP Granted</t>
  </si>
  <si>
    <t>Total No. Of shares on fully diluted basis (including warrants, ESOP, Convertible Securities etc.)</t>
  </si>
  <si>
    <t>Total Shareholding, as a% assuming full conversion of convertible securities ( as a percentage of diluted share capital) As a % of (A+B+C)</t>
  </si>
  <si>
    <t>No. of equity shares held in dematerialized form</t>
  </si>
  <si>
    <t>No. of Voting Rights</t>
  </si>
  <si>
    <t>Total as a % of Total Voting Rights</t>
  </si>
  <si>
    <t>Class X</t>
  </si>
  <si>
    <t>Class Y</t>
  </si>
  <si>
    <t>Total</t>
  </si>
  <si>
    <t>Promoter and Promoter Group</t>
  </si>
  <si>
    <t>A1) Indian</t>
  </si>
  <si>
    <t>Bodies Corporate</t>
  </si>
  <si>
    <t>Larsen And Toubro Limited</t>
  </si>
  <si>
    <t>Sub-Total(A)(1)</t>
  </si>
  <si>
    <t>A2) Foreign</t>
  </si>
  <si>
    <t>Sub-Total(A)(2)</t>
  </si>
  <si>
    <t>Promoter and Promoter Group (A=A1+A2)</t>
  </si>
  <si>
    <t>Public</t>
  </si>
  <si>
    <t>B1) Institutions (Domestic)</t>
  </si>
  <si>
    <t>Mutual Funds</t>
  </si>
  <si>
    <t>Alternate Investment Funds</t>
  </si>
  <si>
    <t>Banks</t>
  </si>
  <si>
    <t>Insurance Companies</t>
  </si>
  <si>
    <t>LICI INDEX PLUS FLEXI GROWTH FUND</t>
  </si>
  <si>
    <t>Provident Funds/ Pension Funds</t>
  </si>
  <si>
    <t>NBFCs registered with RBI</t>
  </si>
  <si>
    <t>Trust</t>
  </si>
  <si>
    <t>Sub-Total(B)(1)</t>
  </si>
  <si>
    <t>B2) Institutions (Foreign)</t>
  </si>
  <si>
    <t>Foreign Portfolio Investors Category I</t>
  </si>
  <si>
    <t>Foreign Portfolio Investors Category II</t>
  </si>
  <si>
    <t>Sub-Total(B)(2)</t>
  </si>
  <si>
    <t>B3) Central Government/ State Government(s)/ President of India</t>
  </si>
  <si>
    <t>Sub-Total(B)(3)</t>
  </si>
  <si>
    <t>-</t>
  </si>
  <si>
    <t>B4) Non-Institutions</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</si>
  <si>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</si>
  <si>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</si>
  <si>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</si>
  <si>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</si>
  <si>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</si>
  <si>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Clearing Members</t>
  </si>
  <si>
    <t>HUF</t>
  </si>
  <si>
    <t>LLP</t>
  </si>
  <si>
    <t>Non-Resident Indian (NRI)</t>
  </si>
  <si>
    <t>Trusts</t>
  </si>
  <si>
    <t>Sub-Total(B)(4)</t>
  </si>
  <si>
    <t>Public (B=B1+B2+B3+B4)</t>
  </si>
  <si>
    <t>(C) Non Promoter-Non Public</t>
  </si>
  <si>
    <t>C1) Custodian/DR Holder</t>
  </si>
  <si>
    <t>Sub-Total(C)(1)</t>
  </si>
  <si>
    <t>C2) Employee Benefit Trust</t>
  </si>
  <si>
    <t>Sub-Total(C)(2)</t>
  </si>
  <si>
    <t>Non Promoter-Non Public (C= C1+C2)</t>
  </si>
  <si>
    <t>GRAND TOTAL</t>
  </si>
  <si>
    <t>Category &amp; Name of the Shareholders</t>
  </si>
  <si>
    <t>No. of shareholder</t>
  </si>
  <si>
    <t>No. of fully paid up equity shares held</t>
  </si>
  <si>
    <t>Total no. shares held</t>
  </si>
  <si>
    <t>Shareholding % calculated as per SCRR, 1957 As a % of (A+B+C2)</t>
  </si>
  <si>
    <t>Total as a % of Total Voting right</t>
  </si>
  <si>
    <t>Shareholding , as a % assuming full conversion of convertible securities ( as a percentage of diluted share capital)As a % of (A+B+C2)</t>
  </si>
  <si>
    <t>No. of equity shares held in dematerialized form(Not Applicable)</t>
  </si>
  <si>
    <t>Institutions</t>
  </si>
  <si>
    <t>Mutual Funds/</t>
  </si>
  <si>
    <t>Venture Capital Funds</t>
  </si>
  <si>
    <t>Life Insurance Corporation Of India</t>
  </si>
  <si>
    <t>Nps Trust A/C Uti Pension Fund Limited-Scheme State Govt</t>
  </si>
  <si>
    <t>Asset reconstruction companies</t>
  </si>
  <si>
    <t>Sovereign Wealth Funds</t>
  </si>
  <si>
    <t>Other Financial Institutions</t>
  </si>
  <si>
    <t>Any Other(Institutions (Domestic))</t>
  </si>
  <si>
    <t>Sub Total B1</t>
  </si>
  <si>
    <t>Foreign Direct Investment</t>
  </si>
  <si>
    <t>Foreign Venture Capital Investors</t>
  </si>
  <si>
    <t>Overseas Depositories (holding DRs) (balancing figure)</t>
  </si>
  <si>
    <t>Any Other(Institutions (Foreign))</t>
  </si>
  <si>
    <t>Sub Total B2</t>
  </si>
  <si>
    <t>Central Government / President of India</t>
  </si>
  <si>
    <t>State Government / Governor</t>
  </si>
  <si>
    <t>Shareholding by Companies or Bodies Corporate where Central / State Government is a promoter</t>
  </si>
  <si>
    <t>Sub Total B3</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</si>
  <si>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</si>
  <si>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</si>
  <si>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</si>
  <si>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</si>
  <si>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</si>
  <si>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Foreign Companies</t>
  </si>
  <si>
    <t>Any Other (specify)</t>
  </si>
  <si>
    <t>ESOP or ESOS or ESPS</t>
  </si>
  <si>
    <t>Sub Total B4</t>
  </si>
  <si>
    <t>B=B1+B2+B3+B4</t>
  </si>
  <si>
    <t xml:space="preserve"> Standalone Quarterly Results  (Rs. Crores)</t>
  </si>
  <si>
    <t>% CHANGE</t>
  </si>
  <si>
    <t>Quarter ended</t>
  </si>
  <si>
    <t>Half Year ended</t>
  </si>
  <si>
    <t>Years</t>
  </si>
  <si>
    <t>QTQ</t>
  </si>
  <si>
    <t>HY YOY</t>
  </si>
  <si>
    <t>YOY</t>
  </si>
  <si>
    <t>Particulars</t>
  </si>
  <si>
    <t>I.  REVENUE</t>
  </si>
  <si>
    <t>Revenue from Operations</t>
  </si>
  <si>
    <t>Other Income</t>
  </si>
  <si>
    <t>Total Income</t>
  </si>
  <si>
    <t>II.  EXPENSES</t>
  </si>
  <si>
    <t>Employee Benefits Expense</t>
  </si>
  <si>
    <t>Other Expenses</t>
  </si>
  <si>
    <t>Depreciation &amp; Amortisation</t>
  </si>
  <si>
    <t>Finance Costs</t>
  </si>
  <si>
    <t>Total Expenses</t>
  </si>
  <si>
    <t>III.  PROFIT &amp; LOSS</t>
  </si>
  <si>
    <t>EBITDA</t>
  </si>
  <si>
    <t>EBIT</t>
  </si>
  <si>
    <t>Profit before Exceptional Items &amp; Tax</t>
  </si>
  <si>
    <t>Exceptional Items</t>
  </si>
  <si>
    <t>Profit Before Tax</t>
  </si>
  <si>
    <t>Tax Expense</t>
  </si>
  <si>
    <t>Profit After Tax (PAT)</t>
  </si>
  <si>
    <t>IV.  EARNINGS PER SHARE (Rs.)</t>
  </si>
  <si>
    <t>Basic EPS</t>
  </si>
  <si>
    <t>Diluted EPS</t>
  </si>
  <si>
    <t>V.  SUPPLEMENTARY</t>
  </si>
  <si>
    <t>Paid-up Equity Share Capital (Rs. Cr)</t>
  </si>
  <si>
    <t>Reserves excl. Revaluation (Rs. Cr)</t>
  </si>
  <si>
    <t xml:space="preserve"> Consolidated Quarterly Results  (Rs. Crores)</t>
  </si>
  <si>
    <t>QOQ YOY</t>
  </si>
  <si>
    <t>Minority Interest</t>
  </si>
  <si>
    <t>Net Profit after Minority Interest</t>
  </si>
  <si>
    <t>Total Comprehensive Income</t>
  </si>
  <si>
    <t>Standalone Balance Sheet</t>
  </si>
  <si>
    <t>Particulars  (Rs. Cr.)</t>
  </si>
  <si>
    <t>Mar 25</t>
  </si>
  <si>
    <t>Mar 24</t>
  </si>
  <si>
    <t xml:space="preserve">% Change </t>
  </si>
  <si>
    <t>12 Months Ended</t>
  </si>
  <si>
    <t>12 mths</t>
  </si>
  <si>
    <t>EQUITIES AND LIABILITIES</t>
  </si>
  <si>
    <t>SHAREHOLDER'S FUNDS</t>
  </si>
  <si>
    <t>Equity Share Capital</t>
  </si>
  <si>
    <t>Total Share Capital</t>
  </si>
  <si>
    <t>Reserves and Surplus</t>
  </si>
  <si>
    <t>Total Reserves and Surplus</t>
  </si>
  <si>
    <t>Employees Stock Options</t>
  </si>
  <si>
    <t>Total Shareholders Funds</t>
  </si>
  <si>
    <t>Equity Share Application Money</t>
  </si>
  <si>
    <t>NON-CURRENT LIABILITIES</t>
  </si>
  <si>
    <t>Other Long Term Liabilities</t>
  </si>
  <si>
    <t>Long Term Provisions</t>
  </si>
  <si>
    <t>Total Non-Current Liabilities</t>
  </si>
  <si>
    <t>CURRENT LIABILITIES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</si>
  <si>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</si>
  <si>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</si>
  <si>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</si>
  <si>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</si>
  <si>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</si>
  <si>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</si>
  <si>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</si>
  <si>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</si>
  <si>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</si>
  <si>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</si>
  <si>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</si>
  <si>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</si>
  <si>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</si>
  <si>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</si>
  <si>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</si>
  <si>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</si>
  <si>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</si>
  <si>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</si>
  <si>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</si>
  <si>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</si>
  <si>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</si>
  <si>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</si>
  <si>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</si>
  <si>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</si>
  <si>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</si>
  <si>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</si>
  <si>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</si>
  <si>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</si>
  <si>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</si>
  <si>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CIF VALUE OF IMPORTS</t>
  </si>
  <si>
    <t>EXPENDITURE IN FOREIGN EXCHANGE</t>
  </si>
  <si>
    <t>Expenditure In Foreign Currency</t>
  </si>
  <si>
    <t>REMITTANCES IN FOREIGN CURRENCIES FOR DIVIDENDS</t>
  </si>
  <si>
    <t>Dividend Remittance In Foreign Currency</t>
  </si>
  <si>
    <t>EARNINGS IN FOREIGN EXCHANGE</t>
  </si>
  <si>
    <t>FOB Value Of Goods</t>
  </si>
  <si>
    <t>Other Earnings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</si>
  <si>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</si>
  <si>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</si>
  <si>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</si>
  <si>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</si>
  <si>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</si>
  <si>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</si>
  <si>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</si>
  <si>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</si>
  <si>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Standalone Profit &amp; Loss account</t>
  </si>
  <si>
    <t>INCOME</t>
  </si>
  <si>
    <t>Revenue From Operations [Gross]</t>
  </si>
  <si>
    <t>Revenue From Operations [Net]</t>
  </si>
  <si>
    <t>Total Operating Revenues</t>
  </si>
  <si>
    <t>Total Revenue</t>
  </si>
  <si>
    <t>EXPENSES</t>
  </si>
  <si>
    <t>Operating And Direct Expenses</t>
  </si>
  <si>
    <t>Employee Benefit Expenses</t>
  </si>
  <si>
    <t>Depreciation And Amortisation Expenses</t>
  </si>
  <si>
    <t>Profit/Loss Before Exceptional, ExtraOrdinary Items And Tax</t>
  </si>
  <si>
    <t>Profit/Loss Before Tax</t>
  </si>
  <si>
    <t>Tax Expenses-Continued Operations</t>
  </si>
  <si>
    <t>Current Tax</t>
  </si>
  <si>
    <t>Deferred Tax</t>
  </si>
  <si>
    <t>Total Tax Expenses</t>
  </si>
  <si>
    <t>Profit/Loss After Tax And Before ExtraOrdinary Items</t>
  </si>
  <si>
    <t>Profit/Loss From Continuing Operations</t>
  </si>
  <si>
    <t>Profit/Loss For The Period</t>
  </si>
  <si>
    <t>EARNINGS PER SHARE</t>
  </si>
  <si>
    <t>Basic EPS (Rs.)</t>
  </si>
  <si>
    <t>Diluted EPS (Rs.)</t>
  </si>
  <si>
    <t>VALUE OF IMPORTED AND INDIGENIOUS RAW MATERIALS</t>
  </si>
  <si>
    <t>STORES, SPARES AND LOOSE TOOLS</t>
  </si>
  <si>
    <t>DIVIDEND AND DIVIDEND PERCENTAGE</t>
  </si>
  <si>
    <t>Equity Share Dividend</t>
  </si>
  <si>
    <t>Equity Dividend Rate (%)</t>
  </si>
  <si>
    <t>Consolidated Profit &amp; Loss account</t>
  </si>
  <si>
    <t>% Change</t>
  </si>
  <si>
    <t>Mar 22</t>
  </si>
  <si>
    <t>Mar 23</t>
  </si>
  <si>
    <t>Mar 26</t>
  </si>
  <si>
    <t>Consolidated Profit/Loss After MI And Associates</t>
  </si>
  <si>
    <t>Consolidated Balance Sheet</t>
  </si>
  <si>
    <t xml:space="preserve"> </t>
  </si>
  <si>
    <t>Long Term Borrowings</t>
  </si>
  <si>
    <t>Deferred Tax Liabilities [Net]</t>
  </si>
  <si>
    <t>Short Term Borrowings</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</si>
  <si>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</si>
  <si>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</si>
  <si>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</si>
  <si>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</si>
  <si>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</si>
  <si>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</si>
  <si>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</si>
  <si>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</si>
  <si>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</si>
  <si>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</si>
  <si>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Inventory </t>
  </si>
  <si>
    <t xml:space="preserve">Trade Receivables </t>
  </si>
  <si>
    <t>Trade Payable</t>
  </si>
  <si>
    <t xml:space="preserve">Non Cash working Capital </t>
  </si>
  <si>
    <t xml:space="preserve">Change in Working Capital </t>
  </si>
  <si>
    <t xml:space="preserve">change in working Capital /percentage of sales </t>
  </si>
  <si>
    <t xml:space="preserve">Median Non Cash working Capital  /Sales percentage </t>
  </si>
  <si>
    <t xml:space="preserve">Average  Non Cash working Capital  /Sales percentage </t>
  </si>
  <si>
    <t>LTIM</t>
  </si>
  <si>
    <t>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LTP: ₹5,124.50  |  Revenue (FY25): ₹38,008 Cr  |  PAT: ₹4,602 Cr  |  OPM: 17.08%  |  NPM: 12.09%  |  EPS: ₹155.22  |  CEPS: ₹184.49  |  ROCE: 28.60%</t>
  </si>
  <si>
    <t>TCS</t>
  </si>
  <si>
    <t>Tata Consultancy Services is an IT solution provider.TCS offers a consulting-led, integrated portfolio of IT and IT-enabled services delivered through its unique Global Network Delivery Model, recognized as the benchmark of excellence in software development..The company also engagged in the business of Telecom, Retail and Distribution, Banking, Financial Services and Insurance. LTP: ₹2,583.60  |  Revenue (FY25): ₹2,55,324 Cr  |  PAT: ₹48,553 Cr  |  OPM: 26.40%  |  NPM: 19.01%  |  EPS: ₹134.13  |  CEPS: ₹159.25  |  ROCE: 69.78%</t>
  </si>
  <si>
    <t>Infosys</t>
  </si>
  <si>
    <t>Infosys Limited (Infosys), formerly Infosys Technologies Limited, provides business consulting, technology, engineering and outsourcing services. Its end-to-end business solutions include consulting and systems integration comprising consulting, enterprise solutions, systems integration and advanced technologies; business information technology (IT) services consisting application development and maintenance, independent validation services, infrastructure management, engineering services comprising product engineering and life cycle solutions and business process management; products, business platforms and solutions, including Finacle, its banking product, which offers solutions to address core banking, mobile banking and e-banking needs of retail, corporate and universal banks globally, and areas, such as cloud computing, enterprise mobility and sustainability. On January 4, 2012, Infosys BPO Limited acquired Portland Group Pty Ltd. In October 2012, it acquired Lodestone Holding AG..The company also in the business segment of Financial Services, Energy &amp; utilities, Life Sciences and Healthcare, Consumer packaged goods and Logistics.                                                                                                                                                                                                                                                                  LTP: ₹1,323.30  |  Revenue (FY25): ₹1,60,879 Cr  |  PAT: ₹26,248 Cr  |  OPM: 23.70%  |  NPM: 16.38%  |  EPS: ₹63.02   |  CEPS: ₹72.88   |  ROCE: 39.68%</t>
  </si>
  <si>
    <t>HCL Tech</t>
  </si>
  <si>
    <t xml:space="preserve">HCL Technologies Ltd is a leading global IT services company. It has portfolio of services including software-led IT solutions, remote infrastructure management, engineering and R&amp;D services and BPO..The company also in the business activities of IT services, Infrastructure Services, Business Process Outsourcing Services.                                                                                                                                                                                                                               LTP: ₹1,458.00  |  Revenue (FY25): ₹1,16,647 Cr  |  PAT: ₹17,327 Cr  |  OPM: 21.78%  |  NPM: 14.85%  |  EPS: ₹63.94   |  CEPS: ₹79.00   |  ROCE: 33.22%                                                                                                                 </t>
  </si>
  <si>
    <t>Attribute</t>
  </si>
  <si>
    <t>LTP (₹)</t>
  </si>
  <si>
    <t>Change (%)</t>
  </si>
  <si>
    <t>Sales (₹ crore)</t>
  </si>
  <si>
    <t>PAT (₹ crore)</t>
  </si>
  <si>
    <t>Equity (₹ crore)</t>
  </si>
  <si>
    <t>Operating Profit Margin (OPM%)</t>
  </si>
  <si>
    <t>Net Profit Margin (NPM%)</t>
  </si>
  <si>
    <t>Earnings Per Share (EPS)</t>
  </si>
  <si>
    <t>Cash Earnings Per Share (CEPS)</t>
  </si>
  <si>
    <t>INFOSYS</t>
  </si>
  <si>
    <t>HCL TECH</t>
  </si>
  <si>
    <t>Metric</t>
  </si>
  <si>
    <t>Debtor Days</t>
  </si>
  <si>
    <t>Inventory Days</t>
  </si>
  <si>
    <t>Days Payable</t>
  </si>
  <si>
    <t>Cash Conversion Cycle</t>
  </si>
  <si>
    <t>Working Capital Days</t>
  </si>
  <si>
    <t>ROCE %</t>
  </si>
  <si>
    <t>Value</t>
  </si>
  <si>
    <t>Financial Year</t>
  </si>
  <si>
    <t>Revenue (₹ Crore)</t>
  </si>
  <si>
    <t>Profit After Tax (PAT) (₹ Crore)</t>
  </si>
  <si>
    <t>Revenue Change (%)</t>
  </si>
  <si>
    <t>PAT Change (%)</t>
  </si>
  <si>
    <t>Nifty 50 Change (%)</t>
  </si>
  <si>
    <t>Nifty 50 Prices</t>
  </si>
  <si>
    <t>Market Cap</t>
  </si>
  <si>
    <t>FY 2024-25</t>
  </si>
  <si>
    <t>Current Price</t>
  </si>
  <si>
    <t>FY 2023-24</t>
  </si>
  <si>
    <t>High / Low</t>
  </si>
  <si>
    <t>4703.80/4630.10</t>
  </si>
  <si>
    <t>FY 2022-23</t>
  </si>
  <si>
    <t>Stock P/E</t>
  </si>
  <si>
    <t>FY 2021-22</t>
  </si>
  <si>
    <t>Book Value</t>
  </si>
  <si>
    <t>FY 2020-21</t>
  </si>
  <si>
    <t>Dividend Yield</t>
  </si>
  <si>
    <t>ROCE</t>
  </si>
  <si>
    <t>ROE</t>
  </si>
  <si>
    <t>LTIM is a genuinely strong company - zero debt, ₹10,962 Cr cash, L&amp;T backing, and solid revenue growth. But the stock got hammered 38% from its peak because margins are terrible vs peers (17% vs TCS's 26%), EPS didn't grow at all in FY25, and a ₹590 Cr one-time restructuring charge destroyed Q3 FY26 numbers. The market overreacted. The beaten-down price at ₹4,200-4,500 is where you should accumulate in tranches. If Q4 results come clean and margins start recovering toward 18%+ the stock can realistically re-rate to ₹5,200-5,800 in 12–18 months. The one thing you keep watching: margin expansion - that's the entire thesis.</t>
  </si>
  <si>
    <t>Face Value</t>
  </si>
  <si>
    <t>Accumulate &amp; Hold.
Don't panic sell.
BUY in Tranches
The stock is down 26% from its peak - mostly because of a one-time restructuring charge, not because the business is broken. Fundamentals are intact, balance sheet is rock solid, and Q4 results are out today. This is a beaten-down quality stock, not a failing one.</t>
  </si>
  <si>
    <t>Date</t>
  </si>
  <si>
    <t>Close (Nifty)</t>
  </si>
  <si>
    <t>Close(Ltim)</t>
  </si>
  <si>
    <t>Rm Nifty</t>
  </si>
  <si>
    <t>Rm LTIM</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</si>
  <si>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</si>
  <si>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</si>
  <si>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</si>
  <si>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</si>
  <si>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</si>
  <si>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</si>
  <si>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</si>
  <si>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</si>
  <si>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</si>
  <si>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</si>
  <si>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</si>
  <si>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</si>
  <si>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</si>
  <si>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</si>
  <si>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</si>
  <si>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</si>
  <si>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</si>
  <si>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</si>
  <si>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</si>
  <si>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</si>
  <si>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</si>
  <si>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</si>
  <si>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</si>
  <si>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</si>
  <si>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</si>
  <si>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Ratio Analysis- LTIM</t>
  </si>
  <si>
    <t>Trends</t>
  </si>
  <si>
    <t>Mean</t>
  </si>
  <si>
    <t>Median</t>
  </si>
  <si>
    <t>Sales Growth</t>
  </si>
  <si>
    <t>EBITDA Growth</t>
  </si>
  <si>
    <t>EBIT Growth</t>
  </si>
  <si>
    <t>Net Profit Growth</t>
  </si>
  <si>
    <t xml:space="preserve">Dividend Growth </t>
  </si>
  <si>
    <t>Gross Margin</t>
  </si>
  <si>
    <t>EBITDA Margin</t>
  </si>
  <si>
    <t>EBIT Margin</t>
  </si>
  <si>
    <t>EBT Margin</t>
  </si>
  <si>
    <t>Net Profit Margin</t>
  </si>
  <si>
    <t>Sales Expenses%Sales</t>
  </si>
  <si>
    <t>Depriciation%Sales</t>
  </si>
  <si>
    <t>Operating Income%Sales</t>
  </si>
  <si>
    <t xml:space="preserve">Return on Capital Employed </t>
  </si>
  <si>
    <t>Retained Earning %</t>
  </si>
  <si>
    <t>Return on Equity %</t>
  </si>
  <si>
    <t xml:space="preserve">Self Sustained Growth Rate </t>
  </si>
  <si>
    <t xml:space="preserve">Interest Coverage Ratio </t>
  </si>
  <si>
    <t>Debtor Turnover Ratio</t>
  </si>
  <si>
    <t>Creditor Turnover Ratio</t>
  </si>
  <si>
    <t>Inventory Turnover</t>
  </si>
  <si>
    <t>Fixed Asset Turnover</t>
  </si>
  <si>
    <t>Capital Turnover Ratio</t>
  </si>
  <si>
    <t>(In days)</t>
  </si>
  <si>
    <t>Debtors Day</t>
  </si>
  <si>
    <t>Payable Days</t>
  </si>
  <si>
    <t>CFO/Sales</t>
  </si>
  <si>
    <t>CFO/Total Assets</t>
  </si>
  <si>
    <t>CFO/Total Debt</t>
  </si>
  <si>
    <t>Less: Tax on EBIT</t>
  </si>
  <si>
    <t>EBIT * (1- Tax) NOPAT</t>
  </si>
  <si>
    <t xml:space="preserve">Less: Net Capital expenditure </t>
  </si>
  <si>
    <t>Avg of effective tax rate</t>
  </si>
  <si>
    <t xml:space="preserve">Less: Net Change in working Capital </t>
  </si>
  <si>
    <t>Reinvestment</t>
  </si>
  <si>
    <t>Free Cash Flow</t>
  </si>
  <si>
    <t>Marginal tax rate</t>
  </si>
  <si>
    <t xml:space="preserve">Reinvestment Rate </t>
  </si>
  <si>
    <t xml:space="preserve">Median Reinvestment rate   /Sales percentage </t>
  </si>
  <si>
    <t xml:space="preserve">Average Reinvestment rate   /Sales percentage </t>
  </si>
  <si>
    <t>Particulars (in RS Cr.)</t>
  </si>
  <si>
    <t>Revenue from operations</t>
  </si>
  <si>
    <t>Median of revenue growth</t>
  </si>
  <si>
    <t>Revenue growth in %</t>
  </si>
  <si>
    <t>Less: Material cost</t>
  </si>
  <si>
    <t>Less: Employee costs</t>
  </si>
  <si>
    <t>Less: Other Expenses</t>
  </si>
  <si>
    <t>Less: Depreciation And Amortization</t>
  </si>
  <si>
    <t xml:space="preserve">EBIT </t>
  </si>
  <si>
    <t>ADD: Non operating  income/ Other Income</t>
  </si>
  <si>
    <t xml:space="preserve">Less: Interest Expenses </t>
  </si>
  <si>
    <t>EBT</t>
  </si>
  <si>
    <t>Less: TAX</t>
  </si>
  <si>
    <t>Tax Rate</t>
  </si>
  <si>
    <t>Less:Non Controlling Interest/Minority Interest</t>
  </si>
  <si>
    <t>Net Profit- Pat</t>
  </si>
  <si>
    <t>Historical Growth</t>
  </si>
  <si>
    <t>Average Growth</t>
  </si>
  <si>
    <t>CAGR</t>
  </si>
  <si>
    <t>RRI</t>
  </si>
  <si>
    <t>Margins</t>
  </si>
  <si>
    <t>Net Proftt</t>
  </si>
  <si>
    <t>Effective tax rate</t>
  </si>
  <si>
    <t>Marginal Tax rate</t>
  </si>
  <si>
    <t>Return On Capital</t>
  </si>
  <si>
    <t>EBIT*(1-T)</t>
  </si>
  <si>
    <t>Book Equity</t>
  </si>
  <si>
    <t>Book Debt</t>
  </si>
  <si>
    <t>Cash and Cash equivalents</t>
  </si>
  <si>
    <t>Capital Employed</t>
  </si>
  <si>
    <t>Pre-Tax Return on capital</t>
  </si>
  <si>
    <t>Post Tax return On capital</t>
  </si>
  <si>
    <t>Growth Summary</t>
  </si>
  <si>
    <t>Growth In EBIT</t>
  </si>
  <si>
    <t>In debt mostly interest bearing obligations will count</t>
  </si>
  <si>
    <t>Consolidated Cash Flow</t>
  </si>
  <si>
    <t>Net Profit Before Tax</t>
  </si>
  <si>
    <t>Net Cash From Operating Activities</t>
  </si>
  <si>
    <t>Net Cash (used in)/from Investing Activities</t>
  </si>
  <si>
    <t>Net Cash (used in)/from Financing Activities</t>
  </si>
  <si>
    <t>Net (decrease)/increase In Cash and Cash Equivalents</t>
  </si>
  <si>
    <t>Opening Cash &amp; Cash Equivalents</t>
  </si>
  <si>
    <t>Closing Cash &amp; Cash Equivalents</t>
  </si>
  <si>
    <t>RELATIVE VALUATION – LTIM  (FY2025  |  INR Crores)</t>
  </si>
  <si>
    <t>Market Data</t>
  </si>
  <si>
    <t>Financial Data</t>
  </si>
  <si>
    <t>Valuation Ratios</t>
  </si>
  <si>
    <t>Price
(₹)</t>
  </si>
  <si>
    <t>Shares
(Cr.)</t>
  </si>
  <si>
    <t>Mkt Cap
(Cr.)</t>
  </si>
  <si>
    <t>EV
(Cr.)</t>
  </si>
  <si>
    <t>Revenue
(Cr.)</t>
  </si>
  <si>
    <t>EBITDA
(Cr.)</t>
  </si>
  <si>
    <t>EBIT
(Cr.)</t>
  </si>
  <si>
    <t>EPS
(₹)</t>
  </si>
  <si>
    <t>P/E</t>
  </si>
  <si>
    <t>EV/Sales</t>
  </si>
  <si>
    <t>EV/EBITDA</t>
  </si>
  <si>
    <t>EV/EBIT</t>
  </si>
  <si>
    <t>WIPRO</t>
  </si>
  <si>
    <t>TECH MAHINDRA</t>
  </si>
  <si>
    <t>Peer Average</t>
  </si>
  <si>
    <t>Peer Median</t>
  </si>
  <si>
    <t>Ltim — IMPLIED SHARE PRICE FROM PEER MULTIPLES</t>
  </si>
  <si>
    <t>Valuation
Basis</t>
  </si>
  <si>
    <t>Peer Avg
Multiple</t>
  </si>
  <si>
    <t>Peer Median
Multiple</t>
  </si>
  <si>
    <t>LTIM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</si>
  <si>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</si>
  <si>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</si>
  <si>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</si>
  <si>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</si>
  <si>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</si>
  <si>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</si>
  <si>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</si>
  <si>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</si>
  <si>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</si>
  <si>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</si>
  <si>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</si>
  <si>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</si>
  <si>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</si>
  <si>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</si>
  <si>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</si>
  <si>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</si>
  <si>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</si>
  <si>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</si>
  <si>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</si>
  <si>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</si>
  <si>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M&amp;M Industry Comparable comps</t>
  </si>
  <si>
    <t>Implied Enterprise Value</t>
  </si>
  <si>
    <t>Net Debt</t>
  </si>
  <si>
    <t>Implied Market Value</t>
  </si>
  <si>
    <t>Share Outstanding</t>
  </si>
  <si>
    <t>Implied Value per Share</t>
  </si>
  <si>
    <t>Scenario 1: High Growth</t>
  </si>
  <si>
    <t>INR Cr.</t>
  </si>
  <si>
    <t>LTM</t>
  </si>
  <si>
    <t>Y1E</t>
  </si>
  <si>
    <t>Y2E</t>
  </si>
  <si>
    <t>Y3E</t>
  </si>
  <si>
    <t>Y4W</t>
  </si>
  <si>
    <t>Y5E</t>
  </si>
  <si>
    <t>Y6E</t>
  </si>
  <si>
    <t>Y7E</t>
  </si>
  <si>
    <t>Y8E</t>
  </si>
  <si>
    <t>Y9E</t>
  </si>
  <si>
    <t>Y10E</t>
  </si>
  <si>
    <t>Sales</t>
  </si>
  <si>
    <t>Risk free rate</t>
  </si>
  <si>
    <t>Sales Growth %</t>
  </si>
  <si>
    <t>Scenario 2: Average Growth</t>
  </si>
  <si>
    <t>Average rate</t>
  </si>
  <si>
    <t>Scenario 3: EBIT Growth</t>
  </si>
  <si>
    <t>Live Scenario</t>
  </si>
  <si>
    <t>Sales Forecasting</t>
  </si>
  <si>
    <t>EBITDA Forecasting</t>
  </si>
  <si>
    <t>Earning per share Forecasting</t>
  </si>
  <si>
    <t>Year Weight</t>
  </si>
  <si>
    <t>Year</t>
  </si>
  <si>
    <t>EPS</t>
  </si>
  <si>
    <t>EPS Growth</t>
  </si>
  <si>
    <t>Capital Structure</t>
  </si>
  <si>
    <t>Total Debt</t>
  </si>
  <si>
    <t>Total Equity</t>
  </si>
  <si>
    <t>Total Mix (Debt + Equity)</t>
  </si>
  <si>
    <t>% of Debt</t>
  </si>
  <si>
    <t>% of Equity</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</si>
  <si>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</si>
  <si>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</si>
  <si>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</si>
  <si>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</si>
  <si>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</si>
  <si>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</si>
  <si>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</si>
  <si>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</si>
  <si>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</si>
  <si>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</si>
  <si>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Total Debt (FY2025)</t>
  </si>
  <si>
    <t>Pre-tax Cost of Debt [Kd = FC/Debt]</t>
  </si>
  <si>
    <t>Post-tax Cost of Debt [Kd*(1-T)]</t>
  </si>
  <si>
    <t>WACC</t>
  </si>
  <si>
    <t>Source</t>
  </si>
  <si>
    <t>Weight</t>
  </si>
  <si>
    <t>Cost</t>
  </si>
  <si>
    <t>Weighted Cost</t>
  </si>
  <si>
    <t>Debt</t>
  </si>
  <si>
    <t>Equity</t>
  </si>
  <si>
    <t>(Check: weights = 100%)</t>
  </si>
  <si>
    <t>wacc = we*ke+wd*kd</t>
  </si>
  <si>
    <t>Covariance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</si>
</sst>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6" formatCode="_ * #,##0.00_ ;_ * \-#,##0.00_ ;_ * \-??_ ;_ @_ "/>
    <numFmt numFmtId="167" formatCode="0.000000000000000%"/>
    <numFmt numFmtId="168" formatCode="yyyy\A"/>
    <numFmt numFmtId="169" formatCode="yyyy\E"/>
    <numFmt numFmtId="170" formatCode="0.0%"/>
    <numFmt numFmtId="171" formatCode="&quot;₹ &quot;#,##0.0"/>
    <numFmt numFmtId="172" formatCode="#,##0.0"/>
    <numFmt numFmtId="173" formatCode="0.0\x"/>
    <numFmt numFmtId="174" formatCode="&quot;₹&quot;#,##0"/>
    <numFmt numFmtId="175" formatCode="0.0%;\(0.0%\);\-"/>
    <numFmt numFmtId="176" formatCode="0.0"/>
    <numFmt numFmtId="177" formatCode="0.0000"/>
    <numFmt numFmtId="178" formatCode="0.\X"/>
    <numFmt numFmtId="179" formatCode="#,##0.0;\(#,##0.0\);\-"/>
    <numFmt numFmtId="180" formatCode="0.00\x"/>
    <numFmt numFmtId="181" formatCode="m/d/yyyy"/>
    <numFmt numFmtId="182" formatCode="0.000%"/>
    <numFmt numFmtId="183" formatCode="&quot;₹ &quot;#,##0;[Red]&quot;₹ -&quot;#,##0"/>
    <numFmt numFmtId="184" formatCode="&quot;₹ &quot;#,##0.00;[Red]&quot;₹ -&quot;#,##0.00"/>
  </numFmts>
  <fonts count="42" x14ac:knownFonts="1">
    <font>
      <sz val="11"/>
      <color theme="1"/>
      <name val="Calibri"/>
      <charset val="1"/>
    </font>
    <font>
      <b/>
      <sz val="11"/>
      <color rgb="FFFFFFFF"/>
      <name val="Arial"/>
      <family val="2"/>
    </font>
    <font>
      <sz val="10"/>
      <color rgb="FF000000"/>
      <name val="Arial"/>
      <family val="2"/>
    </font>
    <font>
      <b/>
      <sz val="10"/>
      <color rgb="FF000000"/>
      <name val="Arial"/>
      <family val="2"/>
    </font>
    <font>
      <sz val="11"/>
      <name val="Calibri"/>
      <family val="2"/>
    </font>
    <font>
      <b/>
      <sz val="11"/>
      <color rgb="FF000000"/>
      <name val="Calibri"/>
      <family val="2"/>
    </font>
    <font>
      <sz val="10"/>
      <name val="Arial"/>
      <family val="2"/>
    </font>
    <font>
      <b/>
      <sz val="10"/>
      <name val="Arial"/>
      <family val="2"/>
    </font>
    <font>
      <sz val="11"/>
      <color rgb="FF000000"/>
      <name val="Calibri"/>
      <family val="2"/>
    </font>
    <font>
      <b/>
      <sz val="12"/>
      <color rgb="FFFFFFFF"/>
      <name val="Arial"/>
      <family val="2"/>
    </font>
    <font>
      <sz val="11"/>
      <color rgb="FF595959"/>
      <name val="Calibri"/>
      <family val="2"/>
    </font>
    <font>
      <b/>
      <sz val="11"/>
      <color theme="0"/>
      <name val="Calibri"/>
      <family val="2"/>
    </font>
    <font>
      <sz val="11"/>
      <color rgb="FF0070C0"/>
      <name val="Calibri"/>
      <family val="2"/>
    </font>
    <font>
      <b/>
      <sz val="11"/>
      <name val="Calibri"/>
      <family val="2"/>
    </font>
    <font>
      <i/>
      <sz val="11"/>
      <name val="Calibri"/>
      <family val="2"/>
    </font>
    <font>
      <b/>
      <sz val="12"/>
      <color theme="0"/>
      <name val="Arial"/>
      <family val="2"/>
    </font>
    <font>
      <b/>
      <sz val="10"/>
      <color theme="0"/>
      <name val="Arial"/>
      <family val="2"/>
    </font>
    <font>
      <b/>
      <sz val="9"/>
      <color theme="0"/>
      <name val="Arial"/>
      <family val="2"/>
    </font>
    <font>
      <sz val="11"/>
      <color rgb="FF333333"/>
      <name val="Calibri"/>
      <family val="2"/>
    </font>
    <font>
      <sz val="7"/>
      <color theme="1"/>
      <name val="Arial"/>
      <family val="2"/>
    </font>
    <font>
      <sz val="7"/>
      <color rgb="FF000000"/>
      <name val="Arial"/>
      <family val="2"/>
    </font>
    <font>
      <b/>
      <sz val="11"/>
      <color theme="0"/>
      <name val="Arial"/>
      <family val="2"/>
    </font>
    <font>
      <b/>
      <sz val="9"/>
      <color theme="1"/>
      <name val="Arial"/>
      <family val="2"/>
    </font>
    <font>
      <b/>
      <sz val="11"/>
      <color rgb="FFFFFFFF"/>
      <name val="Calibri"/>
      <family val="2"/>
    </font>
    <font>
      <b/>
      <sz val="11"/>
      <color rgb="FF1A3F6F"/>
      <name val="Calibri"/>
      <family val="2"/>
    </font>
    <font>
      <b/>
      <sz val="20"/>
      <color theme="0"/>
      <name val="Calibri"/>
      <family val="2"/>
    </font>
    <font>
      <b/>
      <sz val="11"/>
      <color theme="1"/>
      <name val="Calibri"/>
      <family val="2"/>
    </font>
    <font>
      <b/>
      <i/>
      <sz val="11"/>
      <color theme="1"/>
      <name val="Calibri"/>
      <family val="2"/>
    </font>
    <font>
      <i/>
      <sz val="11"/>
      <color theme="1"/>
      <name val="Calibri"/>
      <family val="2"/>
    </font>
    <font>
      <sz val="10"/>
      <name val="Calibri"/>
      <family val="2"/>
    </font>
    <font>
      <b/>
      <sz val="11"/>
      <color rgb="FF333333"/>
      <name val="Calibri"/>
      <family val="2"/>
    </font>
    <font>
      <b/>
      <sz val="11"/>
      <name val="Cambria"/>
      <family val="1"/>
    </font>
    <font>
      <b/>
      <sz val="9"/>
      <color rgb="FF1A3F6F"/>
      <name val="Calibri"/>
      <family val="2"/>
    </font>
    <font>
      <b/>
      <sz val="11"/>
      <color rgb="FF1A5C4E"/>
      <name val="Calibri"/>
      <family val="2"/>
    </font>
    <font>
      <sz val="11"/>
      <color rgb="FF2C2C2C"/>
      <name val="Calibri"/>
      <family val="2"/>
    </font>
    <font>
      <b/>
      <sz val="11"/>
      <color rgb="FF5C3D00"/>
      <name val="Calibri"/>
      <family val="2"/>
    </font>
    <font>
      <b/>
      <sz val="11"/>
      <color rgb="FF1A3A35"/>
      <name val="Calibri"/>
      <family val="2"/>
    </font>
    <font>
      <b/>
      <sz val="16"/>
      <color theme="1"/>
      <name val="Calibri"/>
      <family val="2"/>
    </font>
    <font>
      <sz val="11"/>
      <color theme="1"/>
      <name val="Calibri"/>
      <family val="2"/>
    </font>
    <font>
      <b/>
      <sz val="14"/>
      <color theme="0"/>
      <name val="Arial"/>
      <family val="2"/>
    </font>
    <font>
      <sz val="11"/>
      <color theme="0"/>
      <name val="Calibri"/>
      <family val="2"/>
    </font>
    <font>
      <b/>
      <sz val="11"/>
      <color theme="0"/>
      <name val="Cambria"/>
      <family val="1"/>
    </font>
  </fonts>
  <fills count="54">
    <fill>
      <patternFill patternType="none"/>
    </fill>
    <fill>
      <patternFill patternType="gray125"/>
    </fill>
    <fill>
      <patternFill patternType="solid">
        <fgColor rgb="FFE0E0E0"/>
        <bgColor rgb="FFD9D9D9"/>
      </patternFill>
    </fill>
    <fill>
      <patternFill patternType="solid">
        <fgColor rgb="FFA9A9A9"/>
        <bgColor rgb="FFB3B3B3"/>
      </patternFill>
    </fill>
    <fill>
      <patternFill patternType="solid">
        <fgColor rgb="FFFFFFFF"/>
        <bgColor rgb="FFF5FBF9"/>
      </patternFill>
    </fill>
    <fill>
      <patternFill patternType="solid">
        <fgColor theme="0" tint="-0.249977111117893"/>
        <bgColor rgb="FFB3B3B3"/>
      </patternFill>
    </fill>
    <fill>
      <patternFill patternType="solid">
        <fgColor rgb="FFD9E1F2"/>
        <bgColor rgb="FFDAE3F3"/>
      </patternFill>
    </fill>
    <fill>
      <patternFill patternType="solid">
        <fgColor theme="7" tint="0.79973754081850645"/>
        <bgColor rgb="FFFFF8E7"/>
      </patternFill>
    </fill>
    <fill>
      <patternFill patternType="solid">
        <fgColor theme="0" tint="-0.14993743705557422"/>
        <bgColor rgb="FFE0E0E0"/>
      </patternFill>
    </fill>
    <fill>
      <patternFill patternType="solid">
        <fgColor rgb="FF1D324E"/>
        <bgColor rgb="FF1F3864"/>
      </patternFill>
    </fill>
    <fill>
      <patternFill patternType="solid">
        <fgColor rgb="FFD5E8F5"/>
        <bgColor rgb="FFD7E8F4"/>
      </patternFill>
    </fill>
    <fill>
      <patternFill patternType="solid">
        <fgColor rgb="FF2D5986"/>
        <bgColor rgb="FF2E5FA3"/>
      </patternFill>
    </fill>
    <fill>
      <patternFill patternType="solid">
        <fgColor rgb="FF5185B5"/>
        <bgColor rgb="FF4472C4"/>
      </patternFill>
    </fill>
    <fill>
      <patternFill patternType="solid">
        <fgColor rgb="FFD7E8F4"/>
        <bgColor rgb="FFD5E8F5"/>
      </patternFill>
    </fill>
    <fill>
      <patternFill patternType="solid">
        <fgColor rgb="FFF2F2F2"/>
        <bgColor rgb="FFEEEEEE"/>
      </patternFill>
    </fill>
    <fill>
      <patternFill patternType="solid">
        <fgColor theme="5" tint="0.79973754081850645"/>
        <bgColor rgb="FFFFF2CC"/>
      </patternFill>
    </fill>
    <fill>
      <patternFill patternType="solid">
        <fgColor theme="8" tint="0.79973754081850645"/>
        <bgColor rgb="FFDDEBF7"/>
      </patternFill>
    </fill>
    <fill>
      <patternFill patternType="solid">
        <fgColor theme="9" tint="0.79973754081850645"/>
        <bgColor rgb="FFE8EBEF"/>
      </patternFill>
    </fill>
    <fill>
      <patternFill patternType="solid">
        <fgColor theme="6" tint="0.79973754081850645"/>
        <bgColor rgb="FFEEEEEE"/>
      </patternFill>
    </fill>
    <fill>
      <patternFill patternType="solid">
        <fgColor theme="9" tint="0.39942625202185128"/>
        <bgColor rgb="FFB2D4CF"/>
      </patternFill>
    </fill>
    <fill>
      <patternFill patternType="solid">
        <fgColor theme="5" tint="-0.249977111117893"/>
        <bgColor rgb="FFED7D31"/>
      </patternFill>
    </fill>
    <fill>
      <patternFill patternType="solid">
        <fgColor rgb="FFFFFF00"/>
        <bgColor rgb="FFFFE699"/>
      </patternFill>
    </fill>
    <fill>
      <patternFill patternType="solid">
        <fgColor rgb="FFE8EBEF"/>
        <bgColor rgb="FFEDEDED"/>
      </patternFill>
    </fill>
    <fill>
      <patternFill patternType="solid">
        <fgColor theme="4" tint="0.79973754081850645"/>
        <bgColor rgb="FFD9E1F2"/>
      </patternFill>
    </fill>
    <fill>
      <patternFill patternType="solid">
        <fgColor theme="4" tint="-0.249977111117893"/>
        <bgColor rgb="FF1A5276"/>
      </patternFill>
    </fill>
    <fill>
      <patternFill patternType="solid">
        <fgColor theme="4" tint="-0.249977111117893"/>
        <bgColor rgb="FF1D324E"/>
      </patternFill>
    </fill>
    <fill>
      <patternFill patternType="solid">
        <fgColor theme="4" tint="-0.249977111117893"/>
        <bgColor rgb="FF1F3864"/>
      </patternFill>
    </fill>
    <fill>
      <patternFill patternType="solid">
        <fgColor theme="4" tint="-0.249977111117893"/>
        <bgColor rgb="FF1F4E79"/>
      </patternFill>
    </fill>
    <fill>
      <patternFill patternType="solid">
        <fgColor theme="4" tint="-0.249977111117893"/>
        <bgColor rgb="FF4472C4"/>
      </patternFill>
    </fill>
    <fill>
      <patternFill patternType="solid">
        <fgColor theme="4" tint="-0.249977111117893"/>
        <bgColor rgb="FFED7D31"/>
      </patternFill>
    </fill>
    <fill>
      <patternFill patternType="solid">
        <fgColor theme="4" tint="-0.249977111117893"/>
        <bgColor rgb="FF2E5FA3"/>
      </patternFill>
    </fill>
    <fill>
      <patternFill patternType="solid">
        <fgColor theme="0"/>
        <bgColor rgb="FF4472C4"/>
      </patternFill>
    </fill>
    <fill>
      <patternFill patternType="solid">
        <fgColor theme="0"/>
        <bgColor rgb="FF2E5FA3"/>
      </patternFill>
    </fill>
    <fill>
      <patternFill patternType="solid">
        <fgColor theme="0"/>
        <bgColor indexed="64"/>
      </patternFill>
    </fill>
    <fill>
      <patternFill patternType="solid">
        <fgColor theme="0"/>
        <bgColor rgb="FFF5FBF9"/>
      </patternFill>
    </fill>
    <fill>
      <patternFill patternType="solid">
        <fgColor theme="0"/>
        <bgColor rgb="FFD5E8F5"/>
      </patternFill>
    </fill>
    <fill>
      <patternFill patternType="solid">
        <fgColor theme="0"/>
        <bgColor rgb="FFEEEEEE"/>
      </patternFill>
    </fill>
    <fill>
      <patternFill patternType="solid">
        <fgColor theme="4" tint="-0.249977111117893"/>
        <bgColor rgb="FF5C3D00"/>
      </patternFill>
    </fill>
    <fill>
      <patternFill patternType="solid">
        <fgColor theme="4" tint="-0.249977111117893"/>
        <bgColor indexed="64"/>
      </patternFill>
    </fill>
    <fill>
      <patternFill patternType="solid">
        <fgColor theme="4" tint="-0.249977111117893"/>
        <bgColor rgb="FFDEEBF7"/>
      </patternFill>
    </fill>
    <fill>
      <patternFill patternType="solid">
        <fgColor theme="4" tint="-0.249977111117893"/>
        <bgColor rgb="FF0070C0"/>
      </patternFill>
    </fill>
    <fill>
      <patternFill patternType="solid">
        <fgColor theme="0"/>
        <bgColor rgb="FFFFF2CC"/>
      </patternFill>
    </fill>
    <fill>
      <patternFill patternType="solid">
        <fgColor theme="0"/>
        <bgColor rgb="FF2F76B5"/>
      </patternFill>
    </fill>
    <fill>
      <patternFill patternType="solid">
        <fgColor theme="4" tint="-0.249977111117893"/>
        <bgColor rgb="FFD5E8F5"/>
      </patternFill>
    </fill>
    <fill>
      <patternFill patternType="solid">
        <fgColor theme="0"/>
        <bgColor rgb="FFD9E1F2"/>
      </patternFill>
    </fill>
    <fill>
      <patternFill patternType="solid">
        <fgColor theme="0"/>
        <bgColor rgb="FFDAE3F3"/>
      </patternFill>
    </fill>
    <fill>
      <patternFill patternType="solid">
        <fgColor theme="0"/>
        <bgColor rgb="FFFFF8E7"/>
      </patternFill>
    </fill>
    <fill>
      <patternFill patternType="solid">
        <fgColor theme="4" tint="-0.249977111117893"/>
        <bgColor rgb="FFFFF2CC"/>
      </patternFill>
    </fill>
    <fill>
      <patternFill patternType="solid">
        <fgColor theme="4" tint="-0.249977111117893"/>
        <bgColor rgb="FFFFE699"/>
      </patternFill>
    </fill>
    <fill>
      <patternFill patternType="solid">
        <fgColor theme="4" tint="-0.249977111117893"/>
        <bgColor rgb="FFD9E1F2"/>
      </patternFill>
    </fill>
    <fill>
      <patternFill patternType="solid">
        <fgColor theme="4" tint="-0.249977111117893"/>
        <bgColor rgb="FF2F76B5"/>
      </patternFill>
    </fill>
    <fill>
      <patternFill patternType="solid">
        <fgColor theme="0"/>
        <bgColor rgb="FFF2F2F2"/>
      </patternFill>
    </fill>
    <fill>
      <patternFill patternType="solid">
        <fgColor theme="0"/>
        <bgColor rgb="FFFFFFFF"/>
      </patternFill>
    </fill>
    <fill>
      <patternFill patternType="solid">
        <fgColor theme="4" tint="-0.249977111117893"/>
        <bgColor rgb="FFF2F2F2"/>
      </patternFill>
    </fill>
  </fills>
  <borders count="53">
    <border>
      <left/>
      <right/>
      <top/>
      <bottom/>
      <diagonal/>
    </border>
    <border>
      <left style="thin">
        <color auto="1"/>
      </left>
      <right style="thin">
        <color auto="1"/>
      </right>
      <top/>
      <bottom/>
      <diagonal/>
    </border>
    <border>
      <left style="thin">
        <color auto="1"/>
      </left>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EEEEEE"/>
      </left>
      <right style="medium">
        <color rgb="FFEEEEEE"/>
      </right>
      <top/>
      <bottom/>
      <diagonal/>
    </border>
    <border>
      <left/>
      <right/>
      <top style="thin">
        <color auto="1"/>
      </top>
      <bottom style="thick">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FBFBF"/>
      </left>
      <right style="thin">
        <color rgb="FFBFBFBF"/>
      </right>
      <top style="thin">
        <color rgb="FFBFBFBF"/>
      </top>
      <bottom style="medium">
        <color rgb="FF1F38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medium">
        <color rgb="FF1F3864"/>
      </top>
      <bottom style="medium">
        <color rgb="FF1F3864"/>
      </bottom>
      <diagonal/>
    </border>
    <border>
      <left style="thin">
        <color rgb="FFBFBFBF"/>
      </left>
      <right/>
      <top style="medium">
        <color rgb="FF1F3864"/>
      </top>
      <bottom style="medium">
        <color rgb="FF1F3864"/>
      </bottom>
      <diagonal/>
    </border>
    <border>
      <left style="medium">
        <color rgb="FFEEEEEE"/>
      </left>
      <right/>
      <top/>
      <bottom/>
      <diagonal/>
    </border>
    <border>
      <left style="thin">
        <color rgb="FFBFBFBF"/>
      </left>
      <right style="thin">
        <color rgb="FFBFBFBF"/>
      </right>
      <top/>
      <bottom/>
      <diagonal/>
    </border>
    <border>
      <left style="thin">
        <color rgb="FFBFBFBF"/>
      </left>
      <right/>
      <top/>
      <bottom/>
      <diagonal/>
    </border>
    <border>
      <left style="medium">
        <color rgb="FF2E7D6B"/>
      </left>
      <right style="medium">
        <color rgb="FF2E7D6B"/>
      </right>
      <top style="medium">
        <color rgb="FF2E7D6B"/>
      </top>
      <bottom style="medium">
        <color rgb="FF2E7D6B"/>
      </bottom>
      <diagonal/>
    </border>
    <border>
      <left style="thin">
        <color rgb="FFB2D4CF"/>
      </left>
      <right style="thin">
        <color rgb="FFB2D4CF"/>
      </right>
      <top style="thin">
        <color rgb="FFB2D4CF"/>
      </top>
      <bottom style="thin">
        <color rgb="FFB2D4CF"/>
      </bottom>
      <diagonal/>
    </border>
    <border>
      <left style="thin">
        <color rgb="FFB2D4CF"/>
      </left>
      <right style="thin">
        <color rgb="FFB2D4CF"/>
      </right>
      <top style="medium">
        <color rgb="FF2E7D6B"/>
      </top>
      <bottom style="medium">
        <color rgb="FF2E7D6B"/>
      </bottom>
      <diagonal/>
    </border>
    <border>
      <left style="thin">
        <color rgb="FFB2D4CF"/>
      </left>
      <right style="thin">
        <color rgb="FFB2D4CF"/>
      </right>
      <top style="medium">
        <color rgb="FF2E7D6B"/>
      </top>
      <bottom style="thin">
        <color rgb="FFB2D4CF"/>
      </bottom>
      <diagonal/>
    </border>
    <border>
      <left style="medium">
        <color rgb="FF2E7D6B"/>
      </left>
      <right/>
      <top style="medium">
        <color rgb="FF2E7D6B"/>
      </top>
      <bottom style="medium">
        <color rgb="FF2E7D6B"/>
      </bottom>
      <diagonal/>
    </border>
    <border>
      <left style="thin">
        <color rgb="FFB2D4CF"/>
      </left>
      <right style="thin">
        <color rgb="FFB2D4CF"/>
      </right>
      <top/>
      <bottom style="medium">
        <color rgb="FF2E7D6B"/>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2">
    <xf numFmtId="0" fontId="0" fillId="0" borderId="0"/>
    <xf numFmtId="9" fontId="38" fillId="0" borderId="0"/>
  </cellStyleXfs>
  <cellXfs count="366">
    <xf numFmtId="0" fontId="0" fillId="0" borderId="0" xfId="0"/>
    <xf numFmtId="0" fontId="0" fillId="0" borderId="0" xfId="0" applyFont="1"/>
    <xf numFmtId="0" fontId="1" fillId="0" borderId="0" xfId="0" applyFont="1"/>
    <xf numFmtId="0" fontId="2" fillId="2" borderId="2" xfId="0" applyFont="1" applyFill="1" applyBorder="1"/>
    <xf numFmtId="0" fontId="0" fillId="0" borderId="3" xfId="0" applyFont="1" applyBorder="1"/>
    <xf numFmtId="166" fontId="3" fillId="3" borderId="4" xfId="0" applyNumberFormat="1" applyFont="1" applyFill="1" applyBorder="1" applyAlignment="1">
      <alignment horizontal="left"/>
    </xf>
    <xf numFmtId="0" fontId="2" fillId="2" borderId="5" xfId="0" applyFont="1" applyFill="1" applyBorder="1"/>
    <xf numFmtId="10" fontId="0" fillId="0" borderId="3" xfId="0" applyNumberFormat="1" applyFont="1" applyBorder="1"/>
    <xf numFmtId="166" fontId="3" fillId="3" borderId="6" xfId="0" applyNumberFormat="1" applyFont="1" applyFill="1" applyBorder="1"/>
    <xf numFmtId="0" fontId="2" fillId="2" borderId="3" xfId="0" applyFont="1" applyFill="1" applyBorder="1"/>
    <xf numFmtId="10" fontId="4" fillId="4" borderId="3" xfId="0" applyNumberFormat="1" applyFont="1" applyFill="1" applyBorder="1" applyAlignment="1">
      <alignment horizontal="center"/>
    </xf>
    <xf numFmtId="2" fontId="4" fillId="4" borderId="3" xfId="0" applyNumberFormat="1" applyFont="1" applyFill="1" applyBorder="1" applyAlignment="1">
      <alignment horizontal="center"/>
    </xf>
    <xf numFmtId="10" fontId="3" fillId="3" borderId="3" xfId="0" applyNumberFormat="1" applyFont="1" applyFill="1" applyBorder="1"/>
    <xf numFmtId="10" fontId="5" fillId="5" borderId="3" xfId="0" applyNumberFormat="1" applyFont="1" applyFill="1" applyBorder="1" applyAlignment="1">
      <alignment horizontal="center"/>
    </xf>
    <xf numFmtId="10" fontId="2" fillId="2" borderId="3" xfId="0" applyNumberFormat="1" applyFont="1" applyFill="1" applyBorder="1" applyAlignment="1">
      <alignment horizontal="left" vertical="center"/>
    </xf>
    <xf numFmtId="4" fontId="6" fillId="4" borderId="3" xfId="0" applyNumberFormat="1" applyFont="1" applyFill="1" applyBorder="1" applyAlignment="1">
      <alignment horizontal="center" vertical="center"/>
    </xf>
    <xf numFmtId="4" fontId="6" fillId="4" borderId="3" xfId="0" applyNumberFormat="1" applyFont="1" applyFill="1" applyBorder="1" applyAlignment="1">
      <alignment horizontal="center"/>
    </xf>
    <xf numFmtId="10" fontId="6" fillId="4" borderId="3" xfId="0" applyNumberFormat="1" applyFont="1" applyFill="1" applyBorder="1" applyAlignment="1">
      <alignment horizontal="center"/>
    </xf>
    <xf numFmtId="166" fontId="2" fillId="2" borderId="3" xfId="0" applyNumberFormat="1" applyFont="1" applyFill="1" applyBorder="1"/>
    <xf numFmtId="10" fontId="6" fillId="5" borderId="3" xfId="0" applyNumberFormat="1" applyFont="1" applyFill="1" applyBorder="1" applyAlignment="1">
      <alignment horizontal="center"/>
    </xf>
    <xf numFmtId="0" fontId="3" fillId="3" borderId="3" xfId="0" applyFont="1" applyFill="1" applyBorder="1"/>
    <xf numFmtId="10" fontId="7" fillId="0" borderId="3" xfId="0" applyNumberFormat="1" applyFont="1" applyBorder="1"/>
    <xf numFmtId="10" fontId="3" fillId="6" borderId="8" xfId="0" applyNumberFormat="1" applyFont="1" applyFill="1" applyBorder="1" applyAlignment="1">
      <alignment horizontal="center"/>
    </xf>
    <xf numFmtId="10" fontId="3" fillId="6" borderId="9" xfId="0" applyNumberFormat="1" applyFont="1" applyFill="1" applyBorder="1" applyAlignment="1">
      <alignment horizontal="center"/>
    </xf>
    <xf numFmtId="10" fontId="3" fillId="6" borderId="10" xfId="0" applyNumberFormat="1" applyFont="1" applyFill="1" applyBorder="1" applyAlignment="1">
      <alignment horizontal="center"/>
    </xf>
    <xf numFmtId="10" fontId="2" fillId="2" borderId="5" xfId="0" applyNumberFormat="1" applyFont="1" applyFill="1" applyBorder="1" applyAlignment="1">
      <alignment horizontal="left"/>
    </xf>
    <xf numFmtId="10" fontId="8" fillId="4" borderId="11" xfId="0" applyNumberFormat="1" applyFont="1" applyFill="1" applyBorder="1" applyAlignment="1">
      <alignment horizontal="center"/>
    </xf>
    <xf numFmtId="10" fontId="8" fillId="4" borderId="9" xfId="0" applyNumberFormat="1" applyFont="1" applyFill="1" applyBorder="1" applyAlignment="1">
      <alignment horizontal="center"/>
    </xf>
    <xf numFmtId="10" fontId="8" fillId="4" borderId="10" xfId="0" applyNumberFormat="1" applyFont="1" applyFill="1" applyBorder="1" applyAlignment="1">
      <alignment horizontal="center"/>
    </xf>
    <xf numFmtId="10" fontId="8" fillId="5" borderId="12" xfId="0" applyNumberFormat="1" applyFont="1" applyFill="1" applyBorder="1"/>
    <xf numFmtId="166" fontId="10" fillId="5" borderId="12" xfId="0" applyNumberFormat="1" applyFont="1" applyFill="1" applyBorder="1"/>
    <xf numFmtId="10" fontId="5" fillId="7" borderId="13" xfId="0" applyNumberFormat="1" applyFont="1" applyFill="1" applyBorder="1"/>
    <xf numFmtId="167" fontId="0" fillId="0" borderId="0" xfId="0" applyNumberFormat="1" applyFont="1"/>
    <xf numFmtId="0" fontId="0" fillId="0" borderId="3" xfId="0" applyFont="1" applyBorder="1" applyAlignment="1">
      <alignment horizontal="left"/>
    </xf>
    <xf numFmtId="168" fontId="0" fillId="0" borderId="3" xfId="0" applyNumberFormat="1" applyFont="1" applyBorder="1" applyAlignment="1">
      <alignment horizontal="right"/>
    </xf>
    <xf numFmtId="4" fontId="12" fillId="0" borderId="3" xfId="0" applyNumberFormat="1" applyFont="1" applyBorder="1"/>
    <xf numFmtId="9" fontId="0" fillId="0" borderId="3" xfId="1" applyFont="1" applyBorder="1"/>
    <xf numFmtId="2" fontId="0" fillId="0" borderId="3" xfId="0" applyNumberFormat="1" applyFont="1" applyBorder="1"/>
    <xf numFmtId="169" fontId="0" fillId="8" borderId="3" xfId="0" applyNumberFormat="1" applyFont="1" applyFill="1" applyBorder="1" applyAlignment="1">
      <alignment horizontal="right"/>
    </xf>
    <xf numFmtId="2" fontId="0" fillId="8" borderId="3" xfId="0" applyNumberFormat="1" applyFont="1" applyFill="1" applyBorder="1"/>
    <xf numFmtId="0" fontId="13" fillId="0" borderId="3" xfId="0" applyFont="1" applyBorder="1"/>
    <xf numFmtId="0" fontId="4" fillId="0" borderId="3" xfId="0" applyFont="1" applyBorder="1"/>
    <xf numFmtId="0" fontId="14" fillId="0" borderId="3" xfId="0" applyFont="1" applyBorder="1"/>
    <xf numFmtId="0" fontId="13" fillId="0" borderId="3" xfId="0" applyFont="1" applyBorder="1" applyAlignment="1">
      <alignment horizontal="right"/>
    </xf>
    <xf numFmtId="166" fontId="4" fillId="0" borderId="3" xfId="0" applyNumberFormat="1" applyFont="1" applyBorder="1" applyAlignment="1">
      <alignment horizontal="right"/>
    </xf>
    <xf numFmtId="10" fontId="0" fillId="0" borderId="0" xfId="0" applyNumberFormat="1" applyFont="1"/>
    <xf numFmtId="0" fontId="4" fillId="0" borderId="3" xfId="0" applyFont="1" applyBorder="1" applyAlignment="1">
      <alignment horizontal="right"/>
    </xf>
    <xf numFmtId="10" fontId="4" fillId="0" borderId="3" xfId="0" applyNumberFormat="1" applyFont="1" applyBorder="1" applyAlignment="1">
      <alignment horizontal="right"/>
    </xf>
    <xf numFmtId="170" fontId="4" fillId="0" borderId="3" xfId="0" applyNumberFormat="1" applyFont="1" applyBorder="1" applyAlignment="1">
      <alignment horizontal="right"/>
    </xf>
    <xf numFmtId="10" fontId="0" fillId="0" borderId="0" xfId="0" applyNumberFormat="1"/>
    <xf numFmtId="0" fontId="13" fillId="0" borderId="1" xfId="0" applyFont="1" applyFill="1" applyBorder="1" applyAlignment="1">
      <alignment horizontal="right"/>
    </xf>
    <xf numFmtId="0" fontId="11" fillId="9" borderId="3" xfId="0" applyFont="1" applyFill="1" applyBorder="1" applyAlignment="1">
      <alignment horizontal="right"/>
    </xf>
    <xf numFmtId="0" fontId="6" fillId="0" borderId="0" xfId="0" applyFont="1"/>
    <xf numFmtId="0" fontId="7" fillId="0" borderId="3" xfId="0" applyFont="1" applyBorder="1" applyAlignment="1">
      <alignment horizontal="left" vertical="center"/>
    </xf>
    <xf numFmtId="4" fontId="4" fillId="0" borderId="3" xfId="0" applyNumberFormat="1" applyFont="1" applyBorder="1"/>
    <xf numFmtId="171" fontId="4" fillId="0" borderId="3" xfId="0" applyNumberFormat="1" applyFont="1" applyBorder="1"/>
    <xf numFmtId="3" fontId="4" fillId="0" borderId="3" xfId="0" applyNumberFormat="1" applyFont="1" applyBorder="1"/>
    <xf numFmtId="172" fontId="4" fillId="0" borderId="3" xfId="0" applyNumberFormat="1" applyFont="1" applyBorder="1"/>
    <xf numFmtId="173" fontId="4" fillId="10" borderId="3" xfId="0" applyNumberFormat="1" applyFont="1" applyFill="1" applyBorder="1"/>
    <xf numFmtId="0" fontId="6" fillId="0" borderId="3" xfId="0" applyFont="1" applyBorder="1" applyAlignment="1">
      <alignment horizontal="left" vertical="center"/>
    </xf>
    <xf numFmtId="0" fontId="6" fillId="0" borderId="3" xfId="0" applyFont="1" applyBorder="1"/>
    <xf numFmtId="2" fontId="4" fillId="0" borderId="3" xfId="0" applyNumberFormat="1" applyFont="1" applyBorder="1"/>
    <xf numFmtId="3" fontId="13" fillId="0" borderId="3" xfId="0" applyNumberFormat="1" applyFont="1" applyBorder="1"/>
    <xf numFmtId="4" fontId="19" fillId="4" borderId="14" xfId="0" applyNumberFormat="1" applyFont="1" applyFill="1" applyBorder="1" applyAlignment="1">
      <alignment horizontal="right" vertical="center" wrapText="1"/>
    </xf>
    <xf numFmtId="0" fontId="19" fillId="4" borderId="14" xfId="0" applyFont="1" applyFill="1" applyBorder="1" applyAlignment="1">
      <alignment horizontal="right" vertical="center" wrapText="1"/>
    </xf>
    <xf numFmtId="4" fontId="20" fillId="0" borderId="0" xfId="0" applyNumberFormat="1" applyFont="1"/>
    <xf numFmtId="173" fontId="4" fillId="0" borderId="3" xfId="0" applyNumberFormat="1" applyFont="1" applyBorder="1" applyAlignment="1">
      <alignment horizontal="center" vertical="center"/>
    </xf>
    <xf numFmtId="3" fontId="4" fillId="0" borderId="3" xfId="0" applyNumberFormat="1" applyFont="1" applyBorder="1" applyAlignment="1">
      <alignment horizontal="center" vertical="center"/>
    </xf>
    <xf numFmtId="174" fontId="4" fillId="0" borderId="3" xfId="0" applyNumberFormat="1" applyFont="1" applyBorder="1" applyAlignment="1">
      <alignment horizontal="center" vertical="center"/>
    </xf>
    <xf numFmtId="175" fontId="4" fillId="0" borderId="3" xfId="0" applyNumberFormat="1" applyFont="1" applyBorder="1" applyAlignment="1">
      <alignment horizontal="center" vertical="center"/>
    </xf>
    <xf numFmtId="0" fontId="4" fillId="4" borderId="0" xfId="0" applyFont="1" applyFill="1" applyAlignment="1">
      <alignment horizontal="left" vertical="center"/>
    </xf>
    <xf numFmtId="0" fontId="4" fillId="0" borderId="0" xfId="0" applyFont="1"/>
    <xf numFmtId="176" fontId="4" fillId="0" borderId="0" xfId="0" applyNumberFormat="1" applyFont="1"/>
    <xf numFmtId="177" fontId="4" fillId="0" borderId="0" xfId="0" applyNumberFormat="1" applyFont="1"/>
    <xf numFmtId="178" fontId="4" fillId="0" borderId="0" xfId="0" applyNumberFormat="1" applyFont="1"/>
    <xf numFmtId="2" fontId="4" fillId="0" borderId="0" xfId="0" applyNumberFormat="1" applyFont="1"/>
    <xf numFmtId="0" fontId="13" fillId="0" borderId="0" xfId="0" applyFont="1"/>
    <xf numFmtId="0" fontId="13" fillId="0" borderId="15" xfId="0" applyFont="1" applyBorder="1"/>
    <xf numFmtId="0" fontId="4" fillId="0" borderId="15" xfId="0" applyFont="1" applyBorder="1"/>
    <xf numFmtId="2" fontId="13" fillId="0" borderId="15" xfId="0" applyNumberFormat="1" applyFont="1" applyBorder="1"/>
    <xf numFmtId="0" fontId="23" fillId="11" borderId="3" xfId="0" applyFont="1" applyFill="1" applyBorder="1" applyAlignment="1">
      <alignment horizontal="center" vertical="center"/>
    </xf>
    <xf numFmtId="0" fontId="23" fillId="11" borderId="3" xfId="0" applyFont="1" applyFill="1" applyBorder="1" applyAlignment="1">
      <alignment horizontal="left" vertical="center" indent="1"/>
    </xf>
    <xf numFmtId="0" fontId="23" fillId="12" borderId="3" xfId="0" applyFont="1" applyFill="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vertical="center"/>
    </xf>
    <xf numFmtId="4" fontId="4" fillId="4" borderId="3" xfId="0" applyNumberFormat="1" applyFont="1" applyFill="1" applyBorder="1"/>
    <xf numFmtId="0" fontId="26" fillId="0" borderId="3" xfId="0" applyFont="1" applyBorder="1"/>
    <xf numFmtId="179" fontId="0" fillId="0" borderId="3" xfId="0" applyNumberFormat="1" applyFont="1" applyBorder="1"/>
    <xf numFmtId="176" fontId="0" fillId="0" borderId="3" xfId="0" applyNumberFormat="1" applyFont="1" applyBorder="1"/>
    <xf numFmtId="10" fontId="26" fillId="0" borderId="3" xfId="0" applyNumberFormat="1" applyFont="1" applyBorder="1"/>
    <xf numFmtId="0" fontId="13" fillId="0" borderId="16" xfId="0" applyFont="1" applyBorder="1"/>
    <xf numFmtId="0" fontId="4" fillId="0" borderId="17" xfId="0" applyFont="1" applyBorder="1"/>
    <xf numFmtId="9" fontId="0" fillId="0" borderId="3" xfId="0" applyNumberFormat="1" applyFont="1" applyBorder="1"/>
    <xf numFmtId="0" fontId="13" fillId="0" borderId="0" xfId="0" applyFont="1" applyBorder="1"/>
    <xf numFmtId="10" fontId="0" fillId="0" borderId="0" xfId="0" applyNumberFormat="1" applyFont="1" applyBorder="1"/>
    <xf numFmtId="0" fontId="13" fillId="0" borderId="18" xfId="0" applyFont="1" applyBorder="1"/>
    <xf numFmtId="0" fontId="0" fillId="0" borderId="19" xfId="0" applyFont="1" applyBorder="1"/>
    <xf numFmtId="10" fontId="0" fillId="0" borderId="20" xfId="0" applyNumberFormat="1" applyFont="1" applyBorder="1"/>
    <xf numFmtId="4" fontId="13" fillId="0" borderId="3" xfId="0" applyNumberFormat="1" applyFont="1" applyBorder="1"/>
    <xf numFmtId="9" fontId="0" fillId="0" borderId="0" xfId="0" applyNumberFormat="1" applyFont="1"/>
    <xf numFmtId="10" fontId="4" fillId="0" borderId="3" xfId="0" applyNumberFormat="1" applyFont="1" applyBorder="1"/>
    <xf numFmtId="10" fontId="4" fillId="0" borderId="0" xfId="0" applyNumberFormat="1" applyFont="1"/>
    <xf numFmtId="10" fontId="0" fillId="0" borderId="3" xfId="1" applyNumberFormat="1" applyFont="1" applyBorder="1"/>
    <xf numFmtId="170" fontId="0" fillId="0" borderId="3" xfId="1" applyNumberFormat="1" applyFont="1" applyBorder="1"/>
    <xf numFmtId="173" fontId="0" fillId="0" borderId="3" xfId="0" applyNumberFormat="1" applyFont="1" applyBorder="1"/>
    <xf numFmtId="180" fontId="0" fillId="0" borderId="3" xfId="0" applyNumberFormat="1" applyFont="1" applyBorder="1"/>
    <xf numFmtId="0" fontId="27" fillId="0" borderId="3" xfId="0" applyFont="1" applyBorder="1"/>
    <xf numFmtId="1" fontId="0" fillId="0" borderId="3" xfId="0" applyNumberFormat="1" applyFont="1" applyBorder="1"/>
    <xf numFmtId="0" fontId="13" fillId="0" borderId="3" xfId="0" applyFont="1" applyBorder="1" applyAlignment="1">
      <alignment horizontal="center" vertical="top"/>
    </xf>
    <xf numFmtId="0" fontId="28" fillId="0" borderId="21" xfId="0" applyFont="1" applyBorder="1" applyAlignment="1">
      <alignment horizontal="center"/>
    </xf>
    <xf numFmtId="0" fontId="0" fillId="0" borderId="22" xfId="0" applyFont="1" applyBorder="1"/>
    <xf numFmtId="0" fontId="26" fillId="0" borderId="0" xfId="0" applyFont="1" applyAlignment="1">
      <alignment horizontal="center" vertical="center" wrapText="1"/>
    </xf>
    <xf numFmtId="0" fontId="30" fillId="0" borderId="24" xfId="0" applyFont="1" applyBorder="1" applyAlignment="1">
      <alignment horizontal="center" vertical="center" wrapText="1"/>
    </xf>
    <xf numFmtId="0" fontId="30" fillId="0" borderId="25" xfId="0" applyFont="1" applyBorder="1" applyAlignment="1">
      <alignment horizontal="center" vertical="center" wrapText="1"/>
    </xf>
    <xf numFmtId="0" fontId="30" fillId="0" borderId="26" xfId="0" applyFont="1" applyBorder="1" applyAlignment="1">
      <alignment horizontal="center" vertical="center" wrapText="1"/>
    </xf>
    <xf numFmtId="0" fontId="30" fillId="19" borderId="27" xfId="0" applyFont="1" applyFill="1" applyBorder="1" applyAlignment="1">
      <alignment horizontal="center" wrapText="1"/>
    </xf>
    <xf numFmtId="4" fontId="18" fillId="19" borderId="3" xfId="0" applyNumberFormat="1" applyFont="1" applyFill="1" applyBorder="1" applyAlignment="1">
      <alignment horizontal="right" vertical="center" wrapText="1"/>
    </xf>
    <xf numFmtId="10" fontId="18" fillId="19" borderId="3" xfId="0" applyNumberFormat="1" applyFont="1" applyFill="1" applyBorder="1" applyAlignment="1">
      <alignment horizontal="right" vertical="center" wrapText="1"/>
    </xf>
    <xf numFmtId="4" fontId="18" fillId="19" borderId="28" xfId="0" applyNumberFormat="1" applyFont="1" applyFill="1" applyBorder="1" applyAlignment="1">
      <alignment horizontal="right" vertical="center" wrapText="1"/>
    </xf>
    <xf numFmtId="0" fontId="30" fillId="0" borderId="27" xfId="0" applyFont="1" applyBorder="1" applyAlignment="1">
      <alignment horizontal="center" wrapText="1"/>
    </xf>
    <xf numFmtId="4" fontId="18" fillId="0" borderId="3" xfId="0" applyNumberFormat="1" applyFont="1" applyBorder="1" applyAlignment="1">
      <alignment horizontal="right" vertical="center" wrapText="1"/>
    </xf>
    <xf numFmtId="10" fontId="18" fillId="0" borderId="3" xfId="0" applyNumberFormat="1" applyFont="1" applyBorder="1" applyAlignment="1">
      <alignment horizontal="right" vertical="center" wrapText="1"/>
    </xf>
    <xf numFmtId="4" fontId="18" fillId="0" borderId="28" xfId="0" applyNumberFormat="1" applyFont="1" applyBorder="1" applyAlignment="1">
      <alignment horizontal="right" vertical="center" wrapText="1"/>
    </xf>
    <xf numFmtId="0" fontId="30" fillId="0" borderId="29" xfId="0" applyFont="1" applyBorder="1" applyAlignment="1">
      <alignment horizontal="center" wrapText="1"/>
    </xf>
    <xf numFmtId="4" fontId="18" fillId="0" borderId="30" xfId="0" applyNumberFormat="1" applyFont="1" applyBorder="1" applyAlignment="1">
      <alignment horizontal="right" vertical="center" wrapText="1"/>
    </xf>
    <xf numFmtId="10" fontId="18" fillId="0" borderId="30" xfId="0" applyNumberFormat="1" applyFont="1" applyBorder="1" applyAlignment="1">
      <alignment horizontal="right" vertical="center" wrapText="1"/>
    </xf>
    <xf numFmtId="4" fontId="18" fillId="0" borderId="31" xfId="0" applyNumberFormat="1" applyFont="1" applyBorder="1" applyAlignment="1">
      <alignment horizontal="right" vertical="center" wrapText="1"/>
    </xf>
    <xf numFmtId="0" fontId="30" fillId="0" borderId="27" xfId="0" applyFont="1" applyBorder="1" applyAlignment="1">
      <alignment horizontal="center" vertical="center" wrapText="1"/>
    </xf>
    <xf numFmtId="17" fontId="30" fillId="0" borderId="3" xfId="0" applyNumberFormat="1" applyFont="1" applyBorder="1" applyAlignment="1">
      <alignment horizontal="center" vertical="center" wrapText="1"/>
    </xf>
    <xf numFmtId="17" fontId="26" fillId="0" borderId="28" xfId="0" applyNumberFormat="1" applyFont="1" applyBorder="1" applyAlignment="1">
      <alignment horizontal="center" vertical="center"/>
    </xf>
    <xf numFmtId="176" fontId="18" fillId="0" borderId="3" xfId="0" applyNumberFormat="1" applyFont="1" applyBorder="1" applyAlignment="1">
      <alignment horizontal="center" vertical="center" wrapText="1"/>
    </xf>
    <xf numFmtId="176" fontId="18" fillId="0" borderId="28" xfId="0" applyNumberFormat="1" applyFont="1" applyBorder="1" applyAlignment="1">
      <alignment horizontal="center" vertical="center" wrapText="1"/>
    </xf>
    <xf numFmtId="0" fontId="30" fillId="0" borderId="29" xfId="0" applyFont="1" applyBorder="1" applyAlignment="1">
      <alignment horizontal="center" vertical="center" wrapText="1"/>
    </xf>
    <xf numFmtId="10" fontId="18" fillId="0" borderId="30" xfId="0" applyNumberFormat="1" applyFont="1" applyBorder="1" applyAlignment="1">
      <alignment horizontal="center" vertical="center" wrapText="1"/>
    </xf>
    <xf numFmtId="10" fontId="18" fillId="0" borderId="31" xfId="0" applyNumberFormat="1" applyFont="1" applyBorder="1" applyAlignment="1">
      <alignment horizontal="center" vertical="center" wrapText="1"/>
    </xf>
    <xf numFmtId="4" fontId="4" fillId="0" borderId="17" xfId="0" applyNumberFormat="1" applyFont="1" applyBorder="1"/>
    <xf numFmtId="4" fontId="0" fillId="0" borderId="3" xfId="0" applyNumberFormat="1" applyFont="1" applyBorder="1"/>
    <xf numFmtId="4" fontId="0" fillId="0" borderId="0" xfId="0" applyNumberFormat="1" applyFont="1"/>
    <xf numFmtId="0" fontId="23" fillId="0" borderId="0" xfId="0" applyFont="1" applyAlignment="1">
      <alignment vertical="center"/>
    </xf>
    <xf numFmtId="0" fontId="5" fillId="21" borderId="3" xfId="0" applyFont="1" applyFill="1" applyBorder="1" applyAlignment="1">
      <alignment horizontal="center" vertical="center"/>
    </xf>
    <xf numFmtId="0" fontId="5" fillId="0" borderId="0" xfId="0" applyFont="1" applyAlignment="1">
      <alignment horizontal="center" vertical="center"/>
    </xf>
    <xf numFmtId="170" fontId="0" fillId="0" borderId="0" xfId="0" applyNumberFormat="1" applyFont="1"/>
    <xf numFmtId="0" fontId="5" fillId="21" borderId="13" xfId="0" applyFont="1" applyFill="1" applyBorder="1" applyAlignment="1">
      <alignment horizontal="center" vertical="center"/>
    </xf>
    <xf numFmtId="170" fontId="8" fillId="0" borderId="0" xfId="0" applyNumberFormat="1" applyFont="1" applyAlignment="1">
      <alignment horizontal="center" vertical="center"/>
    </xf>
    <xf numFmtId="0" fontId="23" fillId="11" borderId="33" xfId="0" applyFont="1" applyFill="1" applyBorder="1" applyAlignment="1">
      <alignment horizontal="left" vertical="center" indent="1"/>
    </xf>
    <xf numFmtId="0" fontId="23" fillId="12" borderId="33" xfId="0" applyFont="1" applyFill="1" applyBorder="1" applyAlignment="1">
      <alignment horizontal="center" vertical="center"/>
    </xf>
    <xf numFmtId="17" fontId="23" fillId="12" borderId="34" xfId="0" applyNumberFormat="1" applyFont="1" applyFill="1" applyBorder="1" applyAlignment="1">
      <alignment horizontal="center" vertical="center"/>
    </xf>
    <xf numFmtId="0" fontId="31" fillId="21" borderId="3" xfId="0" applyFont="1" applyFill="1" applyBorder="1"/>
    <xf numFmtId="0" fontId="23" fillId="12" borderId="34" xfId="0" applyFont="1" applyFill="1" applyBorder="1" applyAlignment="1">
      <alignment horizontal="center" vertical="center"/>
    </xf>
    <xf numFmtId="0" fontId="23" fillId="11" borderId="34" xfId="0" applyFont="1" applyFill="1" applyBorder="1" applyAlignment="1">
      <alignment horizontal="center" vertical="center"/>
    </xf>
    <xf numFmtId="0" fontId="8" fillId="4" borderId="33" xfId="0" applyFont="1" applyFill="1" applyBorder="1" applyAlignment="1">
      <alignment horizontal="left" vertical="center" indent="2"/>
    </xf>
    <xf numFmtId="179" fontId="8" fillId="4" borderId="33" xfId="0" applyNumberFormat="1" applyFont="1" applyFill="1" applyBorder="1" applyAlignment="1">
      <alignment horizontal="right" vertical="center"/>
    </xf>
    <xf numFmtId="179" fontId="8" fillId="4" borderId="34" xfId="0" applyNumberFormat="1" applyFont="1" applyFill="1" applyBorder="1" applyAlignment="1">
      <alignment horizontal="right" vertical="center"/>
    </xf>
    <xf numFmtId="170" fontId="0" fillId="0" borderId="3" xfId="0" applyNumberFormat="1" applyFont="1" applyBorder="1"/>
    <xf numFmtId="0" fontId="8" fillId="14" borderId="33" xfId="0" applyFont="1" applyFill="1" applyBorder="1" applyAlignment="1">
      <alignment horizontal="left" vertical="center" indent="2"/>
    </xf>
    <xf numFmtId="179" fontId="8" fillId="14" borderId="33" xfId="0" applyNumberFormat="1" applyFont="1" applyFill="1" applyBorder="1" applyAlignment="1">
      <alignment horizontal="right" vertical="center"/>
    </xf>
    <xf numFmtId="179" fontId="8" fillId="14" borderId="34" xfId="0" applyNumberFormat="1" applyFont="1" applyFill="1" applyBorder="1" applyAlignment="1">
      <alignment horizontal="right" vertical="center"/>
    </xf>
    <xf numFmtId="0" fontId="24" fillId="13" borderId="35" xfId="0" applyFont="1" applyFill="1" applyBorder="1" applyAlignment="1">
      <alignment horizontal="left" vertical="center" indent="1"/>
    </xf>
    <xf numFmtId="179" fontId="24" fillId="13" borderId="35" xfId="0" applyNumberFormat="1" applyFont="1" applyFill="1" applyBorder="1" applyAlignment="1">
      <alignment horizontal="right" vertical="center"/>
    </xf>
    <xf numFmtId="179" fontId="24" fillId="13" borderId="36" xfId="0" applyNumberFormat="1" applyFont="1" applyFill="1" applyBorder="1" applyAlignment="1">
      <alignment horizontal="right" vertical="center"/>
    </xf>
    <xf numFmtId="0" fontId="26" fillId="4" borderId="14" xfId="0" applyFont="1" applyFill="1" applyBorder="1" applyAlignment="1">
      <alignment vertical="center" wrapText="1"/>
    </xf>
    <xf numFmtId="17" fontId="26" fillId="4" borderId="14" xfId="0" applyNumberFormat="1" applyFont="1" applyFill="1" applyBorder="1" applyAlignment="1">
      <alignment horizontal="right" vertical="center" wrapText="1"/>
    </xf>
    <xf numFmtId="17" fontId="26" fillId="4" borderId="37" xfId="0" applyNumberFormat="1" applyFont="1" applyFill="1" applyBorder="1" applyAlignment="1">
      <alignment horizontal="right" vertical="center" wrapText="1"/>
    </xf>
    <xf numFmtId="0" fontId="0" fillId="4" borderId="14" xfId="0" applyFont="1" applyFill="1" applyBorder="1" applyAlignment="1">
      <alignment vertical="center" wrapText="1"/>
    </xf>
    <xf numFmtId="0" fontId="0" fillId="4" borderId="14" xfId="0" applyFont="1" applyFill="1" applyBorder="1" applyAlignment="1">
      <alignment horizontal="right" vertical="center" wrapText="1"/>
    </xf>
    <xf numFmtId="0" fontId="0" fillId="4" borderId="37" xfId="0" applyFont="1" applyFill="1" applyBorder="1" applyAlignment="1">
      <alignment horizontal="right" vertical="center" wrapText="1"/>
    </xf>
    <xf numFmtId="0" fontId="0" fillId="4" borderId="0" xfId="0" applyFont="1" applyFill="1"/>
    <xf numFmtId="0" fontId="0" fillId="4" borderId="3" xfId="0" applyFont="1" applyFill="1" applyBorder="1"/>
    <xf numFmtId="170" fontId="0" fillId="4" borderId="3" xfId="0" applyNumberFormat="1" applyFont="1" applyFill="1" applyBorder="1"/>
    <xf numFmtId="0" fontId="32" fillId="13" borderId="38" xfId="0" applyFont="1" applyFill="1" applyBorder="1" applyAlignment="1">
      <alignment horizontal="left" vertical="center" indent="1"/>
    </xf>
    <xf numFmtId="179" fontId="32" fillId="13" borderId="38" xfId="0" applyNumberFormat="1" applyFont="1" applyFill="1" applyBorder="1" applyAlignment="1">
      <alignment horizontal="right" vertical="center"/>
    </xf>
    <xf numFmtId="179" fontId="32" fillId="13" borderId="39" xfId="0" applyNumberFormat="1" applyFont="1" applyFill="1" applyBorder="1" applyAlignment="1">
      <alignment horizontal="right" vertical="center"/>
    </xf>
    <xf numFmtId="0" fontId="34" fillId="4" borderId="41" xfId="0" applyFont="1" applyFill="1" applyBorder="1" applyAlignment="1">
      <alignment horizontal="left" vertical="center" wrapText="1"/>
    </xf>
    <xf numFmtId="0" fontId="0" fillId="0" borderId="0" xfId="0" applyFont="1" applyAlignment="1">
      <alignment vertical="top" wrapText="1"/>
    </xf>
    <xf numFmtId="0" fontId="37" fillId="0" borderId="0" xfId="0" applyFont="1" applyAlignment="1">
      <alignment vertical="top" wrapText="1"/>
    </xf>
    <xf numFmtId="0" fontId="26" fillId="0" borderId="46" xfId="0" applyFont="1" applyBorder="1" applyAlignment="1">
      <alignment vertical="top" wrapText="1"/>
    </xf>
    <xf numFmtId="0" fontId="26" fillId="0" borderId="47" xfId="0" applyFont="1" applyBorder="1" applyAlignment="1">
      <alignment vertical="top" wrapText="1"/>
    </xf>
    <xf numFmtId="0" fontId="0" fillId="0" borderId="48" xfId="0" applyFont="1" applyBorder="1"/>
    <xf numFmtId="0" fontId="0" fillId="0" borderId="49" xfId="0" applyFont="1" applyBorder="1"/>
    <xf numFmtId="0" fontId="0" fillId="0" borderId="27" xfId="0" applyFont="1" applyBorder="1"/>
    <xf numFmtId="0" fontId="0" fillId="0" borderId="28" xfId="0" applyFont="1" applyBorder="1"/>
    <xf numFmtId="0" fontId="0" fillId="0" borderId="29" xfId="0" applyFont="1" applyBorder="1"/>
    <xf numFmtId="0" fontId="0" fillId="0" borderId="31" xfId="0" applyFont="1" applyBorder="1"/>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3" xfId="0" applyFont="1" applyBorder="1" applyAlignment="1">
      <alignment horizontal="center" vertical="center" wrapText="1"/>
    </xf>
    <xf numFmtId="0" fontId="0" fillId="0" borderId="28" xfId="0" applyFont="1" applyBorder="1" applyAlignment="1">
      <alignment horizontal="center" vertical="center" wrapText="1"/>
    </xf>
    <xf numFmtId="0" fontId="0" fillId="0" borderId="29" xfId="0" applyFont="1" applyBorder="1" applyAlignment="1">
      <alignment horizontal="center" vertical="center" wrapText="1"/>
    </xf>
    <xf numFmtId="0" fontId="0" fillId="0" borderId="30" xfId="0" applyFont="1" applyBorder="1" applyAlignment="1">
      <alignment horizontal="center" vertical="center" wrapText="1"/>
    </xf>
    <xf numFmtId="0" fontId="0" fillId="0" borderId="31" xfId="0" applyFont="1" applyBorder="1" applyAlignment="1">
      <alignment horizontal="center" vertical="center" wrapText="1"/>
    </xf>
    <xf numFmtId="0" fontId="37" fillId="7" borderId="0" xfId="0" applyFont="1" applyFill="1" applyBorder="1" applyAlignment="1">
      <alignment horizontal="center"/>
    </xf>
    <xf numFmtId="0" fontId="37" fillId="16" borderId="22" xfId="0" applyFont="1" applyFill="1" applyBorder="1" applyAlignment="1">
      <alignment horizontal="center" vertical="top" wrapText="1"/>
    </xf>
    <xf numFmtId="0" fontId="37" fillId="17" borderId="0" xfId="0" applyFont="1" applyFill="1" applyBorder="1" applyAlignment="1">
      <alignment horizontal="center"/>
    </xf>
    <xf numFmtId="0" fontId="26" fillId="0" borderId="50" xfId="0" applyFont="1" applyBorder="1" applyAlignment="1">
      <alignment horizontal="center" vertical="center"/>
    </xf>
    <xf numFmtId="0" fontId="26" fillId="0" borderId="51" xfId="0" applyFont="1" applyBorder="1" applyAlignment="1">
      <alignment horizontal="center" vertical="center"/>
    </xf>
    <xf numFmtId="0" fontId="26" fillId="0" borderId="52" xfId="0" applyFont="1" applyBorder="1" applyAlignment="1">
      <alignment horizontal="center" vertical="center"/>
    </xf>
    <xf numFmtId="0" fontId="37" fillId="23" borderId="23" xfId="0" applyFont="1" applyFill="1" applyBorder="1" applyAlignment="1">
      <alignment horizontal="center"/>
    </xf>
    <xf numFmtId="0" fontId="0" fillId="0" borderId="23" xfId="0" applyFont="1" applyBorder="1" applyAlignment="1">
      <alignment horizontal="left" vertical="top" wrapText="1"/>
    </xf>
    <xf numFmtId="0" fontId="23" fillId="11" borderId="32" xfId="0" applyFont="1" applyFill="1" applyBorder="1" applyAlignment="1">
      <alignment horizontal="left" vertical="center" indent="1"/>
    </xf>
    <xf numFmtId="0" fontId="23" fillId="11" borderId="33" xfId="0" applyFont="1" applyFill="1" applyBorder="1" applyAlignment="1">
      <alignment horizontal="left" vertical="center" indent="1"/>
    </xf>
    <xf numFmtId="0" fontId="23" fillId="12" borderId="33" xfId="0" applyFont="1" applyFill="1" applyBorder="1" applyAlignment="1">
      <alignment horizontal="left" vertical="center" indent="1"/>
    </xf>
    <xf numFmtId="0" fontId="26" fillId="22" borderId="0" xfId="0" applyFont="1" applyFill="1" applyBorder="1" applyAlignment="1">
      <alignment vertical="center" wrapText="1"/>
    </xf>
    <xf numFmtId="0" fontId="23" fillId="11" borderId="3" xfId="0" applyFont="1" applyFill="1" applyBorder="1" applyAlignment="1">
      <alignment horizontal="center" vertical="center"/>
    </xf>
    <xf numFmtId="0" fontId="11" fillId="20" borderId="24" xfId="0" applyFont="1" applyFill="1" applyBorder="1" applyAlignment="1">
      <alignment horizontal="center" vertical="center"/>
    </xf>
    <xf numFmtId="0" fontId="26" fillId="15" borderId="23" xfId="0" applyFont="1" applyFill="1" applyBorder="1" applyAlignment="1">
      <alignment horizontal="center" vertical="center"/>
    </xf>
    <xf numFmtId="0" fontId="29" fillId="18" borderId="23" xfId="0" applyFont="1" applyFill="1" applyBorder="1" applyAlignment="1">
      <alignment horizontal="left" vertical="center" wrapText="1"/>
    </xf>
    <xf numFmtId="0" fontId="4" fillId="16" borderId="23" xfId="0" applyFont="1" applyFill="1" applyBorder="1" applyAlignment="1">
      <alignment horizontal="left" vertical="center" wrapText="1"/>
    </xf>
    <xf numFmtId="0" fontId="29" fillId="7" borderId="23" xfId="0" applyFont="1" applyFill="1" applyBorder="1" applyAlignment="1">
      <alignment horizontal="left" vertical="center" wrapText="1"/>
    </xf>
    <xf numFmtId="0" fontId="29" fillId="17" borderId="23" xfId="0" applyFont="1" applyFill="1" applyBorder="1" applyAlignment="1">
      <alignment horizontal="left" vertical="top" wrapText="1"/>
    </xf>
    <xf numFmtId="0" fontId="28" fillId="0" borderId="21" xfId="0" applyFont="1" applyBorder="1" applyAlignment="1">
      <alignment horizontal="center"/>
    </xf>
    <xf numFmtId="0" fontId="26" fillId="0" borderId="3" xfId="0" applyFont="1" applyBorder="1" applyAlignment="1">
      <alignment horizontal="center"/>
    </xf>
    <xf numFmtId="0" fontId="0" fillId="0" borderId="0" xfId="0" applyFont="1" applyBorder="1" applyAlignment="1">
      <alignment horizontal="center"/>
    </xf>
    <xf numFmtId="0" fontId="39" fillId="24" borderId="7" xfId="0" applyFont="1" applyFill="1" applyBorder="1" applyAlignment="1">
      <alignment horizontal="center"/>
    </xf>
    <xf numFmtId="10" fontId="9" fillId="24" borderId="6" xfId="0" applyNumberFormat="1" applyFont="1" applyFill="1" applyBorder="1"/>
    <xf numFmtId="0" fontId="1" fillId="24" borderId="3" xfId="0" applyFont="1" applyFill="1" applyBorder="1" applyAlignment="1">
      <alignment horizontal="center"/>
    </xf>
    <xf numFmtId="0" fontId="1" fillId="24" borderId="1" xfId="0" applyFont="1" applyFill="1" applyBorder="1" applyAlignment="1">
      <alignment horizontal="center"/>
    </xf>
    <xf numFmtId="0" fontId="11" fillId="25" borderId="3" xfId="0" applyFont="1" applyFill="1" applyBorder="1" applyAlignment="1">
      <alignment horizontal="center"/>
    </xf>
    <xf numFmtId="0" fontId="11" fillId="25" borderId="3" xfId="0" applyFont="1" applyFill="1" applyBorder="1" applyAlignment="1">
      <alignment horizontal="center"/>
    </xf>
    <xf numFmtId="0" fontId="16" fillId="26" borderId="3" xfId="0" applyFont="1" applyFill="1" applyBorder="1" applyAlignment="1">
      <alignment horizontal="center" vertical="center"/>
    </xf>
    <xf numFmtId="0" fontId="16" fillId="27" borderId="3" xfId="0" applyFont="1" applyFill="1" applyBorder="1" applyAlignment="1">
      <alignment horizontal="center" vertical="center"/>
    </xf>
    <xf numFmtId="0" fontId="16" fillId="28" borderId="3" xfId="0" applyFont="1" applyFill="1" applyBorder="1" applyAlignment="1">
      <alignment horizontal="center" vertical="center"/>
    </xf>
    <xf numFmtId="0" fontId="17" fillId="27" borderId="3" xfId="0" applyFont="1" applyFill="1" applyBorder="1" applyAlignment="1">
      <alignment horizontal="center" vertical="center" wrapText="1"/>
    </xf>
    <xf numFmtId="0" fontId="17" fillId="28" borderId="3" xfId="0" applyFont="1" applyFill="1" applyBorder="1" applyAlignment="1">
      <alignment horizontal="center" vertical="center" wrapText="1"/>
    </xf>
    <xf numFmtId="0" fontId="21" fillId="26" borderId="3" xfId="0" applyFont="1" applyFill="1" applyBorder="1" applyAlignment="1">
      <alignment horizontal="center" vertical="center"/>
    </xf>
    <xf numFmtId="0" fontId="17" fillId="26" borderId="3" xfId="0" applyFont="1" applyFill="1" applyBorder="1" applyAlignment="1">
      <alignment horizontal="center" vertical="center" wrapText="1"/>
    </xf>
    <xf numFmtId="0" fontId="22" fillId="29" borderId="3" xfId="0" applyFont="1" applyFill="1" applyBorder="1" applyAlignment="1">
      <alignment horizontal="center" vertical="center" wrapText="1"/>
    </xf>
    <xf numFmtId="0" fontId="11" fillId="25" borderId="0" xfId="0" applyFont="1" applyFill="1" applyAlignment="1">
      <alignment horizontal="center"/>
    </xf>
    <xf numFmtId="0" fontId="11" fillId="25" borderId="0" xfId="0" applyFont="1" applyFill="1"/>
    <xf numFmtId="0" fontId="13" fillId="25" borderId="0" xfId="0" applyFont="1" applyFill="1"/>
    <xf numFmtId="0" fontId="15" fillId="26" borderId="0" xfId="0" applyFont="1" applyFill="1" applyBorder="1" applyAlignment="1">
      <alignment horizontal="center" vertical="center"/>
    </xf>
    <xf numFmtId="0" fontId="23" fillId="30" borderId="3" xfId="0" applyFont="1" applyFill="1" applyBorder="1" applyAlignment="1">
      <alignment horizontal="center" vertical="center"/>
    </xf>
    <xf numFmtId="0" fontId="0" fillId="33" borderId="3" xfId="0" applyFont="1" applyFill="1" applyBorder="1"/>
    <xf numFmtId="0" fontId="13" fillId="33" borderId="3" xfId="0" applyFont="1" applyFill="1" applyBorder="1" applyAlignment="1">
      <alignment horizontal="center" vertical="center"/>
    </xf>
    <xf numFmtId="0" fontId="4" fillId="33" borderId="3" xfId="0" applyFont="1" applyFill="1" applyBorder="1"/>
    <xf numFmtId="0" fontId="13" fillId="33" borderId="3" xfId="0" applyFont="1" applyFill="1" applyBorder="1" applyAlignment="1">
      <alignment vertical="center"/>
    </xf>
    <xf numFmtId="0" fontId="13" fillId="31" borderId="3" xfId="0" applyFont="1" applyFill="1" applyBorder="1" applyAlignment="1">
      <alignment vertical="center"/>
    </xf>
    <xf numFmtId="0" fontId="13" fillId="32" borderId="3" xfId="0" applyFont="1" applyFill="1" applyBorder="1" applyAlignment="1">
      <alignment vertical="center"/>
    </xf>
    <xf numFmtId="0" fontId="4" fillId="33" borderId="3" xfId="0" applyFont="1" applyFill="1" applyBorder="1" applyAlignment="1"/>
    <xf numFmtId="0" fontId="8" fillId="34" borderId="3" xfId="0" applyFont="1" applyFill="1" applyBorder="1" applyAlignment="1">
      <alignment vertical="center"/>
    </xf>
    <xf numFmtId="179" fontId="8" fillId="34" borderId="3" xfId="0" applyNumberFormat="1" applyFont="1" applyFill="1" applyBorder="1" applyAlignment="1">
      <alignment vertical="center"/>
    </xf>
    <xf numFmtId="0" fontId="24" fillId="35" borderId="3" xfId="0" applyFont="1" applyFill="1" applyBorder="1" applyAlignment="1">
      <alignment vertical="center"/>
    </xf>
    <xf numFmtId="0" fontId="8" fillId="36" borderId="3" xfId="0" applyFont="1" applyFill="1" applyBorder="1" applyAlignment="1">
      <alignment vertical="center"/>
    </xf>
    <xf numFmtId="0" fontId="23" fillId="31" borderId="3" xfId="0" applyFont="1" applyFill="1" applyBorder="1" applyAlignment="1">
      <alignment vertical="center"/>
    </xf>
    <xf numFmtId="0" fontId="23" fillId="32" borderId="3" xfId="0" applyFont="1" applyFill="1" applyBorder="1" applyAlignment="1">
      <alignment vertical="center"/>
    </xf>
    <xf numFmtId="0" fontId="23" fillId="32" borderId="3" xfId="0" applyFont="1" applyFill="1" applyBorder="1" applyAlignment="1">
      <alignment vertical="top"/>
    </xf>
    <xf numFmtId="0" fontId="0" fillId="33" borderId="3" xfId="0" applyFont="1" applyFill="1" applyBorder="1" applyAlignment="1">
      <alignment vertical="top"/>
    </xf>
    <xf numFmtId="0" fontId="8" fillId="34" borderId="3" xfId="0" applyFont="1" applyFill="1" applyBorder="1" applyAlignment="1">
      <alignment vertical="top"/>
    </xf>
    <xf numFmtId="179" fontId="8" fillId="34" borderId="3" xfId="0" applyNumberFormat="1" applyFont="1" applyFill="1" applyBorder="1" applyAlignment="1">
      <alignment vertical="top"/>
    </xf>
    <xf numFmtId="0" fontId="8" fillId="36" borderId="3" xfId="0" applyFont="1" applyFill="1" applyBorder="1" applyAlignment="1">
      <alignment vertical="top"/>
    </xf>
    <xf numFmtId="0" fontId="24" fillId="35" borderId="3" xfId="0" applyFont="1" applyFill="1" applyBorder="1" applyAlignment="1">
      <alignment vertical="top"/>
    </xf>
    <xf numFmtId="0" fontId="23" fillId="31" borderId="3" xfId="0" applyFont="1" applyFill="1" applyBorder="1" applyAlignment="1">
      <alignment vertical="top"/>
    </xf>
    <xf numFmtId="0" fontId="13" fillId="32" borderId="3" xfId="0" applyFont="1" applyFill="1" applyBorder="1" applyAlignment="1">
      <alignment vertical="top"/>
    </xf>
    <xf numFmtId="0" fontId="13" fillId="33" borderId="3" xfId="0" applyFont="1" applyFill="1" applyBorder="1" applyAlignment="1">
      <alignment vertical="top"/>
    </xf>
    <xf numFmtId="0" fontId="4" fillId="33" borderId="3" xfId="0" applyFont="1" applyFill="1" applyBorder="1" applyAlignment="1">
      <alignment vertical="top"/>
    </xf>
    <xf numFmtId="0" fontId="4" fillId="34" borderId="3" xfId="0" applyFont="1" applyFill="1" applyBorder="1"/>
    <xf numFmtId="0" fontId="4" fillId="36" borderId="3" xfId="0" applyFont="1" applyFill="1" applyBorder="1"/>
    <xf numFmtId="0" fontId="13" fillId="35" borderId="3" xfId="0" applyFont="1" applyFill="1" applyBorder="1"/>
    <xf numFmtId="0" fontId="23" fillId="30" borderId="3" xfId="0" applyFont="1" applyFill="1" applyBorder="1" applyAlignment="1">
      <alignment horizontal="left" vertical="center" indent="1"/>
    </xf>
    <xf numFmtId="17" fontId="23" fillId="28" borderId="3" xfId="0" applyNumberFormat="1" applyFont="1" applyFill="1" applyBorder="1" applyAlignment="1">
      <alignment horizontal="center" vertical="center"/>
    </xf>
    <xf numFmtId="0" fontId="23" fillId="28" borderId="3" xfId="0" applyFont="1" applyFill="1" applyBorder="1" applyAlignment="1">
      <alignment horizontal="center" vertical="center"/>
    </xf>
    <xf numFmtId="0" fontId="23" fillId="30" borderId="3" xfId="0" applyFont="1" applyFill="1" applyBorder="1"/>
    <xf numFmtId="0" fontId="23" fillId="28" borderId="3" xfId="0" applyFont="1" applyFill="1" applyBorder="1" applyAlignment="1">
      <alignment horizontal="center"/>
    </xf>
    <xf numFmtId="0" fontId="0" fillId="30" borderId="3" xfId="0" applyFont="1" applyFill="1" applyBorder="1"/>
    <xf numFmtId="0" fontId="25" fillId="37" borderId="0" xfId="0" applyFont="1" applyFill="1" applyBorder="1" applyAlignment="1">
      <alignment horizontal="center"/>
    </xf>
    <xf numFmtId="0" fontId="40" fillId="38" borderId="3" xfId="0" applyFont="1" applyFill="1" applyBorder="1"/>
    <xf numFmtId="17" fontId="11" fillId="28" borderId="3" xfId="0" applyNumberFormat="1" applyFont="1" applyFill="1" applyBorder="1" applyAlignment="1">
      <alignment horizontal="center" vertical="center"/>
    </xf>
    <xf numFmtId="0" fontId="11" fillId="25" borderId="3" xfId="0" applyFont="1" applyFill="1" applyBorder="1"/>
    <xf numFmtId="17" fontId="11" fillId="25" borderId="3" xfId="0" applyNumberFormat="1" applyFont="1" applyFill="1" applyBorder="1"/>
    <xf numFmtId="17" fontId="11" fillId="25" borderId="3" xfId="0" applyNumberFormat="1" applyFont="1" applyFill="1" applyBorder="1" applyAlignment="1">
      <alignment horizontal="center"/>
    </xf>
    <xf numFmtId="0" fontId="0" fillId="0" borderId="3" xfId="0" applyBorder="1"/>
    <xf numFmtId="181" fontId="0" fillId="0" borderId="3" xfId="0" applyNumberFormat="1" applyFont="1" applyBorder="1"/>
    <xf numFmtId="177" fontId="0" fillId="0" borderId="3" xfId="0" applyNumberFormat="1" applyFont="1" applyBorder="1"/>
    <xf numFmtId="0" fontId="38" fillId="0" borderId="3" xfId="0" applyFont="1" applyBorder="1"/>
    <xf numFmtId="0" fontId="11" fillId="39" borderId="3" xfId="0" applyFont="1" applyFill="1" applyBorder="1"/>
    <xf numFmtId="17" fontId="11" fillId="39" borderId="3" xfId="0" applyNumberFormat="1" applyFont="1" applyFill="1" applyBorder="1"/>
    <xf numFmtId="17" fontId="11" fillId="39" borderId="17" xfId="0" applyNumberFormat="1" applyFont="1" applyFill="1" applyBorder="1"/>
    <xf numFmtId="17" fontId="11" fillId="38" borderId="3" xfId="0" applyNumberFormat="1" applyFont="1" applyFill="1" applyBorder="1"/>
    <xf numFmtId="0" fontId="11" fillId="40" borderId="3" xfId="0" applyFont="1" applyFill="1" applyBorder="1" applyAlignment="1">
      <alignment horizontal="center" vertical="center" wrapText="1"/>
    </xf>
    <xf numFmtId="0" fontId="11" fillId="40" borderId="3" xfId="0" applyFont="1" applyFill="1" applyBorder="1" applyAlignment="1">
      <alignment horizontal="right" vertical="center" wrapText="1"/>
    </xf>
    <xf numFmtId="0" fontId="11" fillId="40" borderId="17" xfId="0" applyFont="1" applyFill="1" applyBorder="1" applyAlignment="1">
      <alignment horizontal="center" vertical="center" wrapText="1"/>
    </xf>
    <xf numFmtId="0" fontId="26" fillId="41" borderId="3" xfId="0" applyFont="1" applyFill="1" applyBorder="1" applyAlignment="1">
      <alignment horizontal="center" vertical="center" wrapText="1"/>
    </xf>
    <xf numFmtId="0" fontId="0" fillId="41" borderId="3" xfId="0" applyFont="1" applyFill="1" applyBorder="1" applyAlignment="1">
      <alignment horizontal="center" vertical="center" wrapText="1"/>
    </xf>
    <xf numFmtId="183" fontId="0" fillId="41" borderId="3" xfId="0" applyNumberFormat="1" applyFont="1" applyFill="1" applyBorder="1" applyAlignment="1">
      <alignment horizontal="center" vertical="center" wrapText="1"/>
    </xf>
    <xf numFmtId="2" fontId="0" fillId="41" borderId="3" xfId="0" applyNumberFormat="1" applyFont="1" applyFill="1" applyBorder="1" applyAlignment="1">
      <alignment horizontal="center" vertical="center" wrapText="1"/>
    </xf>
    <xf numFmtId="10" fontId="0" fillId="41" borderId="3" xfId="0" applyNumberFormat="1" applyFont="1" applyFill="1" applyBorder="1" applyAlignment="1">
      <alignment horizontal="center" vertical="center" wrapText="1"/>
    </xf>
    <xf numFmtId="184" fontId="0" fillId="41" borderId="3" xfId="0" applyNumberFormat="1" applyFont="1" applyFill="1" applyBorder="1" applyAlignment="1">
      <alignment horizontal="center" vertical="center" wrapText="1"/>
    </xf>
    <xf numFmtId="0" fontId="13" fillId="41" borderId="3" xfId="0" applyFont="1" applyFill="1" applyBorder="1" applyAlignment="1">
      <alignment horizontal="right" vertical="center" wrapText="1"/>
    </xf>
    <xf numFmtId="4" fontId="4" fillId="41" borderId="3" xfId="0" applyNumberFormat="1" applyFont="1" applyFill="1" applyBorder="1" applyAlignment="1">
      <alignment horizontal="center" vertical="center" wrapText="1"/>
    </xf>
    <xf numFmtId="3" fontId="4" fillId="41" borderId="3" xfId="0" applyNumberFormat="1" applyFont="1" applyFill="1" applyBorder="1" applyAlignment="1">
      <alignment horizontal="center" vertical="center" wrapText="1"/>
    </xf>
    <xf numFmtId="10" fontId="4" fillId="41" borderId="3" xfId="0" applyNumberFormat="1" applyFont="1" applyFill="1" applyBorder="1" applyAlignment="1">
      <alignment horizontal="center" vertical="center" wrapText="1"/>
    </xf>
    <xf numFmtId="182" fontId="4" fillId="41" borderId="3" xfId="0" applyNumberFormat="1" applyFont="1" applyFill="1" applyBorder="1" applyAlignment="1">
      <alignment horizontal="center" vertical="center" wrapText="1"/>
    </xf>
    <xf numFmtId="9" fontId="4" fillId="41" borderId="3" xfId="0" applyNumberFormat="1" applyFont="1" applyFill="1" applyBorder="1" applyAlignment="1">
      <alignment horizontal="center" vertical="center" wrapText="1"/>
    </xf>
    <xf numFmtId="0" fontId="13" fillId="42" borderId="3" xfId="0" applyFont="1" applyFill="1" applyBorder="1"/>
    <xf numFmtId="179" fontId="4" fillId="34" borderId="3" xfId="0" applyNumberFormat="1" applyFont="1" applyFill="1" applyBorder="1" applyAlignment="1">
      <alignment horizontal="right" vertical="center"/>
    </xf>
    <xf numFmtId="179" fontId="13" fillId="35" borderId="3" xfId="0" applyNumberFormat="1" applyFont="1" applyFill="1" applyBorder="1" applyAlignment="1">
      <alignment horizontal="right" vertical="center"/>
    </xf>
    <xf numFmtId="179" fontId="4" fillId="36" borderId="3" xfId="0" applyNumberFormat="1" applyFont="1" applyFill="1" applyBorder="1" applyAlignment="1">
      <alignment horizontal="right" vertical="center"/>
    </xf>
    <xf numFmtId="179" fontId="4" fillId="33" borderId="3" xfId="0" applyNumberFormat="1" applyFont="1" applyFill="1" applyBorder="1" applyAlignment="1">
      <alignment horizontal="right" vertical="center"/>
    </xf>
    <xf numFmtId="0" fontId="13" fillId="31" borderId="3" xfId="0" applyFont="1" applyFill="1" applyBorder="1" applyAlignment="1">
      <alignment vertical="top"/>
    </xf>
    <xf numFmtId="0" fontId="4" fillId="34" borderId="3" xfId="0" applyFont="1" applyFill="1" applyBorder="1" applyAlignment="1">
      <alignment vertical="top"/>
    </xf>
    <xf numFmtId="0" fontId="13" fillId="35" borderId="3" xfId="0" applyFont="1" applyFill="1" applyBorder="1" applyAlignment="1">
      <alignment vertical="top"/>
    </xf>
    <xf numFmtId="0" fontId="4" fillId="36" borderId="3" xfId="0" applyFont="1" applyFill="1" applyBorder="1" applyAlignment="1">
      <alignment vertical="top"/>
    </xf>
    <xf numFmtId="0" fontId="13" fillId="32" borderId="3" xfId="0" applyFont="1" applyFill="1" applyBorder="1" applyAlignment="1">
      <alignment horizontal="left" vertical="top"/>
    </xf>
    <xf numFmtId="0" fontId="13" fillId="33" borderId="3" xfId="0" applyFont="1" applyFill="1" applyBorder="1" applyAlignment="1">
      <alignment horizontal="left" vertical="top"/>
    </xf>
    <xf numFmtId="0" fontId="4" fillId="33" borderId="3" xfId="0" applyFont="1" applyFill="1" applyBorder="1" applyAlignment="1">
      <alignment horizontal="left" vertical="top"/>
    </xf>
    <xf numFmtId="0" fontId="4" fillId="34" borderId="3" xfId="0" applyFont="1" applyFill="1" applyBorder="1" applyAlignment="1">
      <alignment horizontal="left" vertical="top"/>
    </xf>
    <xf numFmtId="179" fontId="4" fillId="34" borderId="3" xfId="0" applyNumberFormat="1" applyFont="1" applyFill="1" applyBorder="1" applyAlignment="1">
      <alignment horizontal="left" vertical="top"/>
    </xf>
    <xf numFmtId="0" fontId="4" fillId="36" borderId="3" xfId="0" applyFont="1" applyFill="1" applyBorder="1" applyAlignment="1">
      <alignment horizontal="left" vertical="top"/>
    </xf>
    <xf numFmtId="179" fontId="4" fillId="36" borderId="3" xfId="0" applyNumberFormat="1" applyFont="1" applyFill="1" applyBorder="1" applyAlignment="1">
      <alignment horizontal="left" vertical="top"/>
    </xf>
    <xf numFmtId="0" fontId="13" fillId="35" borderId="3" xfId="0" applyFont="1" applyFill="1" applyBorder="1" applyAlignment="1">
      <alignment horizontal="left" vertical="top"/>
    </xf>
    <xf numFmtId="179" fontId="13" fillId="35" borderId="3" xfId="0" applyNumberFormat="1" applyFont="1" applyFill="1" applyBorder="1" applyAlignment="1">
      <alignment horizontal="left" vertical="top"/>
    </xf>
    <xf numFmtId="0" fontId="13" fillId="31" borderId="3" xfId="0" applyFont="1" applyFill="1" applyBorder="1" applyAlignment="1">
      <alignment horizontal="left" vertical="top"/>
    </xf>
    <xf numFmtId="0" fontId="13" fillId="41" borderId="3" xfId="0" applyFont="1" applyFill="1" applyBorder="1" applyAlignment="1">
      <alignment horizontal="center" vertical="center" wrapText="1"/>
    </xf>
    <xf numFmtId="0" fontId="13" fillId="45" borderId="3" xfId="0" applyFont="1" applyFill="1" applyBorder="1"/>
    <xf numFmtId="0" fontId="4" fillId="44" borderId="3" xfId="0" applyFont="1" applyFill="1" applyBorder="1" applyAlignment="1">
      <alignment horizontal="left" vertical="center" wrapText="1"/>
    </xf>
    <xf numFmtId="4" fontId="4" fillId="44" borderId="3" xfId="0" applyNumberFormat="1" applyFont="1" applyFill="1" applyBorder="1" applyAlignment="1">
      <alignment horizontal="right" vertical="center" wrapText="1"/>
    </xf>
    <xf numFmtId="0" fontId="13" fillId="45" borderId="3" xfId="0" applyFont="1" applyFill="1" applyBorder="1" applyAlignment="1">
      <alignment horizontal="left" vertical="center" wrapText="1"/>
    </xf>
    <xf numFmtId="4" fontId="13" fillId="45" borderId="3" xfId="0" applyNumberFormat="1" applyFont="1" applyFill="1" applyBorder="1" applyAlignment="1">
      <alignment horizontal="right" vertical="center" wrapText="1"/>
    </xf>
    <xf numFmtId="0" fontId="4" fillId="46" borderId="3" xfId="0" applyFont="1" applyFill="1" applyBorder="1" applyAlignment="1">
      <alignment horizontal="left" vertical="center" wrapText="1"/>
    </xf>
    <xf numFmtId="4" fontId="4" fillId="46" borderId="3" xfId="0" applyNumberFormat="1" applyFont="1" applyFill="1" applyBorder="1" applyAlignment="1">
      <alignment horizontal="right" vertical="center" wrapText="1"/>
    </xf>
    <xf numFmtId="0" fontId="13" fillId="44" borderId="3" xfId="0" applyFont="1" applyFill="1" applyBorder="1" applyAlignment="1">
      <alignment horizontal="center"/>
    </xf>
    <xf numFmtId="17" fontId="13" fillId="41" borderId="3" xfId="0" applyNumberFormat="1" applyFont="1" applyFill="1" applyBorder="1" applyAlignment="1">
      <alignment horizontal="center" vertical="center" wrapText="1"/>
    </xf>
    <xf numFmtId="0" fontId="11" fillId="47" borderId="3" xfId="0" applyFont="1" applyFill="1" applyBorder="1" applyAlignment="1">
      <alignment horizontal="center" wrapText="1"/>
    </xf>
    <xf numFmtId="0" fontId="41" fillId="48" borderId="3" xfId="0" applyFont="1" applyFill="1" applyBorder="1" applyAlignment="1">
      <alignment horizontal="center"/>
    </xf>
    <xf numFmtId="0" fontId="41" fillId="48" borderId="3" xfId="0" applyFont="1" applyFill="1" applyBorder="1"/>
    <xf numFmtId="170" fontId="0" fillId="33" borderId="3" xfId="0" applyNumberFormat="1" applyFont="1" applyFill="1" applyBorder="1"/>
    <xf numFmtId="170" fontId="0" fillId="33" borderId="0" xfId="0" applyNumberFormat="1" applyFont="1" applyFill="1"/>
    <xf numFmtId="0" fontId="11" fillId="49" borderId="3" xfId="0" applyFont="1" applyFill="1" applyBorder="1" applyAlignment="1">
      <alignment horizontal="center"/>
    </xf>
    <xf numFmtId="0" fontId="11" fillId="47" borderId="3" xfId="0" applyFont="1" applyFill="1" applyBorder="1" applyAlignment="1">
      <alignment horizontal="center" vertical="center" wrapText="1"/>
    </xf>
    <xf numFmtId="17" fontId="11" fillId="47" borderId="3" xfId="0" applyNumberFormat="1" applyFont="1" applyFill="1" applyBorder="1" applyAlignment="1">
      <alignment horizontal="center" vertical="center" wrapText="1"/>
    </xf>
    <xf numFmtId="0" fontId="23" fillId="50" borderId="40" xfId="0" applyFont="1" applyFill="1" applyBorder="1" applyAlignment="1">
      <alignment horizontal="center" vertical="center" wrapText="1"/>
    </xf>
    <xf numFmtId="0" fontId="23" fillId="50" borderId="44" xfId="0" applyFont="1" applyFill="1" applyBorder="1" applyAlignment="1">
      <alignment horizontal="center" vertical="center" wrapText="1"/>
    </xf>
    <xf numFmtId="0" fontId="23" fillId="50" borderId="3" xfId="0" applyFont="1" applyFill="1" applyBorder="1" applyAlignment="1">
      <alignment horizontal="center" vertical="center" wrapText="1"/>
    </xf>
    <xf numFmtId="0" fontId="23" fillId="24" borderId="42" xfId="0" applyFont="1" applyFill="1" applyBorder="1" applyAlignment="1">
      <alignment horizontal="left" vertical="center" wrapText="1"/>
    </xf>
    <xf numFmtId="0" fontId="23" fillId="24" borderId="45" xfId="0" applyFont="1" applyFill="1" applyBorder="1" applyAlignment="1">
      <alignment horizontal="left" vertical="center" wrapText="1"/>
    </xf>
    <xf numFmtId="0" fontId="33" fillId="51" borderId="41" xfId="0" applyFont="1" applyFill="1" applyBorder="1" applyAlignment="1">
      <alignment horizontal="left" vertical="center" wrapText="1"/>
    </xf>
    <xf numFmtId="0" fontId="34" fillId="34" borderId="41" xfId="0" applyFont="1" applyFill="1" applyBorder="1" applyAlignment="1">
      <alignment horizontal="left" vertical="center" wrapText="1"/>
    </xf>
    <xf numFmtId="3" fontId="34" fillId="34" borderId="41" xfId="0" applyNumberFormat="1" applyFont="1" applyFill="1" applyBorder="1" applyAlignment="1">
      <alignment horizontal="left" vertical="center" wrapText="1"/>
    </xf>
    <xf numFmtId="0" fontId="35" fillId="34" borderId="41" xfId="0" applyFont="1" applyFill="1" applyBorder="1" applyAlignment="1">
      <alignment horizontal="left" vertical="center" wrapText="1"/>
    </xf>
    <xf numFmtId="3" fontId="35" fillId="34" borderId="41" xfId="0" applyNumberFormat="1" applyFont="1" applyFill="1" applyBorder="1" applyAlignment="1">
      <alignment horizontal="left" vertical="center" wrapText="1"/>
    </xf>
    <xf numFmtId="0" fontId="36" fillId="35" borderId="43" xfId="0" applyFont="1" applyFill="1" applyBorder="1" applyAlignment="1">
      <alignment horizontal="left" vertical="center" wrapText="1"/>
    </xf>
    <xf numFmtId="3" fontId="36" fillId="35" borderId="43" xfId="0" applyNumberFormat="1" applyFont="1" applyFill="1" applyBorder="1" applyAlignment="1">
      <alignment horizontal="left" vertical="center" wrapText="1"/>
    </xf>
    <xf numFmtId="0" fontId="34" fillId="52" borderId="41" xfId="0" applyFont="1" applyFill="1" applyBorder="1" applyAlignment="1">
      <alignment horizontal="left" vertical="center" wrapText="1"/>
    </xf>
    <xf numFmtId="3" fontId="34" fillId="52" borderId="41" xfId="0" applyNumberFormat="1" applyFont="1" applyFill="1" applyBorder="1" applyAlignment="1">
      <alignment horizontal="left" vertical="center" wrapText="1"/>
    </xf>
    <xf numFmtId="0" fontId="36" fillId="43" borderId="43" xfId="0" applyFont="1" applyFill="1" applyBorder="1" applyAlignment="1">
      <alignment horizontal="left" vertical="center" wrapText="1"/>
    </xf>
    <xf numFmtId="0" fontId="11" fillId="43" borderId="43" xfId="0" applyFont="1" applyFill="1" applyBorder="1" applyAlignment="1">
      <alignment horizontal="left" vertical="center" wrapText="1"/>
    </xf>
    <xf numFmtId="3" fontId="11" fillId="43" borderId="43" xfId="0" applyNumberFormat="1" applyFont="1" applyFill="1" applyBorder="1" applyAlignment="1">
      <alignment horizontal="left" vertical="center" wrapText="1"/>
    </xf>
    <xf numFmtId="0" fontId="11" fillId="24" borderId="42" xfId="0" applyFont="1" applyFill="1" applyBorder="1" applyAlignment="1">
      <alignment horizontal="left" vertical="center" wrapText="1"/>
    </xf>
    <xf numFmtId="0" fontId="23" fillId="25" borderId="40" xfId="0" applyFont="1" applyFill="1" applyBorder="1" applyAlignment="1">
      <alignment horizontal="left" vertical="center" wrapText="1"/>
    </xf>
    <xf numFmtId="3" fontId="23" fillId="25" borderId="40" xfId="0" applyNumberFormat="1" applyFont="1" applyFill="1" applyBorder="1" applyAlignment="1">
      <alignment horizontal="left" vertical="center" wrapText="1"/>
    </xf>
    <xf numFmtId="0" fontId="11" fillId="53" borderId="41" xfId="0" applyFont="1" applyFill="1" applyBorder="1" applyAlignment="1">
      <alignment horizontal="left" vertical="center" wrapText="1"/>
    </xf>
    <xf numFmtId="0" fontId="13" fillId="51" borderId="41" xfId="0" applyFont="1" applyFill="1" applyBorder="1" applyAlignment="1">
      <alignment horizontal="left" vertical="center" wrapText="1"/>
    </xf>
    <xf numFmtId="0" fontId="13" fillId="35" borderId="43" xfId="0" applyFont="1" applyFill="1" applyBorder="1" applyAlignment="1">
      <alignment horizontal="left" vertical="center" wrapText="1"/>
    </xf>
    <xf numFmtId="0" fontId="23" fillId="50" borderId="40" xfId="0" applyFont="1" applyFill="1" applyBorder="1" applyAlignment="1">
      <alignment horizontal="center" vertical="center" wrapText="1"/>
    </xf>
    <xf numFmtId="0" fontId="11" fillId="25" borderId="40" xfId="0" applyFont="1" applyFill="1" applyBorder="1" applyAlignment="1">
      <alignment horizontal="left" vertical="center" wrapText="1"/>
    </xf>
    <xf numFmtId="3" fontId="11" fillId="25" borderId="40" xfId="0" applyNumberFormat="1" applyFont="1" applyFill="1" applyBorder="1" applyAlignment="1">
      <alignment horizontal="left" vertical="center" wrapText="1"/>
    </xf>
    <xf numFmtId="0" fontId="8" fillId="4" borderId="33" xfId="0" applyFont="1" applyFill="1" applyBorder="1" applyAlignment="1">
      <alignment horizontal="center" vertical="center"/>
    </xf>
    <xf numFmtId="0" fontId="8" fillId="4" borderId="34" xfId="0" applyFont="1" applyFill="1" applyBorder="1" applyAlignment="1">
      <alignment horizontal="center" vertical="center"/>
    </xf>
    <xf numFmtId="0" fontId="8" fillId="14" borderId="33" xfId="0" applyFont="1" applyFill="1" applyBorder="1" applyAlignment="1">
      <alignment horizontal="center" vertical="center"/>
    </xf>
    <xf numFmtId="0" fontId="8" fillId="14" borderId="34" xfId="0" applyFont="1" applyFill="1" applyBorder="1" applyAlignment="1">
      <alignment horizontal="center" vertical="center"/>
    </xf>
    <xf numFmtId="4" fontId="18" fillId="0" borderId="3" xfId="0" applyNumberFormat="1" applyFont="1" applyBorder="1"/>
    <xf numFmtId="4" fontId="8" fillId="0" borderId="3" xfId="0" applyNumberFormat="1" applyFont="1" applyBorder="1"/>
    <xf numFmtId="0" fontId="8" fillId="0" borderId="3" xfId="0" applyFont="1" applyBorder="1"/>
    <xf numFmtId="4" fontId="18" fillId="4" borderId="3" xfId="0" applyNumberFormat="1" applyFont="1" applyFill="1" applyBorder="1" applyAlignment="1">
      <alignment horizontal="right" vertical="top" wrapText="1"/>
    </xf>
    <xf numFmtId="0" fontId="18" fillId="4" borderId="3" xfId="0" applyFont="1" applyFill="1" applyBorder="1" applyAlignment="1">
      <alignment horizontal="right" vertical="top" wrapText="1"/>
    </xf>
  </cellXfs>
  <cellStyles count="2">
    <cellStyle name="Normal" xfId="0" builtinId="0"/>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EAF5F2"/>
      <rgbColor rgb="001A5276"/>
      <rgbColor rgb="001D324E"/>
      <rgbColor rgb="002D5986"/>
      <rgbColor rgb="00EEEEEE"/>
      <rgbColor rgb="002F76B5"/>
      <rgbColor rgb="00BFBFBF"/>
      <rgbColor rgb="005185B5"/>
      <rgbColor rgb="00B2D4CF"/>
      <rgbColor rgb="00C55A11"/>
      <rgbColor rgb="00FFF2CC"/>
      <rgbColor rgb="00DDEBF7"/>
      <rgbColor rgb="001F3F5A"/>
      <rgbColor rgb="00D9E1F2"/>
      <rgbColor rgb="000070C0"/>
      <rgbColor rgb="00D9D9D9"/>
      <rgbColor rgb="001A3F6F"/>
      <rgbColor rgb="00E8EBEF"/>
      <rgbColor rgb="00FFF8E7"/>
      <rgbColor rgb="00D7E8F4"/>
      <rgbColor rgb="00F2F2F2"/>
      <rgbColor rgb="00F5FBF9"/>
      <rgbColor rgb="001A5C4E"/>
      <rgbColor rgb="002E5FA3"/>
      <rgbColor rgb="0000B0F0"/>
      <rgbColor rgb="00DEEBF7"/>
      <rgbColor rgb="00E2F0D9"/>
      <rgbColor rgb="00FFE699"/>
      <rgbColor rgb="0099CCFF"/>
      <rgbColor rgb="00E0E0E0"/>
      <rgbColor rgb="00B3B3B3"/>
      <rgbColor rgb="00FBE5D6"/>
      <rgbColor rgb="004472C4"/>
      <rgbColor rgb="00C8E8E2"/>
      <rgbColor rgb="00A9D18E"/>
      <rgbColor rgb="00EDEDED"/>
      <rgbColor rgb="00F09018"/>
      <rgbColor rgb="00ED7D31"/>
      <rgbColor rgb="00595959"/>
      <rgbColor rgb="00A9A9A9"/>
      <rgbColor rgb="00002060"/>
      <rgbColor rgb="002E7D6B"/>
      <rgbColor rgb="001A3A35"/>
      <rgbColor rgb="002B2B2B"/>
      <rgbColor rgb="00843C0B"/>
      <rgbColor rgb="005C3D00"/>
      <rgbColor rgb="001F3864"/>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Sales Forecasting</a:t>
            </a:r>
          </a:p>
        </c:rich>
      </c:tx>
      <c:overlay val="0"/>
      <c:spPr>
        <a:noFill/>
        <a:ln w="0">
          <a:noFill/>
        </a:ln>
      </c:spPr>
    </c:title>
    <c:autoTitleDeleted val="0"/>
    <c:plotArea>
      <c:layout/>
      <c:barChart>
        <c:barDir val="col"/>
        <c:grouping val="clustered"/>
        <c:varyColors val="0"/>
        <c:ser>
          <c:idx val="0"/>
          <c:order val="0"/>
          <c:tx>
            <c:v>Sales</c:v>
          </c:tx>
          <c:spPr>
            <a:solidFill>
              <a:srgbClr val="4472C4"/>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Forecasting!$D$10:$D$14</c:f>
              <c:numCache>
                <c:formatCode>yyyy\E</c:formatCode>
                <c:ptCount val="5"/>
                <c:pt idx="0">
                  <c:v>46446</c:v>
                </c:pt>
                <c:pt idx="1">
                  <c:v>46811</c:v>
                </c:pt>
                <c:pt idx="2">
                  <c:v>47176</c:v>
                </c:pt>
                <c:pt idx="3">
                  <c:v>47541</c:v>
                </c:pt>
                <c:pt idx="4">
                  <c:v>47906</c:v>
                </c:pt>
              </c:numCache>
            </c:numRef>
          </c:cat>
          <c:val>
            <c:numRef>
              <c:f>Forecasting!$E$10:$E$14</c:f>
              <c:numCache>
                <c:formatCode>0.00</c:formatCode>
                <c:ptCount val="5"/>
                <c:pt idx="0">
                  <c:v>50367.75</c:v>
                </c:pt>
                <c:pt idx="1">
                  <c:v>56178.04</c:v>
                </c:pt>
                <c:pt idx="2">
                  <c:v>61988.33</c:v>
                </c:pt>
                <c:pt idx="3">
                  <c:v>67798.62</c:v>
                </c:pt>
                <c:pt idx="4">
                  <c:v>73608.91</c:v>
                </c:pt>
              </c:numCache>
            </c:numRef>
          </c:val>
          <c:extLst>
            <c:ext xmlns:c16="http://schemas.microsoft.com/office/drawing/2014/chart" uri="{C3380CC4-5D6E-409C-BE32-E72D297353CC}">
              <c16:uniqueId val="{00000000-3C6E-42F0-8F85-3E6B23A99A64}"/>
            </c:ext>
          </c:extLst>
        </c:ser>
        <c:dLbls>
          <c:showLegendKey val="0"/>
          <c:showVal val="0"/>
          <c:showCatName val="0"/>
          <c:showSerName val="0"/>
          <c:showPercent val="0"/>
          <c:showBubbleSize val="0"/>
        </c:dLbls>
        <c:gapWidth val="219"/>
        <c:overlap val="-27"/>
        <c:axId val="60389925"/>
        <c:axId val="56637501"/>
      </c:barChart>
      <c:lineChart>
        <c:grouping val="standard"/>
        <c:varyColors val="0"/>
        <c:ser>
          <c:idx val="1"/>
          <c:order val="1"/>
          <c:tx>
            <c:v>Sales Forecasting Growth</c:v>
          </c:tx>
          <c:spPr>
            <a:ln w="2844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Forecasting!$D$10:$D$14</c:f>
              <c:numCache>
                <c:formatCode>yyyy\E</c:formatCode>
                <c:ptCount val="5"/>
                <c:pt idx="0">
                  <c:v>46446</c:v>
                </c:pt>
                <c:pt idx="1">
                  <c:v>46811</c:v>
                </c:pt>
                <c:pt idx="2">
                  <c:v>47176</c:v>
                </c:pt>
                <c:pt idx="3">
                  <c:v>47541</c:v>
                </c:pt>
                <c:pt idx="4">
                  <c:v>47906</c:v>
                </c:pt>
              </c:numCache>
            </c:numRef>
          </c:cat>
          <c:val>
            <c:numRef>
              <c:f>Forecasting!$F$10:$F$14</c:f>
              <c:numCache>
                <c:formatCode>0%</c:formatCode>
                <c:ptCount val="5"/>
                <c:pt idx="0">
                  <c:v>0.19051305202847699</c:v>
                </c:pt>
                <c:pt idx="1">
                  <c:v>0.115357346714912</c:v>
                </c:pt>
                <c:pt idx="2">
                  <c:v>0.103426356633304</c:v>
                </c:pt>
                <c:pt idx="3">
                  <c:v>9.3731997619552004E-2</c:v>
                </c:pt>
                <c:pt idx="4">
                  <c:v>8.5699236946120597E-2</c:v>
                </c:pt>
              </c:numCache>
            </c:numRef>
          </c:val>
          <c:smooth val="0"/>
          <c:extLst>
            <c:ext xmlns:c16="http://schemas.microsoft.com/office/drawing/2014/chart" uri="{C3380CC4-5D6E-409C-BE32-E72D297353CC}">
              <c16:uniqueId val="{00000001-3C6E-42F0-8F85-3E6B23A99A64}"/>
            </c:ext>
          </c:extLst>
        </c:ser>
        <c:dLbls>
          <c:showLegendKey val="0"/>
          <c:showVal val="0"/>
          <c:showCatName val="0"/>
          <c:showSerName val="0"/>
          <c:showPercent val="0"/>
          <c:showBubbleSize val="0"/>
        </c:dLbls>
        <c:hiLowLines>
          <c:spPr>
            <a:ln w="0" cap="flat" cmpd="sng" algn="ctr">
              <a:noFill/>
              <a:prstDash val="solid"/>
              <a:round/>
            </a:ln>
          </c:spPr>
        </c:hiLowLines>
        <c:marker val="1"/>
        <c:smooth val="0"/>
        <c:axId val="21671777"/>
        <c:axId val="67390188"/>
      </c:lineChart>
      <c:dateAx>
        <c:axId val="60389925"/>
        <c:scaling>
          <c:orientation val="minMax"/>
        </c:scaling>
        <c:delete val="0"/>
        <c:axPos val="b"/>
        <c:numFmt formatCode="yyyy\E"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56637501"/>
        <c:crosses val="autoZero"/>
        <c:auto val="1"/>
        <c:lblOffset val="100"/>
        <c:baseTimeUnit val="years"/>
      </c:dateAx>
      <c:valAx>
        <c:axId val="56637501"/>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60389925"/>
        <c:crosses val="autoZero"/>
        <c:crossBetween val="between"/>
      </c:valAx>
      <c:dateAx>
        <c:axId val="21671777"/>
        <c:scaling>
          <c:orientation val="minMax"/>
        </c:scaling>
        <c:delete val="1"/>
        <c:axPos val="b"/>
        <c:numFmt formatCode="yyyy\E" sourceLinked="1"/>
        <c:majorTickMark val="out"/>
        <c:minorTickMark val="none"/>
        <c:tickLblPos val="nextTo"/>
        <c:crossAx val="67390188"/>
        <c:crosses val="autoZero"/>
        <c:auto val="1"/>
        <c:lblOffset val="100"/>
        <c:baseTimeUnit val="years"/>
      </c:dateAx>
      <c:valAx>
        <c:axId val="67390188"/>
        <c:scaling>
          <c:orientation val="minMax"/>
        </c:scaling>
        <c:delete val="0"/>
        <c:axPos val="r"/>
        <c:numFmt formatCode="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21671777"/>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legend>
    <c:plotVisOnly val="1"/>
    <c:dispBlanksAs val="gap"/>
    <c:showDLblsOverMax val="1"/>
    <c:extLst>
      <c:ext uri="{0b15fc19-7d7d-44ad-8c2d-2c3a37ce22c3}">
        <chartProps xmlns="https://web.wps.cn/et/2018/main" chartId="{54a4e122-e5ea-4131-b484-92712a6818d9}"/>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600" b="1" i="0" u="none" strike="noStrike" kern="1200" spc="94" baseline="0">
                <a:solidFill>
                  <a:srgbClr val="F2F2F2"/>
                </a:solidFill>
                <a:latin typeface="Calibri" panose="020F0502020204030204"/>
                <a:ea typeface="+mn-ea"/>
                <a:cs typeface="+mn-cs"/>
              </a:defRPr>
            </a:pPr>
            <a:r>
              <a:rPr lang="en-IN" sz="1600" b="1" strike="noStrike" spc="94">
                <a:solidFill>
                  <a:srgbClr val="F2F2F2"/>
                </a:solidFill>
                <a:latin typeface="Calibri" panose="020F0502020204030204"/>
              </a:rPr>
              <a:t>EBITDA Forecasting</a:t>
            </a:r>
          </a:p>
        </c:rich>
      </c:tx>
      <c:overlay val="0"/>
      <c:spPr>
        <a:noFill/>
        <a:ln w="0">
          <a:noFill/>
        </a:ln>
      </c:spPr>
    </c:title>
    <c:autoTitleDeleted val="0"/>
    <c:plotArea>
      <c:layout/>
      <c:barChart>
        <c:barDir val="col"/>
        <c:grouping val="clustered"/>
        <c:varyColors val="0"/>
        <c:ser>
          <c:idx val="0"/>
          <c:order val="0"/>
          <c:tx>
            <c:v>EBITDA DATA</c:v>
          </c:tx>
          <c:spPr>
            <a:gradFill>
              <a:gsLst>
                <a:gs pos="0">
                  <a:srgbClr val="6383CA"/>
                </a:gs>
                <a:gs pos="50000">
                  <a:srgbClr val="4371C3"/>
                </a:gs>
                <a:gs pos="100000">
                  <a:srgbClr val="3C65AD"/>
                </a:gs>
              </a:gsLst>
              <a:lin ang="5400000"/>
            </a:gra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Forecasting!$I$5:$I$14</c:f>
              <c:numCache>
                <c:formatCode>yyyy\A</c:formatCode>
                <c:ptCount val="10"/>
                <c:pt idx="0">
                  <c:v>44621</c:v>
                </c:pt>
                <c:pt idx="1">
                  <c:v>44986</c:v>
                </c:pt>
                <c:pt idx="2">
                  <c:v>45351</c:v>
                </c:pt>
                <c:pt idx="3">
                  <c:v>45716</c:v>
                </c:pt>
                <c:pt idx="4">
                  <c:v>46081</c:v>
                </c:pt>
                <c:pt idx="5" formatCode="yyyy\E">
                  <c:v>46446</c:v>
                </c:pt>
                <c:pt idx="6" formatCode="yyyy\E">
                  <c:v>46811</c:v>
                </c:pt>
                <c:pt idx="7" formatCode="yyyy\E">
                  <c:v>47176</c:v>
                </c:pt>
                <c:pt idx="8" formatCode="yyyy\E">
                  <c:v>47541</c:v>
                </c:pt>
                <c:pt idx="9" formatCode="yyyy\E">
                  <c:v>47906</c:v>
                </c:pt>
              </c:numCache>
            </c:numRef>
          </c:cat>
          <c:val>
            <c:numRef>
              <c:f>Forecasting!$J$5:$J$14</c:f>
              <c:numCache>
                <c:formatCode>#,##0.00</c:formatCode>
                <c:ptCount val="10"/>
                <c:pt idx="0">
                  <c:v>3058.4</c:v>
                </c:pt>
                <c:pt idx="1">
                  <c:v>6107.7</c:v>
                </c:pt>
                <c:pt idx="2">
                  <c:v>6387.4</c:v>
                </c:pt>
                <c:pt idx="3">
                  <c:v>6494.9</c:v>
                </c:pt>
                <c:pt idx="4" formatCode="0.00">
                  <c:v>7555.2</c:v>
                </c:pt>
                <c:pt idx="5" formatCode="0.00">
                  <c:v>8734.9599999999991</c:v>
                </c:pt>
                <c:pt idx="6" formatCode="0.00">
                  <c:v>9673.0400000000009</c:v>
                </c:pt>
                <c:pt idx="7" formatCode="0.00">
                  <c:v>10611.12</c:v>
                </c:pt>
                <c:pt idx="8" formatCode="0.00">
                  <c:v>11549.2</c:v>
                </c:pt>
                <c:pt idx="9" formatCode="0.00">
                  <c:v>12487.28</c:v>
                </c:pt>
              </c:numCache>
            </c:numRef>
          </c:val>
          <c:extLst>
            <c:ext xmlns:c16="http://schemas.microsoft.com/office/drawing/2014/chart" uri="{C3380CC4-5D6E-409C-BE32-E72D297353CC}">
              <c16:uniqueId val="{00000000-EEC7-4F16-95E1-8A4257BA249B}"/>
            </c:ext>
          </c:extLst>
        </c:ser>
        <c:dLbls>
          <c:showLegendKey val="0"/>
          <c:showVal val="0"/>
          <c:showCatName val="0"/>
          <c:showSerName val="0"/>
          <c:showPercent val="0"/>
          <c:showBubbleSize val="0"/>
        </c:dLbls>
        <c:gapWidth val="219"/>
        <c:overlap val="-27"/>
        <c:axId val="26258867"/>
        <c:axId val="68839061"/>
      </c:barChart>
      <c:lineChart>
        <c:grouping val="standard"/>
        <c:varyColors val="0"/>
        <c:ser>
          <c:idx val="1"/>
          <c:order val="1"/>
          <c:tx>
            <c:v>EBITDA Forecasting Growth</c:v>
          </c:tx>
          <c:spPr>
            <a:ln w="3492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Forecasting!$I$5:$I$14</c:f>
              <c:numCache>
                <c:formatCode>yyyy\A</c:formatCode>
                <c:ptCount val="10"/>
                <c:pt idx="0">
                  <c:v>44621</c:v>
                </c:pt>
                <c:pt idx="1">
                  <c:v>44986</c:v>
                </c:pt>
                <c:pt idx="2">
                  <c:v>45351</c:v>
                </c:pt>
                <c:pt idx="3">
                  <c:v>45716</c:v>
                </c:pt>
                <c:pt idx="4">
                  <c:v>46081</c:v>
                </c:pt>
                <c:pt idx="5" formatCode="yyyy\E">
                  <c:v>46446</c:v>
                </c:pt>
                <c:pt idx="6" formatCode="yyyy\E">
                  <c:v>46811</c:v>
                </c:pt>
                <c:pt idx="7" formatCode="yyyy\E">
                  <c:v>47176</c:v>
                </c:pt>
                <c:pt idx="8" formatCode="yyyy\E">
                  <c:v>47541</c:v>
                </c:pt>
                <c:pt idx="9" formatCode="yyyy\E">
                  <c:v>47906</c:v>
                </c:pt>
              </c:numCache>
            </c:numRef>
          </c:cat>
          <c:val>
            <c:numRef>
              <c:f>Forecasting!$K$5:$K$14</c:f>
              <c:numCache>
                <c:formatCode>0%</c:formatCode>
                <c:ptCount val="10"/>
                <c:pt idx="1">
                  <c:v>0.99702458801987903</c:v>
                </c:pt>
                <c:pt idx="2">
                  <c:v>4.5794652651571698E-2</c:v>
                </c:pt>
                <c:pt idx="3">
                  <c:v>1.68300090803764E-2</c:v>
                </c:pt>
                <c:pt idx="4">
                  <c:v>0.16325116629971201</c:v>
                </c:pt>
                <c:pt idx="5">
                  <c:v>0.15615205421431599</c:v>
                </c:pt>
                <c:pt idx="6">
                  <c:v>0.10739373734968501</c:v>
                </c:pt>
                <c:pt idx="7">
                  <c:v>9.6978819481776002E-2</c:v>
                </c:pt>
                <c:pt idx="8">
                  <c:v>8.84053709693228E-2</c:v>
                </c:pt>
                <c:pt idx="9">
                  <c:v>8.1224673570463798E-2</c:v>
                </c:pt>
              </c:numCache>
            </c:numRef>
          </c:val>
          <c:smooth val="0"/>
          <c:extLst>
            <c:ext xmlns:c16="http://schemas.microsoft.com/office/drawing/2014/chart" uri="{C3380CC4-5D6E-409C-BE32-E72D297353CC}">
              <c16:uniqueId val="{00000001-EEC7-4F16-95E1-8A4257BA249B}"/>
            </c:ext>
          </c:extLst>
        </c:ser>
        <c:dLbls>
          <c:showLegendKey val="0"/>
          <c:showVal val="0"/>
          <c:showCatName val="0"/>
          <c:showSerName val="0"/>
          <c:showPercent val="0"/>
          <c:showBubbleSize val="0"/>
        </c:dLbls>
        <c:hiLowLines>
          <c:spPr>
            <a:ln w="0" cap="flat" cmpd="sng" algn="ctr">
              <a:noFill/>
              <a:prstDash val="solid"/>
              <a:round/>
            </a:ln>
          </c:spPr>
        </c:hiLowLines>
        <c:marker val="1"/>
        <c:smooth val="0"/>
        <c:axId val="83215668"/>
        <c:axId val="18650816"/>
      </c:lineChart>
      <c:dateAx>
        <c:axId val="26258867"/>
        <c:scaling>
          <c:orientation val="minMax"/>
        </c:scaling>
        <c:delete val="0"/>
        <c:axPos val="b"/>
        <c:numFmt formatCode="yyyy\A" sourceLinked="0"/>
        <c:majorTickMark val="out"/>
        <c:minorTickMark val="none"/>
        <c:tickLblPos val="nextTo"/>
        <c:spPr>
          <a:ln w="12600" cap="flat" cmpd="sng" algn="ctr">
            <a:solidFill>
              <a:srgbClr val="F2F2F2"/>
            </a:solidFill>
            <a:prstDash val="solid"/>
            <a:round/>
          </a:ln>
        </c:spPr>
        <c:txPr>
          <a:bodyPr rot="-6000000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crossAx val="68839061"/>
        <c:crosses val="autoZero"/>
        <c:auto val="1"/>
        <c:lblOffset val="100"/>
        <c:baseTimeUnit val="years"/>
      </c:dateAx>
      <c:valAx>
        <c:axId val="68839061"/>
        <c:scaling>
          <c:orientation val="minMax"/>
        </c:scaling>
        <c:delete val="0"/>
        <c:axPos val="l"/>
        <c:majorGridlines>
          <c:spPr>
            <a:ln w="9360" cap="flat" cmpd="sng" algn="ctr">
              <a:solidFill>
                <a:srgbClr val="F2F2F2"/>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crossAx val="26258867"/>
        <c:crosses val="autoZero"/>
        <c:crossBetween val="between"/>
      </c:valAx>
      <c:dateAx>
        <c:axId val="83215668"/>
        <c:scaling>
          <c:orientation val="minMax"/>
        </c:scaling>
        <c:delete val="1"/>
        <c:axPos val="b"/>
        <c:numFmt formatCode="yyyy\A" sourceLinked="1"/>
        <c:majorTickMark val="out"/>
        <c:minorTickMark val="none"/>
        <c:tickLblPos val="nextTo"/>
        <c:crossAx val="18650816"/>
        <c:crosses val="autoZero"/>
        <c:auto val="1"/>
        <c:lblOffset val="100"/>
        <c:baseTimeUnit val="years"/>
      </c:dateAx>
      <c:valAx>
        <c:axId val="18650816"/>
        <c:scaling>
          <c:orientation val="minMax"/>
        </c:scaling>
        <c:delete val="0"/>
        <c:axPos val="r"/>
        <c:numFmt formatCode="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crossAx val="83215668"/>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legend>
    <c:plotVisOnly val="1"/>
    <c:dispBlanksAs val="gap"/>
    <c:showDLblsOverMax val="1"/>
    <c:extLst>
      <c:ext uri="{0b15fc19-7d7d-44ad-8c2d-2c3a37ce22c3}">
        <chartProps xmlns="https://web.wps.cn/et/2018/main" chartId="{c2f49bb3-a2c2-43ed-98ec-dda99d434299}"/>
      </c:ext>
    </c:extLst>
  </c:chart>
  <c:spPr>
    <a:gradFill>
      <a:gsLst>
        <a:gs pos="0">
          <a:srgbClr val="595959"/>
        </a:gs>
        <a:gs pos="100000">
          <a:srgbClr val="262626"/>
        </a:gs>
      </a:gsLst>
      <a:path path="circle">
        <a:fillToRect l="50000" t="50000" r="50000" b="50000"/>
      </a:path>
    </a:gradFill>
    <a:ln w="9360" cap="flat" cmpd="sng" algn="ctr">
      <a:noFill/>
      <a:prstDash val="solid"/>
      <a:round/>
    </a:ln>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EPS Forecasting</a:t>
            </a:r>
          </a:p>
        </c:rich>
      </c:tx>
      <c:overlay val="0"/>
      <c:spPr>
        <a:noFill/>
        <a:ln w="0">
          <a:noFill/>
        </a:ln>
      </c:spPr>
    </c:title>
    <c:autoTitleDeleted val="0"/>
    <c:plotArea>
      <c:layout/>
      <c:barChart>
        <c:barDir val="col"/>
        <c:grouping val="clustered"/>
        <c:varyColors val="0"/>
        <c:ser>
          <c:idx val="0"/>
          <c:order val="0"/>
          <c:tx>
            <c:v>EPS</c:v>
          </c:tx>
          <c:spPr>
            <a:solidFill>
              <a:srgbClr val="4472C4"/>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Forecasting!$N$10:$N$14</c:f>
              <c:numCache>
                <c:formatCode>yyyy\E</c:formatCode>
                <c:ptCount val="5"/>
                <c:pt idx="0">
                  <c:v>46446</c:v>
                </c:pt>
                <c:pt idx="1">
                  <c:v>46811</c:v>
                </c:pt>
                <c:pt idx="2">
                  <c:v>47176</c:v>
                </c:pt>
                <c:pt idx="3">
                  <c:v>47541</c:v>
                </c:pt>
                <c:pt idx="4">
                  <c:v>47906</c:v>
                </c:pt>
              </c:numCache>
            </c:numRef>
          </c:cat>
          <c:val>
            <c:numRef>
              <c:f>Forecasting!$O$10:$O$14</c:f>
              <c:numCache>
                <c:formatCode>0.00</c:formatCode>
                <c:ptCount val="5"/>
                <c:pt idx="0">
                  <c:v>176.4</c:v>
                </c:pt>
                <c:pt idx="1">
                  <c:v>184.6</c:v>
                </c:pt>
                <c:pt idx="2">
                  <c:v>192.8</c:v>
                </c:pt>
                <c:pt idx="3">
                  <c:v>201</c:v>
                </c:pt>
                <c:pt idx="4">
                  <c:v>209.2</c:v>
                </c:pt>
              </c:numCache>
            </c:numRef>
          </c:val>
          <c:extLst>
            <c:ext xmlns:c16="http://schemas.microsoft.com/office/drawing/2014/chart" uri="{C3380CC4-5D6E-409C-BE32-E72D297353CC}">
              <c16:uniqueId val="{00000000-2938-4791-B684-217EDABF818A}"/>
            </c:ext>
          </c:extLst>
        </c:ser>
        <c:dLbls>
          <c:showLegendKey val="0"/>
          <c:showVal val="0"/>
          <c:showCatName val="0"/>
          <c:showSerName val="0"/>
          <c:showPercent val="0"/>
          <c:showBubbleSize val="0"/>
        </c:dLbls>
        <c:gapWidth val="219"/>
        <c:overlap val="-27"/>
        <c:axId val="9593769"/>
        <c:axId val="95010021"/>
      </c:barChart>
      <c:lineChart>
        <c:grouping val="standard"/>
        <c:varyColors val="0"/>
        <c:ser>
          <c:idx val="1"/>
          <c:order val="1"/>
          <c:tx>
            <c:v>EPS Forecasting</c:v>
          </c:tx>
          <c:spPr>
            <a:ln w="2844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Forecasting!$N$10:$N$14</c:f>
              <c:numCache>
                <c:formatCode>yyyy\E</c:formatCode>
                <c:ptCount val="5"/>
                <c:pt idx="0">
                  <c:v>46446</c:v>
                </c:pt>
                <c:pt idx="1">
                  <c:v>46811</c:v>
                </c:pt>
                <c:pt idx="2">
                  <c:v>47176</c:v>
                </c:pt>
                <c:pt idx="3">
                  <c:v>47541</c:v>
                </c:pt>
                <c:pt idx="4">
                  <c:v>47906</c:v>
                </c:pt>
              </c:numCache>
            </c:numRef>
          </c:cat>
          <c:val>
            <c:numRef>
              <c:f>Forecasting!$P$10:$P$14</c:f>
              <c:numCache>
                <c:formatCode>0%</c:formatCode>
                <c:ptCount val="5"/>
                <c:pt idx="0">
                  <c:v>4.3786982248520699E-2</c:v>
                </c:pt>
                <c:pt idx="1">
                  <c:v>4.6485260770975E-2</c:v>
                </c:pt>
                <c:pt idx="2">
                  <c:v>4.4420368364030398E-2</c:v>
                </c:pt>
                <c:pt idx="3">
                  <c:v>4.2531120331950098E-2</c:v>
                </c:pt>
                <c:pt idx="4">
                  <c:v>4.0796019900497499E-2</c:v>
                </c:pt>
              </c:numCache>
            </c:numRef>
          </c:val>
          <c:smooth val="0"/>
          <c:extLst>
            <c:ext xmlns:c16="http://schemas.microsoft.com/office/drawing/2014/chart" uri="{C3380CC4-5D6E-409C-BE32-E72D297353CC}">
              <c16:uniqueId val="{00000001-2938-4791-B684-217EDABF818A}"/>
            </c:ext>
          </c:extLst>
        </c:ser>
        <c:dLbls>
          <c:showLegendKey val="0"/>
          <c:showVal val="0"/>
          <c:showCatName val="0"/>
          <c:showSerName val="0"/>
          <c:showPercent val="0"/>
          <c:showBubbleSize val="0"/>
        </c:dLbls>
        <c:hiLowLines>
          <c:spPr>
            <a:ln w="0" cap="flat" cmpd="sng" algn="ctr">
              <a:noFill/>
              <a:prstDash val="solid"/>
              <a:round/>
            </a:ln>
          </c:spPr>
        </c:hiLowLines>
        <c:marker val="1"/>
        <c:smooth val="0"/>
        <c:axId val="77411917"/>
        <c:axId val="15675356"/>
      </c:lineChart>
      <c:dateAx>
        <c:axId val="9593769"/>
        <c:scaling>
          <c:orientation val="minMax"/>
        </c:scaling>
        <c:delete val="0"/>
        <c:axPos val="b"/>
        <c:numFmt formatCode="yyyy\E"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95010021"/>
        <c:crosses val="autoZero"/>
        <c:auto val="1"/>
        <c:lblOffset val="100"/>
        <c:baseTimeUnit val="years"/>
      </c:dateAx>
      <c:valAx>
        <c:axId val="95010021"/>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9593769"/>
        <c:crosses val="autoZero"/>
        <c:crossBetween val="between"/>
      </c:valAx>
      <c:dateAx>
        <c:axId val="77411917"/>
        <c:scaling>
          <c:orientation val="minMax"/>
        </c:scaling>
        <c:delete val="1"/>
        <c:axPos val="b"/>
        <c:numFmt formatCode="yyyy\E" sourceLinked="1"/>
        <c:majorTickMark val="out"/>
        <c:minorTickMark val="none"/>
        <c:tickLblPos val="nextTo"/>
        <c:crossAx val="15675356"/>
        <c:crosses val="autoZero"/>
        <c:auto val="1"/>
        <c:lblOffset val="100"/>
        <c:baseTimeUnit val="years"/>
      </c:dateAx>
      <c:valAx>
        <c:axId val="15675356"/>
        <c:scaling>
          <c:orientation val="minMax"/>
        </c:scaling>
        <c:delete val="0"/>
        <c:axPos val="r"/>
        <c:numFmt formatCode="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77411917"/>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legend>
    <c:plotVisOnly val="1"/>
    <c:dispBlanksAs val="gap"/>
    <c:showDLblsOverMax val="1"/>
    <c:extLst>
      <c:ext uri="{0b15fc19-7d7d-44ad-8c2d-2c3a37ce22c3}">
        <chartProps xmlns="https://web.wps.cn/et/2018/main" chartId="{8220f0cd-c46d-4dee-a874-ea953ab11b4c}"/>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2.GIF"/></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7560</xdr:colOff>
      <xdr:row>1</xdr:row>
      <xdr:rowOff>7560</xdr:rowOff>
    </xdr:from>
    <xdr:to>
      <xdr:col>9</xdr:col>
      <xdr:colOff>84960</xdr:colOff>
      <xdr:row>10</xdr:row>
      <xdr:rowOff>174600</xdr:rowOff>
    </xdr:to>
    <xdr:pic>
      <xdr:nvPicPr>
        <xdr:cNvPr id="2" name="Picture 1" descr="LTIMindtree is now LTM | It's time to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384425" y="189865"/>
          <a:ext cx="6043930" cy="181292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69840</xdr:colOff>
      <xdr:row>2</xdr:row>
      <xdr:rowOff>69840</xdr:rowOff>
    </xdr:to>
    <xdr:pic>
      <xdr:nvPicPr>
        <xdr:cNvPr id="2" name="Picture 5">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0" y="476250"/>
          <a:ext cx="69215" cy="69215"/>
        </a:xfrm>
        <a:prstGeom prst="rect">
          <a:avLst/>
        </a:prstGeom>
        <a:ln w="0">
          <a:noFill/>
        </a:ln>
      </xdr:spPr>
    </xdr:pic>
    <xdr:clientData/>
  </xdr:twoCellAnchor>
  <xdr:twoCellAnchor editAs="oneCell">
    <xdr:from>
      <xdr:col>4</xdr:col>
      <xdr:colOff>0</xdr:colOff>
      <xdr:row>3</xdr:row>
      <xdr:rowOff>0</xdr:rowOff>
    </xdr:from>
    <xdr:to>
      <xdr:col>4</xdr:col>
      <xdr:colOff>69840</xdr:colOff>
      <xdr:row>3</xdr:row>
      <xdr:rowOff>69840</xdr:rowOff>
    </xdr:to>
    <xdr:pic>
      <xdr:nvPicPr>
        <xdr:cNvPr id="3" name="Picture 6">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0" y="676275"/>
          <a:ext cx="69215" cy="69215"/>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69840</xdr:colOff>
      <xdr:row>2</xdr:row>
      <xdr:rowOff>69840</xdr:rowOff>
    </xdr:to>
    <xdr:pic>
      <xdr:nvPicPr>
        <xdr:cNvPr id="3" name="Picture 1">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a:stretch>
          <a:fillRect/>
        </a:stretch>
      </xdr:blipFill>
      <xdr:spPr>
        <a:xfrm>
          <a:off x="0" y="375285"/>
          <a:ext cx="69215" cy="69215"/>
        </a:xfrm>
        <a:prstGeom prst="rect">
          <a:avLst/>
        </a:prstGeom>
        <a:ln w="0">
          <a:noFill/>
        </a:ln>
      </xdr:spPr>
    </xdr:pic>
    <xdr:clientData/>
  </xdr:twoCellAnchor>
  <xdr:twoCellAnchor editAs="oneCell">
    <xdr:from>
      <xdr:col>4</xdr:col>
      <xdr:colOff>0</xdr:colOff>
      <xdr:row>3</xdr:row>
      <xdr:rowOff>0</xdr:rowOff>
    </xdr:from>
    <xdr:to>
      <xdr:col>4</xdr:col>
      <xdr:colOff>69840</xdr:colOff>
      <xdr:row>3</xdr:row>
      <xdr:rowOff>69840</xdr:rowOff>
    </xdr:to>
    <xdr:pic>
      <xdr:nvPicPr>
        <xdr:cNvPr id="4" name="Picture 2">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a:stretch>
          <a:fillRect/>
        </a:stretch>
      </xdr:blipFill>
      <xdr:spPr>
        <a:xfrm>
          <a:off x="0" y="558165"/>
          <a:ext cx="69215" cy="69215"/>
        </a:xfrm>
        <a:prstGeom prst="rect">
          <a:avLst/>
        </a:prstGeom>
        <a:ln w="0">
          <a:noFill/>
        </a:ln>
      </xdr:spPr>
    </xdr:pic>
    <xdr:clientData/>
  </xdr:twoCellAnchor>
  <xdr:twoCellAnchor editAs="oneCell">
    <xdr:from>
      <xdr:col>4</xdr:col>
      <xdr:colOff>0</xdr:colOff>
      <xdr:row>17</xdr:row>
      <xdr:rowOff>0</xdr:rowOff>
    </xdr:from>
    <xdr:to>
      <xdr:col>4</xdr:col>
      <xdr:colOff>69840</xdr:colOff>
      <xdr:row>17</xdr:row>
      <xdr:rowOff>44640</xdr:rowOff>
    </xdr:to>
    <xdr:pic>
      <xdr:nvPicPr>
        <xdr:cNvPr id="5" name="Picture 3">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a:fillRect/>
        </a:stretch>
      </xdr:blipFill>
      <xdr:spPr>
        <a:xfrm>
          <a:off x="0" y="3175635"/>
          <a:ext cx="69215" cy="44450"/>
        </a:xfrm>
        <a:prstGeom prst="rect">
          <a:avLst/>
        </a:prstGeom>
        <a:ln w="0">
          <a:noFill/>
        </a:ln>
      </xdr:spPr>
    </xdr:pic>
    <xdr:clientData/>
  </xdr:twoCellAnchor>
  <xdr:twoCellAnchor editAs="oneCell">
    <xdr:from>
      <xdr:col>4</xdr:col>
      <xdr:colOff>0</xdr:colOff>
      <xdr:row>19</xdr:row>
      <xdr:rowOff>0</xdr:rowOff>
    </xdr:from>
    <xdr:to>
      <xdr:col>4</xdr:col>
      <xdr:colOff>69840</xdr:colOff>
      <xdr:row>19</xdr:row>
      <xdr:rowOff>44640</xdr:rowOff>
    </xdr:to>
    <xdr:pic>
      <xdr:nvPicPr>
        <xdr:cNvPr id="6" name="Picture 4">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a:fillRect/>
        </a:stretch>
      </xdr:blipFill>
      <xdr:spPr>
        <a:xfrm>
          <a:off x="0" y="3541395"/>
          <a:ext cx="69215" cy="44450"/>
        </a:xfrm>
        <a:prstGeom prst="rect">
          <a:avLst/>
        </a:prstGeom>
        <a:ln w="0">
          <a:noFill/>
        </a:ln>
      </xdr:spPr>
    </xdr:pic>
    <xdr:clientData/>
  </xdr:twoCellAnchor>
  <xdr:twoCellAnchor editAs="oneCell">
    <xdr:from>
      <xdr:col>4</xdr:col>
      <xdr:colOff>0</xdr:colOff>
      <xdr:row>30</xdr:row>
      <xdr:rowOff>0</xdr:rowOff>
    </xdr:from>
    <xdr:to>
      <xdr:col>4</xdr:col>
      <xdr:colOff>69840</xdr:colOff>
      <xdr:row>30</xdr:row>
      <xdr:rowOff>47520</xdr:rowOff>
    </xdr:to>
    <xdr:pic>
      <xdr:nvPicPr>
        <xdr:cNvPr id="7" name="Picture 5">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a:stretch>
          <a:fillRect/>
        </a:stretch>
      </xdr:blipFill>
      <xdr:spPr>
        <a:xfrm>
          <a:off x="0" y="5629275"/>
          <a:ext cx="69215" cy="46990"/>
        </a:xfrm>
        <a:prstGeom prst="rect">
          <a:avLst/>
        </a:prstGeom>
        <a:ln w="0">
          <a:noFill/>
        </a:ln>
      </xdr:spPr>
    </xdr:pic>
    <xdr:clientData/>
  </xdr:twoCellAnchor>
  <xdr:twoCellAnchor editAs="oneCell">
    <xdr:from>
      <xdr:col>4</xdr:col>
      <xdr:colOff>0</xdr:colOff>
      <xdr:row>32</xdr:row>
      <xdr:rowOff>0</xdr:rowOff>
    </xdr:from>
    <xdr:to>
      <xdr:col>4</xdr:col>
      <xdr:colOff>69840</xdr:colOff>
      <xdr:row>32</xdr:row>
      <xdr:rowOff>47520</xdr:rowOff>
    </xdr:to>
    <xdr:pic>
      <xdr:nvPicPr>
        <xdr:cNvPr id="8" name="Picture 6">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1"/>
        <a:stretch>
          <a:fillRect/>
        </a:stretch>
      </xdr:blipFill>
      <xdr:spPr>
        <a:xfrm>
          <a:off x="0" y="5995035"/>
          <a:ext cx="69215" cy="4699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69840</xdr:colOff>
      <xdr:row>2</xdr:row>
      <xdr:rowOff>69840</xdr:rowOff>
    </xdr:to>
    <xdr:pic>
      <xdr:nvPicPr>
        <xdr:cNvPr id="9" name="Picture 1">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1"/>
        <a:stretch>
          <a:fillRect/>
        </a:stretch>
      </xdr:blipFill>
      <xdr:spPr>
        <a:xfrm>
          <a:off x="0" y="476250"/>
          <a:ext cx="69215" cy="69215"/>
        </a:xfrm>
        <a:prstGeom prst="rect">
          <a:avLst/>
        </a:prstGeom>
        <a:ln w="0">
          <a:noFill/>
        </a:ln>
      </xdr:spPr>
    </xdr:pic>
    <xdr:clientData/>
  </xdr:twoCellAnchor>
  <xdr:twoCellAnchor editAs="oneCell">
    <xdr:from>
      <xdr:col>4</xdr:col>
      <xdr:colOff>0</xdr:colOff>
      <xdr:row>3</xdr:row>
      <xdr:rowOff>0</xdr:rowOff>
    </xdr:from>
    <xdr:to>
      <xdr:col>4</xdr:col>
      <xdr:colOff>69840</xdr:colOff>
      <xdr:row>3</xdr:row>
      <xdr:rowOff>69840</xdr:rowOff>
    </xdr:to>
    <xdr:pic>
      <xdr:nvPicPr>
        <xdr:cNvPr id="10" name="Picture 2">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1"/>
        <a:stretch>
          <a:fillRect/>
        </a:stretch>
      </xdr:blipFill>
      <xdr:spPr>
        <a:xfrm>
          <a:off x="0" y="676275"/>
          <a:ext cx="69215" cy="69215"/>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69840</xdr:colOff>
      <xdr:row>2</xdr:row>
      <xdr:rowOff>69840</xdr:rowOff>
    </xdr:to>
    <xdr:pic>
      <xdr:nvPicPr>
        <xdr:cNvPr id="11" name="Picture 1">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
        <a:stretch>
          <a:fillRect/>
        </a:stretch>
      </xdr:blipFill>
      <xdr:spPr>
        <a:xfrm>
          <a:off x="0" y="476250"/>
          <a:ext cx="69215" cy="69215"/>
        </a:xfrm>
        <a:prstGeom prst="rect">
          <a:avLst/>
        </a:prstGeom>
        <a:ln w="0">
          <a:noFill/>
        </a:ln>
      </xdr:spPr>
    </xdr:pic>
    <xdr:clientData/>
  </xdr:twoCellAnchor>
  <xdr:twoCellAnchor editAs="oneCell">
    <xdr:from>
      <xdr:col>3</xdr:col>
      <xdr:colOff>0</xdr:colOff>
      <xdr:row>3</xdr:row>
      <xdr:rowOff>0</xdr:rowOff>
    </xdr:from>
    <xdr:to>
      <xdr:col>3</xdr:col>
      <xdr:colOff>69840</xdr:colOff>
      <xdr:row>3</xdr:row>
      <xdr:rowOff>69840</xdr:rowOff>
    </xdr:to>
    <xdr:pic>
      <xdr:nvPicPr>
        <xdr:cNvPr id="12" name="Picture 2">
          <a:extLst>
            <a:ext uri="{FF2B5EF4-FFF2-40B4-BE49-F238E27FC236}">
              <a16:creationId xmlns:a16="http://schemas.microsoft.com/office/drawing/2014/main" id="{00000000-0008-0000-0800-00000C000000}"/>
            </a:ext>
          </a:extLst>
        </xdr:cNvPr>
        <xdr:cNvPicPr/>
      </xdr:nvPicPr>
      <xdr:blipFill>
        <a:blip xmlns:r="http://schemas.openxmlformats.org/officeDocument/2006/relationships" r:embed="rId1"/>
        <a:stretch>
          <a:fillRect/>
        </a:stretch>
      </xdr:blipFill>
      <xdr:spPr>
        <a:xfrm>
          <a:off x="0" y="676275"/>
          <a:ext cx="69215" cy="69215"/>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23040</xdr:rowOff>
    </xdr:from>
    <xdr:to>
      <xdr:col>9</xdr:col>
      <xdr:colOff>338760</xdr:colOff>
      <xdr:row>20</xdr:row>
      <xdr:rowOff>140760</xdr:rowOff>
    </xdr:to>
    <xdr:pic>
      <xdr:nvPicPr>
        <xdr:cNvPr id="13" name="Picture 1">
          <a:extLst>
            <a:ext uri="{FF2B5EF4-FFF2-40B4-BE49-F238E27FC236}">
              <a16:creationId xmlns:a16="http://schemas.microsoft.com/office/drawing/2014/main" id="{00000000-0008-0000-0C00-00000D000000}"/>
            </a:ext>
          </a:extLst>
        </xdr:cNvPr>
        <xdr:cNvPicPr/>
      </xdr:nvPicPr>
      <xdr:blipFill>
        <a:blip xmlns:r="http://schemas.openxmlformats.org/officeDocument/2006/relationships" r:embed="rId1"/>
        <a:stretch>
          <a:fillRect/>
        </a:stretch>
      </xdr:blipFill>
      <xdr:spPr>
        <a:xfrm>
          <a:off x="0" y="22860"/>
          <a:ext cx="6906895" cy="3775075"/>
        </a:xfrm>
        <a:prstGeom prst="rect">
          <a:avLst/>
        </a:prstGeom>
        <a:ln w="0">
          <a:noFill/>
        </a:ln>
      </xdr:spPr>
    </xdr:pic>
    <xdr:clientData/>
  </xdr:twoCellAnchor>
  <xdr:twoCellAnchor editAs="oneCell">
    <xdr:from>
      <xdr:col>9</xdr:col>
      <xdr:colOff>327600</xdr:colOff>
      <xdr:row>0</xdr:row>
      <xdr:rowOff>23040</xdr:rowOff>
    </xdr:from>
    <xdr:to>
      <xdr:col>20</xdr:col>
      <xdr:colOff>246960</xdr:colOff>
      <xdr:row>20</xdr:row>
      <xdr:rowOff>177120</xdr:rowOff>
    </xdr:to>
    <xdr:pic>
      <xdr:nvPicPr>
        <xdr:cNvPr id="14" name="Picture 2">
          <a:extLst>
            <a:ext uri="{FF2B5EF4-FFF2-40B4-BE49-F238E27FC236}">
              <a16:creationId xmlns:a16="http://schemas.microsoft.com/office/drawing/2014/main" id="{00000000-0008-0000-0C00-00000E000000}"/>
            </a:ext>
          </a:extLst>
        </xdr:cNvPr>
        <xdr:cNvPicPr/>
      </xdr:nvPicPr>
      <xdr:blipFill>
        <a:blip xmlns:r="http://schemas.openxmlformats.org/officeDocument/2006/relationships" r:embed="rId2"/>
        <a:stretch>
          <a:fillRect/>
        </a:stretch>
      </xdr:blipFill>
      <xdr:spPr>
        <a:xfrm>
          <a:off x="6895465" y="22860"/>
          <a:ext cx="6579235" cy="3811270"/>
        </a:xfrm>
        <a:prstGeom prst="rect">
          <a:avLst/>
        </a:prstGeom>
        <a:ln w="0">
          <a:noFill/>
        </a:ln>
      </xdr:spPr>
    </xdr:pic>
    <xdr:clientData/>
  </xdr:twoCellAnchor>
  <xdr:twoCellAnchor editAs="oneCell">
    <xdr:from>
      <xdr:col>20</xdr:col>
      <xdr:colOff>274320</xdr:colOff>
      <xdr:row>0</xdr:row>
      <xdr:rowOff>68760</xdr:rowOff>
    </xdr:from>
    <xdr:to>
      <xdr:col>31</xdr:col>
      <xdr:colOff>361440</xdr:colOff>
      <xdr:row>20</xdr:row>
      <xdr:rowOff>177120</xdr:rowOff>
    </xdr:to>
    <xdr:pic>
      <xdr:nvPicPr>
        <xdr:cNvPr id="15" name="Picture 3">
          <a:extLst>
            <a:ext uri="{FF2B5EF4-FFF2-40B4-BE49-F238E27FC236}">
              <a16:creationId xmlns:a16="http://schemas.microsoft.com/office/drawing/2014/main" id="{00000000-0008-0000-0C00-00000F000000}"/>
            </a:ext>
          </a:extLst>
        </xdr:cNvPr>
        <xdr:cNvPicPr/>
      </xdr:nvPicPr>
      <xdr:blipFill>
        <a:blip xmlns:r="http://schemas.openxmlformats.org/officeDocument/2006/relationships" r:embed="rId3"/>
        <a:stretch>
          <a:fillRect/>
        </a:stretch>
      </xdr:blipFill>
      <xdr:spPr>
        <a:xfrm>
          <a:off x="13502640" y="68580"/>
          <a:ext cx="6624955" cy="3765550"/>
        </a:xfrm>
        <a:prstGeom prst="rect">
          <a:avLst/>
        </a:prstGeom>
        <a:ln w="0">
          <a:noFill/>
        </a:ln>
      </xdr:spPr>
    </xdr:pic>
    <xdr:clientData/>
  </xdr:twoCellAnchor>
  <xdr:twoCellAnchor editAs="oneCell">
    <xdr:from>
      <xdr:col>12</xdr:col>
      <xdr:colOff>0</xdr:colOff>
      <xdr:row>21</xdr:row>
      <xdr:rowOff>15120</xdr:rowOff>
    </xdr:from>
    <xdr:to>
      <xdr:col>20</xdr:col>
      <xdr:colOff>0</xdr:colOff>
      <xdr:row>27</xdr:row>
      <xdr:rowOff>10800</xdr:rowOff>
    </xdr:to>
    <xdr:pic>
      <xdr:nvPicPr>
        <xdr:cNvPr id="16" name="Picture 4">
          <a:extLst>
            <a:ext uri="{FF2B5EF4-FFF2-40B4-BE49-F238E27FC236}">
              <a16:creationId xmlns:a16="http://schemas.microsoft.com/office/drawing/2014/main" id="{00000000-0008-0000-0C00-000010000000}"/>
            </a:ext>
          </a:extLst>
        </xdr:cNvPr>
        <xdr:cNvPicPr/>
      </xdr:nvPicPr>
      <xdr:blipFill>
        <a:blip xmlns:r="http://schemas.openxmlformats.org/officeDocument/2006/relationships" r:embed="rId4"/>
        <a:stretch>
          <a:fillRect/>
        </a:stretch>
      </xdr:blipFill>
      <xdr:spPr>
        <a:xfrm>
          <a:off x="8458200" y="3855085"/>
          <a:ext cx="4770120" cy="1624965"/>
        </a:xfrm>
        <a:prstGeom prst="rect">
          <a:avLst/>
        </a:prstGeom>
        <a:ln w="0">
          <a:noFill/>
        </a:ln>
      </xdr:spPr>
    </xdr:pic>
    <xdr:clientData/>
  </xdr:twoCellAnchor>
  <xdr:twoCellAnchor editAs="oneCell">
    <xdr:from>
      <xdr:col>20</xdr:col>
      <xdr:colOff>7560</xdr:colOff>
      <xdr:row>21</xdr:row>
      <xdr:rowOff>7560</xdr:rowOff>
    </xdr:from>
    <xdr:to>
      <xdr:col>30</xdr:col>
      <xdr:colOff>0</xdr:colOff>
      <xdr:row>27</xdr:row>
      <xdr:rowOff>10800</xdr:rowOff>
    </xdr:to>
    <xdr:pic>
      <xdr:nvPicPr>
        <xdr:cNvPr id="17" name="Picture 5">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5"/>
        <a:stretch>
          <a:fillRect/>
        </a:stretch>
      </xdr:blipFill>
      <xdr:spPr>
        <a:xfrm>
          <a:off x="13235305" y="3847465"/>
          <a:ext cx="5936615" cy="1632585"/>
        </a:xfrm>
        <a:prstGeom prst="rect">
          <a:avLst/>
        </a:prstGeom>
        <a:ln w="0">
          <a:noFill/>
        </a:ln>
      </xdr:spPr>
    </xdr:pic>
    <xdr:clientData/>
  </xdr:twoCellAnchor>
  <xdr:twoCellAnchor editAs="oneCell">
    <xdr:from>
      <xdr:col>14</xdr:col>
      <xdr:colOff>434520</xdr:colOff>
      <xdr:row>27</xdr:row>
      <xdr:rowOff>0</xdr:rowOff>
    </xdr:from>
    <xdr:to>
      <xdr:col>25</xdr:col>
      <xdr:colOff>369720</xdr:colOff>
      <xdr:row>44</xdr:row>
      <xdr:rowOff>147960</xdr:rowOff>
    </xdr:to>
    <xdr:pic>
      <xdr:nvPicPr>
        <xdr:cNvPr id="18" name="Picture 8">
          <a:extLst>
            <a:ext uri="{FF2B5EF4-FFF2-40B4-BE49-F238E27FC236}">
              <a16:creationId xmlns:a16="http://schemas.microsoft.com/office/drawing/2014/main" id="{00000000-0008-0000-0C00-000012000000}"/>
            </a:ext>
          </a:extLst>
        </xdr:cNvPr>
        <xdr:cNvPicPr/>
      </xdr:nvPicPr>
      <xdr:blipFill>
        <a:blip xmlns:r="http://schemas.openxmlformats.org/officeDocument/2006/relationships" r:embed="rId6"/>
        <a:stretch>
          <a:fillRect/>
        </a:stretch>
      </xdr:blipFill>
      <xdr:spPr>
        <a:xfrm>
          <a:off x="10096500" y="5469255"/>
          <a:ext cx="6473190" cy="34340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69840</xdr:colOff>
      <xdr:row>2</xdr:row>
      <xdr:rowOff>69840</xdr:rowOff>
    </xdr:to>
    <xdr:pic>
      <xdr:nvPicPr>
        <xdr:cNvPr id="19" name="Picture 1">
          <a:extLst>
            <a:ext uri="{FF2B5EF4-FFF2-40B4-BE49-F238E27FC236}">
              <a16:creationId xmlns:a16="http://schemas.microsoft.com/office/drawing/2014/main" id="{00000000-0008-0000-1100-000013000000}"/>
            </a:ext>
          </a:extLst>
        </xdr:cNvPr>
        <xdr:cNvPicPr/>
      </xdr:nvPicPr>
      <xdr:blipFill>
        <a:blip xmlns:r="http://schemas.openxmlformats.org/officeDocument/2006/relationships" r:embed="rId1"/>
        <a:stretch>
          <a:fillRect/>
        </a:stretch>
      </xdr:blipFill>
      <xdr:spPr>
        <a:xfrm>
          <a:off x="0" y="365760"/>
          <a:ext cx="69215" cy="69215"/>
        </a:xfrm>
        <a:prstGeom prst="rect">
          <a:avLst/>
        </a:prstGeom>
        <a:ln w="0">
          <a:noFill/>
        </a:ln>
      </xdr:spPr>
    </xdr:pic>
    <xdr:clientData/>
  </xdr:twoCellAnchor>
  <xdr:twoCellAnchor editAs="oneCell">
    <xdr:from>
      <xdr:col>0</xdr:col>
      <xdr:colOff>0</xdr:colOff>
      <xdr:row>3</xdr:row>
      <xdr:rowOff>0</xdr:rowOff>
    </xdr:from>
    <xdr:to>
      <xdr:col>0</xdr:col>
      <xdr:colOff>69840</xdr:colOff>
      <xdr:row>3</xdr:row>
      <xdr:rowOff>69840</xdr:rowOff>
    </xdr:to>
    <xdr:pic>
      <xdr:nvPicPr>
        <xdr:cNvPr id="20" name="Picture 2">
          <a:extLst>
            <a:ext uri="{FF2B5EF4-FFF2-40B4-BE49-F238E27FC236}">
              <a16:creationId xmlns:a16="http://schemas.microsoft.com/office/drawing/2014/main" id="{00000000-0008-0000-1100-000014000000}"/>
            </a:ext>
          </a:extLst>
        </xdr:cNvPr>
        <xdr:cNvPicPr/>
      </xdr:nvPicPr>
      <xdr:blipFill>
        <a:blip xmlns:r="http://schemas.openxmlformats.org/officeDocument/2006/relationships" r:embed="rId1"/>
        <a:stretch>
          <a:fillRect/>
        </a:stretch>
      </xdr:blipFill>
      <xdr:spPr>
        <a:xfrm>
          <a:off x="0" y="548640"/>
          <a:ext cx="69215" cy="69215"/>
        </a:xfrm>
        <a:prstGeom prst="rect">
          <a:avLst/>
        </a:prstGeom>
        <a:ln w="0">
          <a:noFill/>
        </a:ln>
      </xdr:spPr>
    </xdr:pic>
    <xdr:clientData/>
  </xdr:twoCellAnchor>
  <xdr:twoCellAnchor editAs="oneCell">
    <xdr:from>
      <xdr:col>0</xdr:col>
      <xdr:colOff>0</xdr:colOff>
      <xdr:row>59</xdr:row>
      <xdr:rowOff>0</xdr:rowOff>
    </xdr:from>
    <xdr:to>
      <xdr:col>0</xdr:col>
      <xdr:colOff>69840</xdr:colOff>
      <xdr:row>59</xdr:row>
      <xdr:rowOff>69840</xdr:rowOff>
    </xdr:to>
    <xdr:pic>
      <xdr:nvPicPr>
        <xdr:cNvPr id="21" name="Picture 1">
          <a:extLst>
            <a:ext uri="{FF2B5EF4-FFF2-40B4-BE49-F238E27FC236}">
              <a16:creationId xmlns:a16="http://schemas.microsoft.com/office/drawing/2014/main" id="{00000000-0008-0000-1100-000015000000}"/>
            </a:ext>
          </a:extLst>
        </xdr:cNvPr>
        <xdr:cNvPicPr/>
      </xdr:nvPicPr>
      <xdr:blipFill>
        <a:blip xmlns:r="http://schemas.openxmlformats.org/officeDocument/2006/relationships" r:embed="rId1"/>
        <a:stretch>
          <a:fillRect/>
        </a:stretch>
      </xdr:blipFill>
      <xdr:spPr>
        <a:xfrm>
          <a:off x="0" y="10789920"/>
          <a:ext cx="69215" cy="69215"/>
        </a:xfrm>
        <a:prstGeom prst="rect">
          <a:avLst/>
        </a:prstGeom>
        <a:ln w="0">
          <a:noFill/>
        </a:ln>
      </xdr:spPr>
    </xdr:pic>
    <xdr:clientData/>
  </xdr:twoCellAnchor>
  <xdr:twoCellAnchor editAs="oneCell">
    <xdr:from>
      <xdr:col>0</xdr:col>
      <xdr:colOff>0</xdr:colOff>
      <xdr:row>60</xdr:row>
      <xdr:rowOff>0</xdr:rowOff>
    </xdr:from>
    <xdr:to>
      <xdr:col>0</xdr:col>
      <xdr:colOff>69840</xdr:colOff>
      <xdr:row>60</xdr:row>
      <xdr:rowOff>69840</xdr:rowOff>
    </xdr:to>
    <xdr:pic>
      <xdr:nvPicPr>
        <xdr:cNvPr id="22" name="Picture 2">
          <a:extLst>
            <a:ext uri="{FF2B5EF4-FFF2-40B4-BE49-F238E27FC236}">
              <a16:creationId xmlns:a16="http://schemas.microsoft.com/office/drawing/2014/main" id="{00000000-0008-0000-1100-000016000000}"/>
            </a:ext>
          </a:extLst>
        </xdr:cNvPr>
        <xdr:cNvPicPr/>
      </xdr:nvPicPr>
      <xdr:blipFill>
        <a:blip xmlns:r="http://schemas.openxmlformats.org/officeDocument/2006/relationships" r:embed="rId1"/>
        <a:stretch>
          <a:fillRect/>
        </a:stretch>
      </xdr:blipFill>
      <xdr:spPr>
        <a:xfrm>
          <a:off x="0" y="10972800"/>
          <a:ext cx="69215" cy="69215"/>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7560</xdr:colOff>
      <xdr:row>14</xdr:row>
      <xdr:rowOff>171360</xdr:rowOff>
    </xdr:from>
    <xdr:to>
      <xdr:col>6</xdr:col>
      <xdr:colOff>37440</xdr:colOff>
      <xdr:row>29</xdr:row>
      <xdr:rowOff>170640</xdr:rowOff>
    </xdr:to>
    <xdr:graphicFrame macro="">
      <xdr:nvGraphicFramePr>
        <xdr:cNvPr id="23" name="Chart 1">
          <a:extLst>
            <a:ext uri="{FF2B5EF4-FFF2-40B4-BE49-F238E27FC236}">
              <a16:creationId xmlns:a16="http://schemas.microsoft.com/office/drawing/2014/main" id="{00000000-0008-0000-14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60840</xdr:colOff>
      <xdr:row>14</xdr:row>
      <xdr:rowOff>171360</xdr:rowOff>
    </xdr:from>
    <xdr:to>
      <xdr:col>11</xdr:col>
      <xdr:colOff>37440</xdr:colOff>
      <xdr:row>29</xdr:row>
      <xdr:rowOff>170640</xdr:rowOff>
    </xdr:to>
    <xdr:graphicFrame macro="">
      <xdr:nvGraphicFramePr>
        <xdr:cNvPr id="24" name="Chart 2">
          <a:extLst>
            <a:ext uri="{FF2B5EF4-FFF2-40B4-BE49-F238E27FC236}">
              <a16:creationId xmlns:a16="http://schemas.microsoft.com/office/drawing/2014/main" id="{00000000-0008-0000-14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45720</xdr:colOff>
      <xdr:row>14</xdr:row>
      <xdr:rowOff>178920</xdr:rowOff>
    </xdr:from>
    <xdr:to>
      <xdr:col>17</xdr:col>
      <xdr:colOff>29880</xdr:colOff>
      <xdr:row>29</xdr:row>
      <xdr:rowOff>178200</xdr:rowOff>
    </xdr:to>
    <xdr:graphicFrame macro="">
      <xdr:nvGraphicFramePr>
        <xdr:cNvPr id="25" name="Chart 3">
          <a:extLst>
            <a:ext uri="{FF2B5EF4-FFF2-40B4-BE49-F238E27FC236}">
              <a16:creationId xmlns:a16="http://schemas.microsoft.com/office/drawing/2014/main" id="{00000000-0008-0000-14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3:N57"/>
  <sheetViews>
    <sheetView showGridLines="0" topLeftCell="A51" workbookViewId="0">
      <selection activeCell="H34" sqref="H34"/>
    </sheetView>
  </sheetViews>
  <sheetFormatPr defaultColWidth="8.6640625" defaultRowHeight="14.4" x14ac:dyDescent="0.3"/>
  <cols>
    <col min="5" max="5" width="10.77734375" style="1" customWidth="1"/>
    <col min="6" max="6" width="50.109375" style="1" customWidth="1"/>
    <col min="8" max="8" width="8.77734375" style="1" customWidth="1"/>
  </cols>
  <sheetData>
    <row r="13" spans="5:14" ht="21" customHeight="1" x14ac:dyDescent="0.4">
      <c r="E13" s="192" t="s">
        <v>0</v>
      </c>
      <c r="F13" s="192"/>
      <c r="G13" s="192"/>
      <c r="H13" s="192"/>
      <c r="I13" s="192"/>
      <c r="J13" s="192"/>
      <c r="K13" s="192"/>
      <c r="L13" s="192"/>
      <c r="M13" s="192"/>
      <c r="N13" s="192"/>
    </row>
    <row r="14" spans="5:14" ht="15" customHeight="1" x14ac:dyDescent="0.3"/>
    <row r="15" spans="5:14" ht="14.25" customHeight="1" x14ac:dyDescent="0.3">
      <c r="E15" s="199" t="s">
        <v>1</v>
      </c>
      <c r="F15" s="199"/>
      <c r="G15" s="199"/>
      <c r="H15" s="199"/>
      <c r="I15" s="199"/>
      <c r="J15" s="199"/>
      <c r="K15" s="199"/>
      <c r="L15" s="199"/>
      <c r="M15" s="199"/>
      <c r="N15" s="199"/>
    </row>
    <row r="16" spans="5:14" ht="14.25" customHeight="1" x14ac:dyDescent="0.3">
      <c r="E16" s="199"/>
      <c r="F16" s="199"/>
      <c r="G16" s="199"/>
      <c r="H16" s="199"/>
      <c r="I16" s="199"/>
      <c r="J16" s="199"/>
      <c r="K16" s="199"/>
      <c r="L16" s="199"/>
      <c r="M16" s="199"/>
      <c r="N16" s="199"/>
    </row>
    <row r="17" spans="5:14" ht="14.25" customHeight="1" x14ac:dyDescent="0.3">
      <c r="E17" s="199"/>
      <c r="F17" s="199"/>
      <c r="G17" s="199"/>
      <c r="H17" s="199"/>
      <c r="I17" s="199"/>
      <c r="J17" s="199"/>
      <c r="K17" s="199"/>
      <c r="L17" s="199"/>
      <c r="M17" s="199"/>
      <c r="N17" s="199"/>
    </row>
    <row r="18" spans="5:14" ht="14.25" customHeight="1" x14ac:dyDescent="0.3">
      <c r="E18" s="199"/>
      <c r="F18" s="199"/>
      <c r="G18" s="199"/>
      <c r="H18" s="199"/>
      <c r="I18" s="199"/>
      <c r="J18" s="199"/>
      <c r="K18" s="199"/>
      <c r="L18" s="199"/>
      <c r="M18" s="199"/>
      <c r="N18" s="199"/>
    </row>
    <row r="19" spans="5:14" ht="14.25" customHeight="1" x14ac:dyDescent="0.3">
      <c r="E19" s="199"/>
      <c r="F19" s="199"/>
      <c r="G19" s="199"/>
      <c r="H19" s="199"/>
      <c r="I19" s="199"/>
      <c r="J19" s="199"/>
      <c r="K19" s="199"/>
      <c r="L19" s="199"/>
      <c r="M19" s="199"/>
      <c r="N19" s="199"/>
    </row>
    <row r="20" spans="5:14" ht="14.25" customHeight="1" x14ac:dyDescent="0.3">
      <c r="E20" s="199"/>
      <c r="F20" s="199"/>
      <c r="G20" s="199"/>
      <c r="H20" s="199"/>
      <c r="I20" s="199"/>
      <c r="J20" s="199"/>
      <c r="K20" s="199"/>
      <c r="L20" s="199"/>
      <c r="M20" s="199"/>
      <c r="N20" s="199"/>
    </row>
    <row r="21" spans="5:14" ht="14.25" customHeight="1" x14ac:dyDescent="0.3">
      <c r="E21" s="199"/>
      <c r="F21" s="199"/>
      <c r="G21" s="199"/>
      <c r="H21" s="199"/>
      <c r="I21" s="199"/>
      <c r="J21" s="199"/>
      <c r="K21" s="199"/>
      <c r="L21" s="199"/>
      <c r="M21" s="199"/>
      <c r="N21" s="199"/>
    </row>
    <row r="22" spans="5:14" ht="14.25" customHeight="1" x14ac:dyDescent="0.3">
      <c r="E22" s="199"/>
      <c r="F22" s="199"/>
      <c r="G22" s="199"/>
      <c r="H22" s="199"/>
      <c r="I22" s="199"/>
      <c r="J22" s="199"/>
      <c r="K22" s="199"/>
      <c r="L22" s="199"/>
      <c r="M22" s="199"/>
      <c r="N22" s="199"/>
    </row>
    <row r="23" spans="5:14" ht="14.25" customHeight="1" x14ac:dyDescent="0.3">
      <c r="E23" s="199"/>
      <c r="F23" s="199"/>
      <c r="G23" s="199"/>
      <c r="H23" s="199"/>
      <c r="I23" s="199"/>
      <c r="J23" s="199"/>
      <c r="K23" s="199"/>
      <c r="L23" s="199"/>
      <c r="M23" s="199"/>
      <c r="N23" s="199"/>
    </row>
    <row r="24" spans="5:14" ht="14.25" customHeight="1" x14ac:dyDescent="0.3">
      <c r="E24" s="199"/>
      <c r="F24" s="199"/>
      <c r="G24" s="199"/>
      <c r="H24" s="199"/>
      <c r="I24" s="199"/>
      <c r="J24" s="199"/>
      <c r="K24" s="199"/>
      <c r="L24" s="199"/>
      <c r="M24" s="199"/>
      <c r="N24" s="199"/>
    </row>
    <row r="25" spans="5:14" ht="14.25" customHeight="1" x14ac:dyDescent="0.3">
      <c r="E25" s="199"/>
      <c r="F25" s="199"/>
      <c r="G25" s="199"/>
      <c r="H25" s="199"/>
      <c r="I25" s="199"/>
      <c r="J25" s="199"/>
      <c r="K25" s="199"/>
      <c r="L25" s="199"/>
      <c r="M25" s="199"/>
      <c r="N25" s="199"/>
    </row>
    <row r="26" spans="5:14" ht="14.25" customHeight="1" x14ac:dyDescent="0.3">
      <c r="E26" s="199"/>
      <c r="F26" s="199"/>
      <c r="G26" s="199"/>
      <c r="H26" s="199"/>
      <c r="I26" s="199"/>
      <c r="J26" s="199"/>
      <c r="K26" s="199"/>
      <c r="L26" s="199"/>
      <c r="M26" s="199"/>
      <c r="N26" s="199"/>
    </row>
    <row r="27" spans="5:14" ht="15" customHeight="1" x14ac:dyDescent="0.3">
      <c r="E27" s="199"/>
      <c r="F27" s="199"/>
      <c r="G27" s="199"/>
      <c r="H27" s="199"/>
      <c r="I27" s="199"/>
      <c r="J27" s="199"/>
      <c r="K27" s="199"/>
      <c r="L27" s="199"/>
      <c r="M27" s="199"/>
      <c r="N27" s="199"/>
    </row>
    <row r="28" spans="5:14" ht="14.25" customHeight="1" x14ac:dyDescent="0.3">
      <c r="E28" s="173"/>
      <c r="F28" s="173"/>
      <c r="G28" s="173"/>
      <c r="H28" s="173"/>
      <c r="I28" s="173"/>
      <c r="J28" s="173"/>
      <c r="K28" s="173"/>
      <c r="L28" s="173"/>
      <c r="M28" s="173"/>
      <c r="N28" s="173"/>
    </row>
    <row r="29" spans="5:14" ht="14.25" customHeight="1" x14ac:dyDescent="0.3">
      <c r="E29" s="173"/>
      <c r="F29" s="173"/>
      <c r="G29" s="173"/>
      <c r="H29" s="173"/>
      <c r="I29" s="173"/>
      <c r="J29" s="173"/>
      <c r="K29" s="173"/>
      <c r="L29" s="173"/>
      <c r="M29" s="173"/>
      <c r="N29" s="173"/>
    </row>
    <row r="30" spans="5:14" ht="14.25" customHeight="1" x14ac:dyDescent="0.3">
      <c r="E30" s="173"/>
      <c r="F30" s="173"/>
      <c r="G30" s="173"/>
      <c r="H30" s="173"/>
      <c r="I30" s="173"/>
      <c r="J30" s="173"/>
      <c r="K30" s="173"/>
      <c r="L30" s="173"/>
      <c r="M30" s="173"/>
      <c r="N30" s="173"/>
    </row>
    <row r="31" spans="5:14" ht="21" customHeight="1" x14ac:dyDescent="0.3">
      <c r="E31" s="193" t="s">
        <v>2</v>
      </c>
      <c r="F31" s="193"/>
      <c r="G31" s="174"/>
      <c r="H31" s="174"/>
      <c r="I31" s="174"/>
      <c r="J31" s="174"/>
      <c r="K31" s="174"/>
      <c r="L31" s="174"/>
      <c r="M31" s="174"/>
      <c r="N31" s="174"/>
    </row>
    <row r="32" spans="5:14" ht="15" customHeight="1" x14ac:dyDescent="0.3">
      <c r="E32" s="175" t="s">
        <v>3</v>
      </c>
      <c r="F32" s="176" t="s">
        <v>4</v>
      </c>
      <c r="G32" s="173"/>
      <c r="H32" s="173"/>
      <c r="I32" s="173"/>
      <c r="J32" s="173"/>
      <c r="K32" s="173"/>
      <c r="L32" s="173"/>
      <c r="M32" s="173"/>
      <c r="N32" s="173"/>
    </row>
    <row r="33" spans="5:6" ht="14.25" customHeight="1" x14ac:dyDescent="0.3">
      <c r="E33" s="177">
        <v>1</v>
      </c>
      <c r="F33" s="178" t="s">
        <v>5</v>
      </c>
    </row>
    <row r="34" spans="5:6" ht="14.25" customHeight="1" x14ac:dyDescent="0.3">
      <c r="E34" s="179">
        <v>2</v>
      </c>
      <c r="F34" s="180" t="s">
        <v>6</v>
      </c>
    </row>
    <row r="35" spans="5:6" ht="14.25" customHeight="1" x14ac:dyDescent="0.3">
      <c r="E35" s="179">
        <v>3</v>
      </c>
      <c r="F35" s="180" t="s">
        <v>7</v>
      </c>
    </row>
    <row r="36" spans="5:6" ht="14.25" customHeight="1" x14ac:dyDescent="0.3">
      <c r="E36" s="179">
        <v>4</v>
      </c>
      <c r="F36" s="180" t="s">
        <v>8</v>
      </c>
    </row>
    <row r="37" spans="5:6" ht="14.25" customHeight="1" x14ac:dyDescent="0.3">
      <c r="E37" s="179">
        <v>5</v>
      </c>
      <c r="F37" s="180" t="s">
        <v>9</v>
      </c>
    </row>
    <row r="38" spans="5:6" ht="14.25" customHeight="1" x14ac:dyDescent="0.3">
      <c r="E38" s="179">
        <v>6</v>
      </c>
      <c r="F38" s="180" t="s">
        <v>10</v>
      </c>
    </row>
    <row r="39" spans="5:6" ht="14.25" customHeight="1" x14ac:dyDescent="0.3">
      <c r="E39" s="179">
        <v>7</v>
      </c>
      <c r="F39" s="180" t="s">
        <v>11</v>
      </c>
    </row>
    <row r="40" spans="5:6" ht="14.25" customHeight="1" x14ac:dyDescent="0.3">
      <c r="E40" s="179">
        <v>8</v>
      </c>
      <c r="F40" s="180" t="s">
        <v>12</v>
      </c>
    </row>
    <row r="41" spans="5:6" ht="14.25" customHeight="1" x14ac:dyDescent="0.3">
      <c r="E41" s="179">
        <v>9</v>
      </c>
      <c r="F41" s="180" t="s">
        <v>13</v>
      </c>
    </row>
    <row r="42" spans="5:6" ht="14.25" customHeight="1" x14ac:dyDescent="0.3">
      <c r="E42" s="179">
        <v>10</v>
      </c>
      <c r="F42" s="180" t="s">
        <v>14</v>
      </c>
    </row>
    <row r="43" spans="5:6" ht="14.25" customHeight="1" x14ac:dyDescent="0.3">
      <c r="E43" s="179">
        <v>11</v>
      </c>
      <c r="F43" s="180" t="s">
        <v>15</v>
      </c>
    </row>
    <row r="44" spans="5:6" ht="14.25" customHeight="1" x14ac:dyDescent="0.3">
      <c r="E44" s="179">
        <v>12</v>
      </c>
      <c r="F44" s="180" t="s">
        <v>16</v>
      </c>
    </row>
    <row r="45" spans="5:6" ht="14.25" customHeight="1" x14ac:dyDescent="0.3">
      <c r="E45" s="179">
        <v>13</v>
      </c>
      <c r="F45" s="180" t="s">
        <v>17</v>
      </c>
    </row>
    <row r="46" spans="5:6" ht="15" customHeight="1" x14ac:dyDescent="0.3">
      <c r="E46" s="181">
        <v>14</v>
      </c>
      <c r="F46" s="182" t="s">
        <v>18</v>
      </c>
    </row>
    <row r="48" spans="5:6" ht="21" customHeight="1" x14ac:dyDescent="0.4">
      <c r="E48" s="194" t="s">
        <v>19</v>
      </c>
      <c r="F48" s="194"/>
    </row>
    <row r="49" spans="5:8" ht="14.25" customHeight="1" x14ac:dyDescent="0.3">
      <c r="E49" s="195" t="s">
        <v>20</v>
      </c>
      <c r="F49" s="195"/>
    </row>
    <row r="50" spans="5:8" ht="14.25" customHeight="1" x14ac:dyDescent="0.3">
      <c r="E50" s="196" t="s">
        <v>21</v>
      </c>
      <c r="F50" s="196"/>
    </row>
    <row r="51" spans="5:8" ht="15" customHeight="1" x14ac:dyDescent="0.3">
      <c r="E51" s="197" t="s">
        <v>22</v>
      </c>
      <c r="F51" s="197"/>
    </row>
    <row r="53" spans="5:8" ht="15" customHeight="1" x14ac:dyDescent="0.3"/>
    <row r="54" spans="5:8" ht="21" customHeight="1" x14ac:dyDescent="0.4">
      <c r="E54" s="198" t="s">
        <v>23</v>
      </c>
      <c r="F54" s="198"/>
      <c r="G54" s="198"/>
      <c r="H54" s="198"/>
    </row>
    <row r="55" spans="5:8" ht="14.25" customHeight="1" x14ac:dyDescent="0.3">
      <c r="E55" s="183" t="s">
        <v>24</v>
      </c>
      <c r="F55" s="184" t="s">
        <v>25</v>
      </c>
      <c r="G55" s="184" t="s">
        <v>26</v>
      </c>
      <c r="H55" s="185" t="s">
        <v>27</v>
      </c>
    </row>
    <row r="56" spans="5:8" ht="28.5" customHeight="1" x14ac:dyDescent="0.3">
      <c r="E56" s="186" t="s">
        <v>28</v>
      </c>
      <c r="F56" s="187" t="s">
        <v>29</v>
      </c>
      <c r="G56" s="187">
        <v>117</v>
      </c>
      <c r="H56" s="188" t="s">
        <v>30</v>
      </c>
    </row>
    <row r="57" spans="5:8" ht="29.25" customHeight="1" x14ac:dyDescent="0.3">
      <c r="E57" s="189" t="s">
        <v>28</v>
      </c>
      <c r="F57" s="190" t="s">
        <v>31</v>
      </c>
      <c r="G57" s="190">
        <v>41</v>
      </c>
      <c r="H57" s="191" t="s">
        <v>32</v>
      </c>
    </row>
  </sheetData>
  <mergeCells count="8">
    <mergeCell ref="E51:F51"/>
    <mergeCell ref="E54:H54"/>
    <mergeCell ref="E15:N27"/>
    <mergeCell ref="E13:N13"/>
    <mergeCell ref="E31:F31"/>
    <mergeCell ref="E48:F48"/>
    <mergeCell ref="E49:F49"/>
    <mergeCell ref="E50:F50"/>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showGridLines="0" workbookViewId="0">
      <selection activeCell="A29" sqref="A29:R29"/>
    </sheetView>
  </sheetViews>
  <sheetFormatPr defaultColWidth="8.6640625" defaultRowHeight="14.4" x14ac:dyDescent="0.3"/>
  <cols>
    <col min="1" max="1" width="42" style="1" customWidth="1"/>
    <col min="2" max="2" width="13" style="1" customWidth="1"/>
    <col min="3" max="3" width="14" style="1" customWidth="1"/>
    <col min="4" max="4" width="16" style="1" customWidth="1"/>
    <col min="5" max="6" width="13" style="1" customWidth="1"/>
    <col min="7" max="7" width="14" style="1" customWidth="1"/>
    <col min="8" max="8" width="12" style="1" customWidth="1"/>
    <col min="9" max="18" width="13" style="1" customWidth="1"/>
  </cols>
  <sheetData>
    <row r="1" spans="1:18" ht="173.25" customHeight="1" x14ac:dyDescent="0.3">
      <c r="A1" s="331" t="s">
        <v>33</v>
      </c>
      <c r="B1" s="331" t="s">
        <v>34</v>
      </c>
      <c r="C1" s="331" t="s">
        <v>35</v>
      </c>
      <c r="D1" s="331" t="s">
        <v>36</v>
      </c>
      <c r="E1" s="331" t="s">
        <v>37</v>
      </c>
      <c r="F1" s="332" t="s">
        <v>38</v>
      </c>
      <c r="G1" s="333" t="s">
        <v>39</v>
      </c>
      <c r="H1" s="333" t="s">
        <v>40</v>
      </c>
      <c r="I1" s="333" t="s">
        <v>41</v>
      </c>
      <c r="J1" s="333"/>
      <c r="K1" s="333"/>
      <c r="L1" s="333"/>
      <c r="M1" s="333" t="s">
        <v>42</v>
      </c>
      <c r="N1" s="333" t="s">
        <v>43</v>
      </c>
      <c r="O1" s="333" t="s">
        <v>44</v>
      </c>
      <c r="P1" s="333" t="s">
        <v>45</v>
      </c>
      <c r="Q1" s="333" t="s">
        <v>46</v>
      </c>
      <c r="R1" s="333" t="s">
        <v>47</v>
      </c>
    </row>
    <row r="2" spans="1:18" ht="43.5" customHeight="1" x14ac:dyDescent="0.3">
      <c r="A2" s="331"/>
      <c r="B2" s="331"/>
      <c r="C2" s="331"/>
      <c r="D2" s="331"/>
      <c r="E2" s="331"/>
      <c r="F2" s="332"/>
      <c r="G2" s="333"/>
      <c r="H2" s="333"/>
      <c r="I2" s="333" t="s">
        <v>48</v>
      </c>
      <c r="J2" s="333"/>
      <c r="K2" s="333"/>
      <c r="L2" s="333" t="s">
        <v>49</v>
      </c>
      <c r="M2" s="333"/>
      <c r="N2" s="333"/>
      <c r="O2" s="333"/>
      <c r="P2" s="333"/>
      <c r="Q2" s="333"/>
      <c r="R2" s="333"/>
    </row>
    <row r="3" spans="1:18" ht="15" customHeight="1" x14ac:dyDescent="0.3">
      <c r="A3" s="331"/>
      <c r="B3" s="331"/>
      <c r="C3" s="331"/>
      <c r="D3" s="331"/>
      <c r="E3" s="331"/>
      <c r="F3" s="332"/>
      <c r="G3" s="333"/>
      <c r="H3" s="333"/>
      <c r="I3" s="333" t="s">
        <v>50</v>
      </c>
      <c r="J3" s="333" t="s">
        <v>51</v>
      </c>
      <c r="K3" s="333" t="s">
        <v>52</v>
      </c>
      <c r="L3" s="333"/>
      <c r="M3" s="333"/>
      <c r="N3" s="333"/>
      <c r="O3" s="333"/>
      <c r="P3" s="333"/>
      <c r="Q3" s="333"/>
      <c r="R3" s="333"/>
    </row>
    <row r="4" spans="1:18" ht="19.5" customHeight="1" x14ac:dyDescent="0.3">
      <c r="A4" s="334" t="s">
        <v>53</v>
      </c>
      <c r="B4" s="334"/>
      <c r="C4" s="334">
        <v>0</v>
      </c>
      <c r="D4" s="334"/>
      <c r="E4" s="334"/>
      <c r="F4" s="334"/>
      <c r="G4" s="335"/>
      <c r="H4" s="335">
        <v>0</v>
      </c>
      <c r="I4" s="335"/>
      <c r="J4" s="335"/>
      <c r="K4" s="335"/>
      <c r="L4" s="335">
        <v>0</v>
      </c>
      <c r="M4" s="335"/>
      <c r="N4" s="335"/>
      <c r="O4" s="335"/>
      <c r="P4" s="335"/>
      <c r="Q4" s="335">
        <v>0</v>
      </c>
      <c r="R4" s="335"/>
    </row>
    <row r="5" spans="1:18" ht="18" customHeight="1" x14ac:dyDescent="0.3">
      <c r="A5" s="336" t="s">
        <v>54</v>
      </c>
      <c r="B5" s="336"/>
      <c r="C5" s="336">
        <v>0</v>
      </c>
      <c r="D5" s="336"/>
      <c r="E5" s="336"/>
      <c r="F5" s="336"/>
      <c r="G5" s="336"/>
      <c r="H5" s="336">
        <v>0</v>
      </c>
      <c r="I5" s="336"/>
      <c r="J5" s="336"/>
      <c r="K5" s="336"/>
      <c r="L5" s="336">
        <v>0</v>
      </c>
      <c r="M5" s="336"/>
      <c r="N5" s="336"/>
      <c r="O5" s="336"/>
      <c r="P5" s="336"/>
      <c r="Q5" s="336">
        <v>0</v>
      </c>
      <c r="R5" s="336"/>
    </row>
    <row r="6" spans="1:18" ht="15.75" customHeight="1" x14ac:dyDescent="0.3">
      <c r="A6" s="337" t="s">
        <v>55</v>
      </c>
      <c r="B6" s="337"/>
      <c r="C6" s="337">
        <v>1</v>
      </c>
      <c r="D6" s="338">
        <v>203169279</v>
      </c>
      <c r="E6" s="337"/>
      <c r="F6" s="337"/>
      <c r="G6" s="338">
        <v>203169279</v>
      </c>
      <c r="H6" s="337">
        <v>68.53</v>
      </c>
      <c r="I6" s="338">
        <v>203169279</v>
      </c>
      <c r="J6" s="337"/>
      <c r="K6" s="338">
        <v>203169279</v>
      </c>
      <c r="L6" s="337">
        <v>68.53</v>
      </c>
      <c r="M6" s="337"/>
      <c r="N6" s="337"/>
      <c r="O6" s="337"/>
      <c r="P6" s="338">
        <v>203169279</v>
      </c>
      <c r="Q6" s="337">
        <v>68.459999999999994</v>
      </c>
      <c r="R6" s="338">
        <v>203169279</v>
      </c>
    </row>
    <row r="7" spans="1:18" ht="15.75" customHeight="1" x14ac:dyDescent="0.3">
      <c r="A7" s="339" t="s">
        <v>56</v>
      </c>
      <c r="B7" s="339">
        <v>0</v>
      </c>
      <c r="C7" s="339">
        <v>0</v>
      </c>
      <c r="D7" s="340">
        <v>203169279</v>
      </c>
      <c r="E7" s="339"/>
      <c r="F7" s="339"/>
      <c r="G7" s="340">
        <v>203169279</v>
      </c>
      <c r="H7" s="339">
        <v>68.53</v>
      </c>
      <c r="I7" s="340">
        <v>203169279</v>
      </c>
      <c r="J7" s="339"/>
      <c r="K7" s="340">
        <v>203169279</v>
      </c>
      <c r="L7" s="339">
        <v>0</v>
      </c>
      <c r="M7" s="339"/>
      <c r="N7" s="339"/>
      <c r="O7" s="339"/>
      <c r="P7" s="340">
        <v>203169279</v>
      </c>
      <c r="Q7" s="339">
        <v>68.459999999999994</v>
      </c>
      <c r="R7" s="340">
        <v>203169279</v>
      </c>
    </row>
    <row r="8" spans="1:18" ht="18" customHeight="1" x14ac:dyDescent="0.3">
      <c r="A8" s="341" t="s">
        <v>57</v>
      </c>
      <c r="B8" s="341"/>
      <c r="C8" s="341">
        <v>1</v>
      </c>
      <c r="D8" s="342">
        <v>203169279</v>
      </c>
      <c r="E8" s="341"/>
      <c r="F8" s="341"/>
      <c r="G8" s="342">
        <v>203169279</v>
      </c>
      <c r="H8" s="341">
        <v>68.53</v>
      </c>
      <c r="I8" s="342">
        <v>203169279</v>
      </c>
      <c r="J8" s="341"/>
      <c r="K8" s="342">
        <v>203169279</v>
      </c>
      <c r="L8" s="341">
        <v>68.53</v>
      </c>
      <c r="M8" s="341"/>
      <c r="N8" s="341"/>
      <c r="O8" s="341"/>
      <c r="P8" s="342">
        <v>203169279</v>
      </c>
      <c r="Q8" s="341">
        <v>68.459999999999994</v>
      </c>
      <c r="R8" s="342">
        <v>203169279</v>
      </c>
    </row>
    <row r="9" spans="1:18" ht="18" customHeight="1" x14ac:dyDescent="0.3">
      <c r="A9" s="336" t="s">
        <v>58</v>
      </c>
      <c r="B9" s="336"/>
      <c r="C9" s="336">
        <v>0</v>
      </c>
      <c r="D9" s="336"/>
      <c r="E9" s="336"/>
      <c r="F9" s="336"/>
      <c r="G9" s="336"/>
      <c r="H9" s="336">
        <v>0</v>
      </c>
      <c r="I9" s="336"/>
      <c r="J9" s="336"/>
      <c r="K9" s="336"/>
      <c r="L9" s="336">
        <v>0</v>
      </c>
      <c r="M9" s="336"/>
      <c r="N9" s="336"/>
      <c r="O9" s="336"/>
      <c r="P9" s="336"/>
      <c r="Q9" s="336">
        <v>0</v>
      </c>
      <c r="R9" s="336"/>
    </row>
    <row r="10" spans="1:18" ht="18" customHeight="1" x14ac:dyDescent="0.3">
      <c r="A10" s="341" t="s">
        <v>59</v>
      </c>
      <c r="B10" s="341"/>
      <c r="C10" s="341">
        <v>0</v>
      </c>
      <c r="D10" s="341"/>
      <c r="E10" s="341"/>
      <c r="F10" s="341"/>
      <c r="G10" s="341"/>
      <c r="H10" s="341">
        <v>0</v>
      </c>
      <c r="I10" s="341"/>
      <c r="J10" s="341"/>
      <c r="K10" s="341"/>
      <c r="L10" s="341">
        <v>0</v>
      </c>
      <c r="M10" s="341"/>
      <c r="N10" s="341"/>
      <c r="O10" s="341"/>
      <c r="P10" s="341"/>
      <c r="Q10" s="341">
        <v>0</v>
      </c>
      <c r="R10" s="341"/>
    </row>
    <row r="11" spans="1:18" ht="18" customHeight="1" x14ac:dyDescent="0.3">
      <c r="A11" s="341" t="s">
        <v>60</v>
      </c>
      <c r="B11" s="341"/>
      <c r="C11" s="341">
        <v>1</v>
      </c>
      <c r="D11" s="342">
        <v>203169279</v>
      </c>
      <c r="E11" s="341"/>
      <c r="F11" s="341"/>
      <c r="G11" s="342">
        <v>203169279</v>
      </c>
      <c r="H11" s="341">
        <v>68.53</v>
      </c>
      <c r="I11" s="342">
        <v>203169279</v>
      </c>
      <c r="J11" s="341"/>
      <c r="K11" s="342">
        <v>203169279</v>
      </c>
      <c r="L11" s="341">
        <v>68.53</v>
      </c>
      <c r="M11" s="341"/>
      <c r="N11" s="341"/>
      <c r="O11" s="341"/>
      <c r="P11" s="342">
        <v>203169279</v>
      </c>
      <c r="Q11" s="341">
        <v>68.459999999999994</v>
      </c>
      <c r="R11" s="342">
        <v>203169279</v>
      </c>
    </row>
    <row r="12" spans="1:18" ht="19.5" customHeight="1" x14ac:dyDescent="0.3">
      <c r="A12" s="334" t="s">
        <v>61</v>
      </c>
      <c r="B12" s="334"/>
      <c r="C12" s="334">
        <v>0</v>
      </c>
      <c r="D12" s="334"/>
      <c r="E12" s="334"/>
      <c r="F12" s="334"/>
      <c r="G12" s="334"/>
      <c r="H12" s="334">
        <v>0</v>
      </c>
      <c r="I12" s="334"/>
      <c r="J12" s="334"/>
      <c r="K12" s="334"/>
      <c r="L12" s="334">
        <v>0</v>
      </c>
      <c r="M12" s="334"/>
      <c r="N12" s="334"/>
      <c r="O12" s="334"/>
      <c r="P12" s="334"/>
      <c r="Q12" s="334">
        <v>0</v>
      </c>
      <c r="R12" s="334"/>
    </row>
    <row r="13" spans="1:18" ht="18" customHeight="1" x14ac:dyDescent="0.3">
      <c r="A13" s="336" t="s">
        <v>62</v>
      </c>
      <c r="B13" s="336"/>
      <c r="C13" s="336">
        <v>0</v>
      </c>
      <c r="D13" s="336"/>
      <c r="E13" s="336"/>
      <c r="F13" s="336"/>
      <c r="G13" s="336"/>
      <c r="H13" s="336">
        <v>0</v>
      </c>
      <c r="I13" s="336"/>
      <c r="J13" s="336"/>
      <c r="K13" s="336"/>
      <c r="L13" s="336">
        <v>0</v>
      </c>
      <c r="M13" s="336"/>
      <c r="N13" s="336"/>
      <c r="O13" s="336"/>
      <c r="P13" s="336"/>
      <c r="Q13" s="336">
        <v>0</v>
      </c>
      <c r="R13" s="336"/>
    </row>
    <row r="14" spans="1:18" ht="15.75" customHeight="1" x14ac:dyDescent="0.3">
      <c r="A14" s="343" t="s">
        <v>63</v>
      </c>
      <c r="B14" s="343"/>
      <c r="C14" s="343">
        <v>36</v>
      </c>
      <c r="D14" s="344">
        <v>13675751</v>
      </c>
      <c r="E14" s="343"/>
      <c r="F14" s="343"/>
      <c r="G14" s="344">
        <v>13675751</v>
      </c>
      <c r="H14" s="343">
        <v>4.6100000000000003</v>
      </c>
      <c r="I14" s="344">
        <v>13675751</v>
      </c>
      <c r="J14" s="343"/>
      <c r="K14" s="344">
        <v>13675751</v>
      </c>
      <c r="L14" s="343">
        <v>4.6100000000000003</v>
      </c>
      <c r="M14" s="343"/>
      <c r="N14" s="343"/>
      <c r="O14" s="343"/>
      <c r="P14" s="344">
        <v>13675751</v>
      </c>
      <c r="Q14" s="343">
        <v>4.6100000000000003</v>
      </c>
      <c r="R14" s="344">
        <v>13675751</v>
      </c>
    </row>
    <row r="15" spans="1:18" ht="15.75" customHeight="1" x14ac:dyDescent="0.3">
      <c r="A15" s="337" t="s">
        <v>64</v>
      </c>
      <c r="B15" s="337"/>
      <c r="C15" s="337">
        <v>23</v>
      </c>
      <c r="D15" s="338">
        <v>447487</v>
      </c>
      <c r="E15" s="337"/>
      <c r="F15" s="337"/>
      <c r="G15" s="338">
        <v>447487</v>
      </c>
      <c r="H15" s="337">
        <v>0.15</v>
      </c>
      <c r="I15" s="338">
        <v>447487</v>
      </c>
      <c r="J15" s="337"/>
      <c r="K15" s="338">
        <v>447487</v>
      </c>
      <c r="L15" s="337">
        <v>0.15</v>
      </c>
      <c r="M15" s="337"/>
      <c r="N15" s="337"/>
      <c r="O15" s="337"/>
      <c r="P15" s="338">
        <v>447487</v>
      </c>
      <c r="Q15" s="337">
        <v>0.15</v>
      </c>
      <c r="R15" s="338">
        <v>447487</v>
      </c>
    </row>
    <row r="16" spans="1:18" ht="15.75" customHeight="1" x14ac:dyDescent="0.3">
      <c r="A16" s="343" t="s">
        <v>65</v>
      </c>
      <c r="B16" s="343"/>
      <c r="C16" s="343">
        <v>5</v>
      </c>
      <c r="D16" s="343">
        <v>904</v>
      </c>
      <c r="E16" s="343"/>
      <c r="F16" s="343"/>
      <c r="G16" s="343">
        <v>904</v>
      </c>
      <c r="H16" s="343">
        <v>0</v>
      </c>
      <c r="I16" s="343">
        <v>904</v>
      </c>
      <c r="J16" s="343"/>
      <c r="K16" s="343">
        <v>904</v>
      </c>
      <c r="L16" s="343">
        <v>0</v>
      </c>
      <c r="M16" s="343"/>
      <c r="N16" s="343"/>
      <c r="O16" s="343"/>
      <c r="P16" s="343">
        <v>904</v>
      </c>
      <c r="Q16" s="343">
        <v>0</v>
      </c>
      <c r="R16" s="343">
        <v>904</v>
      </c>
    </row>
    <row r="17" spans="1:18" ht="15.75" customHeight="1" x14ac:dyDescent="0.3">
      <c r="A17" s="337" t="s">
        <v>66</v>
      </c>
      <c r="B17" s="337"/>
      <c r="C17" s="337">
        <v>31</v>
      </c>
      <c r="D17" s="338">
        <v>32877824</v>
      </c>
      <c r="E17" s="337"/>
      <c r="F17" s="337"/>
      <c r="G17" s="338">
        <v>32877824</v>
      </c>
      <c r="H17" s="337">
        <v>11.09</v>
      </c>
      <c r="I17" s="338">
        <v>32877824</v>
      </c>
      <c r="J17" s="337"/>
      <c r="K17" s="338">
        <v>32877824</v>
      </c>
      <c r="L17" s="337">
        <v>11.09</v>
      </c>
      <c r="M17" s="337"/>
      <c r="N17" s="337"/>
      <c r="O17" s="337"/>
      <c r="P17" s="338">
        <v>32877824</v>
      </c>
      <c r="Q17" s="337">
        <v>11.08</v>
      </c>
      <c r="R17" s="338">
        <v>32877824</v>
      </c>
    </row>
    <row r="18" spans="1:18" ht="15.75" customHeight="1" x14ac:dyDescent="0.3">
      <c r="A18" s="339" t="s">
        <v>67</v>
      </c>
      <c r="B18" s="339">
        <v>0</v>
      </c>
      <c r="C18" s="339">
        <v>0</v>
      </c>
      <c r="D18" s="340">
        <v>28388052</v>
      </c>
      <c r="E18" s="339"/>
      <c r="F18" s="339"/>
      <c r="G18" s="340">
        <v>28388052</v>
      </c>
      <c r="H18" s="339">
        <v>9.58</v>
      </c>
      <c r="I18" s="340">
        <v>28388052</v>
      </c>
      <c r="J18" s="339"/>
      <c r="K18" s="340">
        <v>28388052</v>
      </c>
      <c r="L18" s="339">
        <v>0</v>
      </c>
      <c r="M18" s="339"/>
      <c r="N18" s="339"/>
      <c r="O18" s="339"/>
      <c r="P18" s="340">
        <v>28388052</v>
      </c>
      <c r="Q18" s="339">
        <v>9.57</v>
      </c>
      <c r="R18" s="340">
        <v>28388052</v>
      </c>
    </row>
    <row r="19" spans="1:18" ht="15.75" customHeight="1" x14ac:dyDescent="0.3">
      <c r="A19" s="343" t="s">
        <v>68</v>
      </c>
      <c r="B19" s="343"/>
      <c r="C19" s="343">
        <v>1</v>
      </c>
      <c r="D19" s="344">
        <v>2819735</v>
      </c>
      <c r="E19" s="343"/>
      <c r="F19" s="343"/>
      <c r="G19" s="344">
        <v>2819735</v>
      </c>
      <c r="H19" s="343">
        <v>0.95</v>
      </c>
      <c r="I19" s="344">
        <v>2819735</v>
      </c>
      <c r="J19" s="343"/>
      <c r="K19" s="344">
        <v>2819735</v>
      </c>
      <c r="L19" s="343">
        <v>0.95</v>
      </c>
      <c r="M19" s="343"/>
      <c r="N19" s="343"/>
      <c r="O19" s="343"/>
      <c r="P19" s="344">
        <v>2819735</v>
      </c>
      <c r="Q19" s="343">
        <v>0.95</v>
      </c>
      <c r="R19" s="344">
        <v>2819735</v>
      </c>
    </row>
    <row r="20" spans="1:18" ht="15.75" customHeight="1" x14ac:dyDescent="0.3">
      <c r="A20" s="337" t="s">
        <v>69</v>
      </c>
      <c r="B20" s="337"/>
      <c r="C20" s="337">
        <v>6</v>
      </c>
      <c r="D20" s="338">
        <v>8763</v>
      </c>
      <c r="E20" s="337"/>
      <c r="F20" s="337"/>
      <c r="G20" s="338">
        <v>8763</v>
      </c>
      <c r="H20" s="337">
        <v>0</v>
      </c>
      <c r="I20" s="338">
        <v>8763</v>
      </c>
      <c r="J20" s="337"/>
      <c r="K20" s="338">
        <v>8763</v>
      </c>
      <c r="L20" s="337">
        <v>0</v>
      </c>
      <c r="M20" s="337"/>
      <c r="N20" s="337"/>
      <c r="O20" s="337"/>
      <c r="P20" s="338">
        <v>8763</v>
      </c>
      <c r="Q20" s="337">
        <v>0</v>
      </c>
      <c r="R20" s="338">
        <v>8763</v>
      </c>
    </row>
    <row r="21" spans="1:18" ht="15.75" customHeight="1" x14ac:dyDescent="0.3">
      <c r="A21" s="343" t="s">
        <v>55</v>
      </c>
      <c r="B21" s="343"/>
      <c r="C21" s="343">
        <v>2</v>
      </c>
      <c r="D21" s="344">
        <v>294725</v>
      </c>
      <c r="E21" s="343"/>
      <c r="F21" s="343"/>
      <c r="G21" s="344">
        <v>294725</v>
      </c>
      <c r="H21" s="343">
        <v>0.1</v>
      </c>
      <c r="I21" s="344">
        <v>294725</v>
      </c>
      <c r="J21" s="343"/>
      <c r="K21" s="344">
        <v>294725</v>
      </c>
      <c r="L21" s="343">
        <v>0.1</v>
      </c>
      <c r="M21" s="343"/>
      <c r="N21" s="343"/>
      <c r="O21" s="343"/>
      <c r="P21" s="344">
        <v>294725</v>
      </c>
      <c r="Q21" s="343">
        <v>0.1</v>
      </c>
      <c r="R21" s="344">
        <v>294725</v>
      </c>
    </row>
    <row r="22" spans="1:18" ht="15.75" customHeight="1" x14ac:dyDescent="0.3">
      <c r="A22" s="337" t="s">
        <v>70</v>
      </c>
      <c r="B22" s="337"/>
      <c r="C22" s="337">
        <v>9</v>
      </c>
      <c r="D22" s="338">
        <v>89214</v>
      </c>
      <c r="E22" s="337"/>
      <c r="F22" s="337"/>
      <c r="G22" s="338">
        <v>89214</v>
      </c>
      <c r="H22" s="337">
        <v>0.03</v>
      </c>
      <c r="I22" s="338">
        <v>89214</v>
      </c>
      <c r="J22" s="337"/>
      <c r="K22" s="338">
        <v>89214</v>
      </c>
      <c r="L22" s="337">
        <v>0.03</v>
      </c>
      <c r="M22" s="337"/>
      <c r="N22" s="337"/>
      <c r="O22" s="337"/>
      <c r="P22" s="338">
        <v>89214</v>
      </c>
      <c r="Q22" s="337">
        <v>0.03</v>
      </c>
      <c r="R22" s="338">
        <v>89214</v>
      </c>
    </row>
    <row r="23" spans="1:18" ht="18" customHeight="1" x14ac:dyDescent="0.3">
      <c r="A23" s="346" t="s">
        <v>71</v>
      </c>
      <c r="B23" s="346"/>
      <c r="C23" s="346">
        <v>113</v>
      </c>
      <c r="D23" s="347">
        <v>50214403</v>
      </c>
      <c r="E23" s="346"/>
      <c r="F23" s="346"/>
      <c r="G23" s="347">
        <v>50214403</v>
      </c>
      <c r="H23" s="346">
        <v>16.93</v>
      </c>
      <c r="I23" s="347">
        <v>50214403</v>
      </c>
      <c r="J23" s="346"/>
      <c r="K23" s="347">
        <v>50214403</v>
      </c>
      <c r="L23" s="346">
        <v>16.93</v>
      </c>
      <c r="M23" s="346"/>
      <c r="N23" s="346"/>
      <c r="O23" s="346"/>
      <c r="P23" s="347">
        <v>50214403</v>
      </c>
      <c r="Q23" s="346">
        <v>16.920000000000002</v>
      </c>
      <c r="R23" s="347">
        <v>50214403</v>
      </c>
    </row>
    <row r="24" spans="1:18" ht="18" customHeight="1" x14ac:dyDescent="0.3">
      <c r="A24" s="336" t="s">
        <v>72</v>
      </c>
      <c r="B24" s="336"/>
      <c r="C24" s="336">
        <v>0</v>
      </c>
      <c r="D24" s="336"/>
      <c r="E24" s="336"/>
      <c r="F24" s="336"/>
      <c r="G24" s="336"/>
      <c r="H24" s="336">
        <v>0</v>
      </c>
      <c r="I24" s="336"/>
      <c r="J24" s="336"/>
      <c r="K24" s="336"/>
      <c r="L24" s="336">
        <v>0</v>
      </c>
      <c r="M24" s="336"/>
      <c r="N24" s="336"/>
      <c r="O24" s="336"/>
      <c r="P24" s="336"/>
      <c r="Q24" s="336">
        <v>0</v>
      </c>
      <c r="R24" s="336"/>
    </row>
    <row r="25" spans="1:18" ht="15.75" customHeight="1" x14ac:dyDescent="0.3">
      <c r="A25" s="343" t="s">
        <v>73</v>
      </c>
      <c r="B25" s="343"/>
      <c r="C25" s="343">
        <v>455</v>
      </c>
      <c r="D25" s="344">
        <v>18667693</v>
      </c>
      <c r="E25" s="343"/>
      <c r="F25" s="343"/>
      <c r="G25" s="344">
        <v>18667693</v>
      </c>
      <c r="H25" s="343">
        <v>6.3</v>
      </c>
      <c r="I25" s="344">
        <v>18667693</v>
      </c>
      <c r="J25" s="343"/>
      <c r="K25" s="344">
        <v>18667693</v>
      </c>
      <c r="L25" s="343">
        <v>6.3</v>
      </c>
      <c r="M25" s="343"/>
      <c r="N25" s="343"/>
      <c r="O25" s="343"/>
      <c r="P25" s="344">
        <v>18667693</v>
      </c>
      <c r="Q25" s="343">
        <v>6.29</v>
      </c>
      <c r="R25" s="344">
        <v>18667693</v>
      </c>
    </row>
    <row r="26" spans="1:18" ht="15.75" customHeight="1" x14ac:dyDescent="0.3">
      <c r="A26" s="337" t="s">
        <v>74</v>
      </c>
      <c r="B26" s="337"/>
      <c r="C26" s="337">
        <v>27</v>
      </c>
      <c r="D26" s="338">
        <v>620614</v>
      </c>
      <c r="E26" s="337"/>
      <c r="F26" s="337"/>
      <c r="G26" s="338">
        <v>620614</v>
      </c>
      <c r="H26" s="337">
        <v>0.21</v>
      </c>
      <c r="I26" s="338">
        <v>620614</v>
      </c>
      <c r="J26" s="337"/>
      <c r="K26" s="338">
        <v>620614</v>
      </c>
      <c r="L26" s="337">
        <v>0.21</v>
      </c>
      <c r="M26" s="337"/>
      <c r="N26" s="337"/>
      <c r="O26" s="337"/>
      <c r="P26" s="338">
        <v>620614</v>
      </c>
      <c r="Q26" s="337">
        <v>0.21</v>
      </c>
      <c r="R26" s="338">
        <v>620614</v>
      </c>
    </row>
    <row r="27" spans="1:18" ht="18" customHeight="1" x14ac:dyDescent="0.3">
      <c r="A27" s="346" t="s">
        <v>75</v>
      </c>
      <c r="B27" s="346"/>
      <c r="C27" s="346">
        <v>482</v>
      </c>
      <c r="D27" s="347">
        <v>19288307</v>
      </c>
      <c r="E27" s="346"/>
      <c r="F27" s="346"/>
      <c r="G27" s="347">
        <v>19288307</v>
      </c>
      <c r="H27" s="346">
        <v>6.51</v>
      </c>
      <c r="I27" s="347">
        <v>19288307</v>
      </c>
      <c r="J27" s="346"/>
      <c r="K27" s="347">
        <v>19288307</v>
      </c>
      <c r="L27" s="346">
        <v>6.51</v>
      </c>
      <c r="M27" s="346"/>
      <c r="N27" s="346"/>
      <c r="O27" s="346"/>
      <c r="P27" s="347">
        <v>19288307</v>
      </c>
      <c r="Q27" s="346">
        <v>6.5</v>
      </c>
      <c r="R27" s="347">
        <v>19288307</v>
      </c>
    </row>
    <row r="28" spans="1:18" ht="29.25" customHeight="1" x14ac:dyDescent="0.3">
      <c r="A28" s="336" t="s">
        <v>76</v>
      </c>
      <c r="B28" s="336"/>
      <c r="C28" s="336">
        <v>0</v>
      </c>
      <c r="D28" s="336"/>
      <c r="E28" s="336"/>
      <c r="F28" s="336"/>
      <c r="G28" s="336"/>
      <c r="H28" s="336">
        <v>0</v>
      </c>
      <c r="I28" s="336"/>
      <c r="J28" s="336"/>
      <c r="K28" s="336"/>
      <c r="L28" s="336">
        <v>0</v>
      </c>
      <c r="M28" s="336"/>
      <c r="N28" s="336"/>
      <c r="O28" s="336"/>
      <c r="P28" s="336"/>
      <c r="Q28" s="336">
        <v>0</v>
      </c>
      <c r="R28" s="336"/>
    </row>
    <row r="29" spans="1:18" ht="18" customHeight="1" x14ac:dyDescent="0.3">
      <c r="A29" s="345" t="s">
        <v>77</v>
      </c>
      <c r="B29" s="345"/>
      <c r="C29" s="345">
        <v>0</v>
      </c>
      <c r="D29" s="345"/>
      <c r="E29" s="345"/>
      <c r="F29" s="345"/>
      <c r="G29" s="345"/>
      <c r="H29" s="345">
        <v>0</v>
      </c>
      <c r="I29" s="345"/>
      <c r="J29" s="345"/>
      <c r="K29" s="345" t="s">
        <v>78</v>
      </c>
      <c r="L29" s="345">
        <v>0</v>
      </c>
      <c r="M29" s="345"/>
      <c r="N29" s="345"/>
      <c r="O29" s="345" t="s">
        <v>78</v>
      </c>
      <c r="P29" s="345" t="s">
        <v>78</v>
      </c>
      <c r="Q29" s="345">
        <v>0</v>
      </c>
      <c r="R29" s="345"/>
    </row>
    <row r="30" spans="1:18" ht="18" customHeight="1" x14ac:dyDescent="0.3">
      <c r="A30" s="336" t="s">
        <v>79</v>
      </c>
      <c r="B30" s="336"/>
      <c r="C30" s="336">
        <v>0</v>
      </c>
      <c r="D30" s="336"/>
      <c r="E30" s="336"/>
      <c r="F30" s="336"/>
      <c r="G30" s="336"/>
      <c r="H30" s="336">
        <v>0</v>
      </c>
      <c r="I30" s="336"/>
      <c r="J30" s="336"/>
      <c r="K30" s="336"/>
      <c r="L30" s="336">
        <v>0</v>
      </c>
      <c r="M30" s="336"/>
      <c r="N30" s="336"/>
      <c r="O30" s="336"/>
      <c r="P30" s="336"/>
      <c r="Q30" s="336">
        <v>0</v>
      </c>
      <c r="R30" s="336"/>
    </row>
    <row r="31" spans="1:18" ht="14.25" customHeight="1" x14ac:dyDescent="0.3">
      <c r="A31" s="343" t="s">
        <v>80</v>
      </c>
      <c r="B31" s="343"/>
      <c r="C31" s="343">
        <v>1</v>
      </c>
      <c r="D31" s="344">
        <v>93849</v>
      </c>
      <c r="E31" s="343"/>
      <c r="F31" s="343"/>
      <c r="G31" s="344">
        <v>93849</v>
      </c>
      <c r="H31" s="343">
        <v>0.03</v>
      </c>
      <c r="I31" s="344">
        <v>93849</v>
      </c>
      <c r="J31" s="343"/>
      <c r="K31" s="344">
        <v>93849</v>
      </c>
      <c r="L31" s="343">
        <v>0.03</v>
      </c>
      <c r="M31" s="343"/>
      <c r="N31" s="343"/>
      <c r="O31" s="343"/>
      <c r="P31" s="344">
        <v>93849</v>
      </c>
      <c r="Q31" s="343">
        <v>0.03</v>
      </c>
      <c r="R31" s="344">
        <v>93849</v>
      </c>
    </row>
    <row r="32" spans="1:18" ht="28.5" customHeight="1" x14ac:dyDescent="0.3">
      <c r="A32" s="337" t="s">
        <v>81</v>
      </c>
      <c r="B32" s="337"/>
      <c r="C32" s="337">
        <v>360593</v>
      </c>
      <c r="D32" s="338">
        <v>15515724</v>
      </c>
      <c r="E32" s="337"/>
      <c r="F32" s="337"/>
      <c r="G32" s="338">
        <v>15515724</v>
      </c>
      <c r="H32" s="337">
        <v>5.23</v>
      </c>
      <c r="I32" s="338">
        <v>15515724</v>
      </c>
      <c r="J32" s="337"/>
      <c r="K32" s="338">
        <v>15515724</v>
      </c>
      <c r="L32" s="337">
        <v>5.23</v>
      </c>
      <c r="M32" s="337"/>
      <c r="N32" s="337"/>
      <c r="O32" s="337"/>
      <c r="P32" s="338">
        <v>15515724</v>
      </c>
      <c r="Q32" s="337">
        <v>5.23</v>
      </c>
      <c r="R32" s="338">
        <v>15510847</v>
      </c>
    </row>
    <row r="33" spans="1:18" ht="28.5" customHeight="1" x14ac:dyDescent="0.3">
      <c r="A33" s="343" t="s">
        <v>82</v>
      </c>
      <c r="B33" s="343"/>
      <c r="C33" s="343">
        <v>3</v>
      </c>
      <c r="D33" s="344">
        <v>1668088</v>
      </c>
      <c r="E33" s="343"/>
      <c r="F33" s="343"/>
      <c r="G33" s="344">
        <v>1668088</v>
      </c>
      <c r="H33" s="343">
        <v>0.56000000000000005</v>
      </c>
      <c r="I33" s="344">
        <v>1668088</v>
      </c>
      <c r="J33" s="343"/>
      <c r="K33" s="344">
        <v>1668088</v>
      </c>
      <c r="L33" s="343">
        <v>0.56000000000000005</v>
      </c>
      <c r="M33" s="343"/>
      <c r="N33" s="343"/>
      <c r="O33" s="343"/>
      <c r="P33" s="344">
        <v>1668088</v>
      </c>
      <c r="Q33" s="343">
        <v>0.56000000000000005</v>
      </c>
      <c r="R33" s="344">
        <v>1668088</v>
      </c>
    </row>
    <row r="34" spans="1:18" ht="15.75" customHeight="1" x14ac:dyDescent="0.3">
      <c r="A34" s="337" t="s">
        <v>83</v>
      </c>
      <c r="B34" s="337"/>
      <c r="C34" s="337">
        <v>10595</v>
      </c>
      <c r="D34" s="338">
        <v>5434602</v>
      </c>
      <c r="E34" s="337"/>
      <c r="F34" s="337"/>
      <c r="G34" s="338">
        <v>5434602</v>
      </c>
      <c r="H34" s="337">
        <v>1.83</v>
      </c>
      <c r="I34" s="338">
        <v>5434602</v>
      </c>
      <c r="J34" s="337"/>
      <c r="K34" s="338">
        <v>5434602</v>
      </c>
      <c r="L34" s="337">
        <v>1.83</v>
      </c>
      <c r="M34" s="337"/>
      <c r="N34" s="337"/>
      <c r="O34" s="337"/>
      <c r="P34" s="338">
        <v>5434602</v>
      </c>
      <c r="Q34" s="337">
        <v>1.83</v>
      </c>
      <c r="R34" s="338">
        <v>5434152</v>
      </c>
    </row>
    <row r="35" spans="1:18" ht="15.75" customHeight="1" x14ac:dyDescent="0.3">
      <c r="A35" s="343" t="s">
        <v>84</v>
      </c>
      <c r="B35" s="343"/>
      <c r="C35" s="343">
        <v>17</v>
      </c>
      <c r="D35" s="344">
        <v>167612</v>
      </c>
      <c r="E35" s="343"/>
      <c r="F35" s="343"/>
      <c r="G35" s="344">
        <v>167612</v>
      </c>
      <c r="H35" s="343">
        <v>0.06</v>
      </c>
      <c r="I35" s="344">
        <v>167612</v>
      </c>
      <c r="J35" s="343"/>
      <c r="K35" s="344">
        <v>167612</v>
      </c>
      <c r="L35" s="343">
        <v>0.06</v>
      </c>
      <c r="M35" s="343"/>
      <c r="N35" s="343"/>
      <c r="O35" s="343"/>
      <c r="P35" s="344">
        <v>167612</v>
      </c>
      <c r="Q35" s="343">
        <v>0.06</v>
      </c>
      <c r="R35" s="344">
        <v>167612</v>
      </c>
    </row>
    <row r="36" spans="1:18" ht="15.75" customHeight="1" x14ac:dyDescent="0.3">
      <c r="A36" s="337" t="s">
        <v>55</v>
      </c>
      <c r="B36" s="337"/>
      <c r="C36" s="337">
        <v>1087</v>
      </c>
      <c r="D36" s="338">
        <v>410209</v>
      </c>
      <c r="E36" s="337"/>
      <c r="F36" s="337"/>
      <c r="G36" s="338">
        <v>410209</v>
      </c>
      <c r="H36" s="337">
        <v>0.14000000000000001</v>
      </c>
      <c r="I36" s="338">
        <v>410209</v>
      </c>
      <c r="J36" s="337"/>
      <c r="K36" s="338">
        <v>410209</v>
      </c>
      <c r="L36" s="337">
        <v>0.14000000000000001</v>
      </c>
      <c r="M36" s="337"/>
      <c r="N36" s="338">
        <v>291467</v>
      </c>
      <c r="O36" s="338">
        <v>291467</v>
      </c>
      <c r="P36" s="338">
        <v>701676</v>
      </c>
      <c r="Q36" s="337">
        <v>0.24</v>
      </c>
      <c r="R36" s="338">
        <v>410209</v>
      </c>
    </row>
    <row r="37" spans="1:18" ht="15.75" customHeight="1" x14ac:dyDescent="0.3">
      <c r="A37" s="343" t="s">
        <v>85</v>
      </c>
      <c r="B37" s="343"/>
      <c r="C37" s="343">
        <v>53</v>
      </c>
      <c r="D37" s="344">
        <v>27408</v>
      </c>
      <c r="E37" s="343"/>
      <c r="F37" s="343"/>
      <c r="G37" s="344">
        <v>27408</v>
      </c>
      <c r="H37" s="343">
        <v>0.01</v>
      </c>
      <c r="I37" s="344">
        <v>27408</v>
      </c>
      <c r="J37" s="343"/>
      <c r="K37" s="344">
        <v>27408</v>
      </c>
      <c r="L37" s="343">
        <v>0.01</v>
      </c>
      <c r="M37" s="343"/>
      <c r="N37" s="343"/>
      <c r="O37" s="343"/>
      <c r="P37" s="344">
        <v>27408</v>
      </c>
      <c r="Q37" s="343">
        <v>0.01</v>
      </c>
      <c r="R37" s="344">
        <v>27408</v>
      </c>
    </row>
    <row r="38" spans="1:18" ht="15.75" customHeight="1" x14ac:dyDescent="0.3">
      <c r="A38" s="337" t="s">
        <v>84</v>
      </c>
      <c r="B38" s="337"/>
      <c r="C38" s="337">
        <v>5</v>
      </c>
      <c r="D38" s="338">
        <v>20525</v>
      </c>
      <c r="E38" s="337"/>
      <c r="F38" s="337"/>
      <c r="G38" s="338">
        <v>20525</v>
      </c>
      <c r="H38" s="337">
        <v>0.01</v>
      </c>
      <c r="I38" s="338">
        <v>20525</v>
      </c>
      <c r="J38" s="337"/>
      <c r="K38" s="338">
        <v>20525</v>
      </c>
      <c r="L38" s="337">
        <v>0.01</v>
      </c>
      <c r="M38" s="337"/>
      <c r="N38" s="337"/>
      <c r="O38" s="337"/>
      <c r="P38" s="338">
        <v>20525</v>
      </c>
      <c r="Q38" s="337">
        <v>0.01</v>
      </c>
      <c r="R38" s="337"/>
    </row>
    <row r="39" spans="1:18" ht="15.75" customHeight="1" x14ac:dyDescent="0.3">
      <c r="A39" s="343" t="s">
        <v>86</v>
      </c>
      <c r="B39" s="343"/>
      <c r="C39" s="343">
        <v>7028</v>
      </c>
      <c r="D39" s="344">
        <v>323451</v>
      </c>
      <c r="E39" s="343"/>
      <c r="F39" s="343"/>
      <c r="G39" s="344">
        <v>323451</v>
      </c>
      <c r="H39" s="343">
        <v>0.11</v>
      </c>
      <c r="I39" s="344">
        <v>323451</v>
      </c>
      <c r="J39" s="343"/>
      <c r="K39" s="344">
        <v>323451</v>
      </c>
      <c r="L39" s="343">
        <v>0.11</v>
      </c>
      <c r="M39" s="343"/>
      <c r="N39" s="343"/>
      <c r="O39" s="343"/>
      <c r="P39" s="344">
        <v>323451</v>
      </c>
      <c r="Q39" s="343">
        <v>0.11</v>
      </c>
      <c r="R39" s="344">
        <v>323451</v>
      </c>
    </row>
    <row r="40" spans="1:18" ht="15.75" customHeight="1" x14ac:dyDescent="0.3">
      <c r="A40" s="337" t="s">
        <v>87</v>
      </c>
      <c r="B40" s="337"/>
      <c r="C40" s="337">
        <v>131</v>
      </c>
      <c r="D40" s="338">
        <v>23674</v>
      </c>
      <c r="E40" s="337"/>
      <c r="F40" s="337"/>
      <c r="G40" s="338">
        <v>23674</v>
      </c>
      <c r="H40" s="337">
        <v>0.01</v>
      </c>
      <c r="I40" s="338">
        <v>23674</v>
      </c>
      <c r="J40" s="337"/>
      <c r="K40" s="338">
        <v>23674</v>
      </c>
      <c r="L40" s="337">
        <v>0.01</v>
      </c>
      <c r="M40" s="337"/>
      <c r="N40" s="337"/>
      <c r="O40" s="337"/>
      <c r="P40" s="338">
        <v>23674</v>
      </c>
      <c r="Q40" s="337">
        <v>0.01</v>
      </c>
      <c r="R40" s="338">
        <v>23674</v>
      </c>
    </row>
    <row r="41" spans="1:18" ht="15.75" customHeight="1" x14ac:dyDescent="0.3">
      <c r="A41" s="343" t="s">
        <v>88</v>
      </c>
      <c r="B41" s="343"/>
      <c r="C41" s="343">
        <v>20</v>
      </c>
      <c r="D41" s="344">
        <v>82427</v>
      </c>
      <c r="E41" s="343"/>
      <c r="F41" s="343"/>
      <c r="G41" s="344">
        <v>82427</v>
      </c>
      <c r="H41" s="343">
        <v>0.03</v>
      </c>
      <c r="I41" s="344">
        <v>82427</v>
      </c>
      <c r="J41" s="343"/>
      <c r="K41" s="344">
        <v>82427</v>
      </c>
      <c r="L41" s="343">
        <v>0.03</v>
      </c>
      <c r="M41" s="343"/>
      <c r="N41" s="343"/>
      <c r="O41" s="343"/>
      <c r="P41" s="344">
        <v>82427</v>
      </c>
      <c r="Q41" s="343">
        <v>0.03</v>
      </c>
      <c r="R41" s="343"/>
    </row>
    <row r="42" spans="1:18" ht="15.75" customHeight="1" x14ac:dyDescent="0.3">
      <c r="A42" s="337" t="s">
        <v>89</v>
      </c>
      <c r="B42" s="337"/>
      <c r="C42" s="337">
        <v>8</v>
      </c>
      <c r="D42" s="338">
        <v>49687</v>
      </c>
      <c r="E42" s="337"/>
      <c r="F42" s="337"/>
      <c r="G42" s="338">
        <v>49687</v>
      </c>
      <c r="H42" s="337">
        <v>0.02</v>
      </c>
      <c r="I42" s="338">
        <v>49687</v>
      </c>
      <c r="J42" s="337"/>
      <c r="K42" s="338">
        <v>49687</v>
      </c>
      <c r="L42" s="337">
        <v>0.02</v>
      </c>
      <c r="M42" s="337"/>
      <c r="N42" s="337"/>
      <c r="O42" s="337"/>
      <c r="P42" s="338">
        <v>49687</v>
      </c>
      <c r="Q42" s="337">
        <v>0.02</v>
      </c>
      <c r="R42" s="338">
        <v>49687</v>
      </c>
    </row>
    <row r="43" spans="1:18" ht="18" customHeight="1" x14ac:dyDescent="0.3">
      <c r="A43" s="346" t="s">
        <v>90</v>
      </c>
      <c r="B43" s="346"/>
      <c r="C43" s="346">
        <v>379541</v>
      </c>
      <c r="D43" s="347">
        <v>23817256</v>
      </c>
      <c r="E43" s="346"/>
      <c r="F43" s="346"/>
      <c r="G43" s="347">
        <v>23817256</v>
      </c>
      <c r="H43" s="346">
        <v>8.0399999999999991</v>
      </c>
      <c r="I43" s="347">
        <v>23817256</v>
      </c>
      <c r="J43" s="346"/>
      <c r="K43" s="347">
        <v>23817256</v>
      </c>
      <c r="L43" s="346">
        <v>8.0399999999999991</v>
      </c>
      <c r="M43" s="346"/>
      <c r="N43" s="347">
        <v>291467</v>
      </c>
      <c r="O43" s="347">
        <v>291467</v>
      </c>
      <c r="P43" s="347">
        <v>24108723</v>
      </c>
      <c r="Q43" s="346">
        <v>8.14</v>
      </c>
      <c r="R43" s="347">
        <v>23708977</v>
      </c>
    </row>
    <row r="44" spans="1:18" ht="18" customHeight="1" x14ac:dyDescent="0.3">
      <c r="A44" s="346" t="s">
        <v>91</v>
      </c>
      <c r="B44" s="346"/>
      <c r="C44" s="346">
        <v>380136</v>
      </c>
      <c r="D44" s="347">
        <v>93319966</v>
      </c>
      <c r="E44" s="346"/>
      <c r="F44" s="346"/>
      <c r="G44" s="347">
        <v>93319966</v>
      </c>
      <c r="H44" s="346">
        <v>31.48</v>
      </c>
      <c r="I44" s="347">
        <v>93319966</v>
      </c>
      <c r="J44" s="346"/>
      <c r="K44" s="347">
        <v>93319966</v>
      </c>
      <c r="L44" s="346">
        <v>31.48</v>
      </c>
      <c r="M44" s="346"/>
      <c r="N44" s="347">
        <v>291467</v>
      </c>
      <c r="O44" s="347">
        <v>291467</v>
      </c>
      <c r="P44" s="347">
        <v>93611433</v>
      </c>
      <c r="Q44" s="346">
        <v>31.56</v>
      </c>
      <c r="R44" s="347">
        <v>93211687</v>
      </c>
    </row>
    <row r="45" spans="1:18" ht="19.5" customHeight="1" x14ac:dyDescent="0.3">
      <c r="A45" s="348" t="s">
        <v>92</v>
      </c>
      <c r="B45" s="348"/>
      <c r="C45" s="348">
        <v>0</v>
      </c>
      <c r="D45" s="348"/>
      <c r="E45" s="348"/>
      <c r="F45" s="348"/>
      <c r="G45" s="348"/>
      <c r="H45" s="348">
        <v>0</v>
      </c>
      <c r="I45" s="348"/>
      <c r="J45" s="348"/>
      <c r="K45" s="348"/>
      <c r="L45" s="348">
        <v>0</v>
      </c>
      <c r="M45" s="348"/>
      <c r="N45" s="348"/>
      <c r="O45" s="348"/>
      <c r="P45" s="348"/>
      <c r="Q45" s="348">
        <v>0</v>
      </c>
      <c r="R45" s="348"/>
    </row>
    <row r="46" spans="1:18" ht="18" customHeight="1" x14ac:dyDescent="0.3">
      <c r="A46" s="352" t="s">
        <v>93</v>
      </c>
      <c r="B46" s="352"/>
      <c r="C46" s="352">
        <v>0</v>
      </c>
      <c r="D46" s="352"/>
      <c r="E46" s="352"/>
      <c r="F46" s="352"/>
      <c r="G46" s="352"/>
      <c r="H46" s="352">
        <v>0</v>
      </c>
      <c r="I46" s="352"/>
      <c r="J46" s="352"/>
      <c r="K46" s="352"/>
      <c r="L46" s="352">
        <v>0</v>
      </c>
      <c r="M46" s="352"/>
      <c r="N46" s="352"/>
      <c r="O46" s="352"/>
      <c r="P46" s="352"/>
      <c r="Q46" s="352">
        <v>0</v>
      </c>
      <c r="R46" s="352"/>
    </row>
    <row r="47" spans="1:18" ht="18" customHeight="1" x14ac:dyDescent="0.3">
      <c r="A47" s="353" t="s">
        <v>94</v>
      </c>
      <c r="B47" s="353"/>
      <c r="C47" s="353">
        <v>0</v>
      </c>
      <c r="D47" s="353"/>
      <c r="E47" s="353"/>
      <c r="F47" s="353"/>
      <c r="G47" s="353"/>
      <c r="H47" s="353">
        <v>0</v>
      </c>
      <c r="I47" s="353"/>
      <c r="J47" s="353"/>
      <c r="K47" s="353" t="s">
        <v>78</v>
      </c>
      <c r="L47" s="353">
        <v>0</v>
      </c>
      <c r="M47" s="353"/>
      <c r="N47" s="353"/>
      <c r="O47" s="353"/>
      <c r="P47" s="353"/>
      <c r="Q47" s="353">
        <v>0</v>
      </c>
      <c r="R47" s="353"/>
    </row>
    <row r="48" spans="1:18" ht="18" customHeight="1" x14ac:dyDescent="0.3">
      <c r="A48" s="352" t="s">
        <v>95</v>
      </c>
      <c r="B48" s="352"/>
      <c r="C48" s="352">
        <v>0</v>
      </c>
      <c r="D48" s="352"/>
      <c r="E48" s="352"/>
      <c r="F48" s="352"/>
      <c r="G48" s="352"/>
      <c r="H48" s="352">
        <v>0</v>
      </c>
      <c r="I48" s="352"/>
      <c r="J48" s="352"/>
      <c r="K48" s="352"/>
      <c r="L48" s="352">
        <v>0</v>
      </c>
      <c r="M48" s="352"/>
      <c r="N48" s="352"/>
      <c r="O48" s="352"/>
      <c r="P48" s="352"/>
      <c r="Q48" s="352">
        <v>0</v>
      </c>
      <c r="R48" s="352"/>
    </row>
    <row r="49" spans="1:18" ht="18" customHeight="1" x14ac:dyDescent="0.3">
      <c r="A49" s="353" t="s">
        <v>96</v>
      </c>
      <c r="B49" s="353"/>
      <c r="C49" s="353">
        <v>0</v>
      </c>
      <c r="D49" s="353"/>
      <c r="E49" s="353"/>
      <c r="F49" s="353"/>
      <c r="G49" s="353"/>
      <c r="H49" s="353">
        <v>0</v>
      </c>
      <c r="I49" s="353"/>
      <c r="J49" s="353"/>
      <c r="K49" s="353" t="s">
        <v>78</v>
      </c>
      <c r="L49" s="353">
        <v>0</v>
      </c>
      <c r="M49" s="353"/>
      <c r="N49" s="353"/>
      <c r="O49" s="353"/>
      <c r="P49" s="353"/>
      <c r="Q49" s="353">
        <v>0</v>
      </c>
      <c r="R49" s="353"/>
    </row>
    <row r="50" spans="1:18" ht="18" customHeight="1" x14ac:dyDescent="0.3">
      <c r="A50" s="353" t="s">
        <v>97</v>
      </c>
      <c r="B50" s="353"/>
      <c r="C50" s="353">
        <v>0</v>
      </c>
      <c r="D50" s="353"/>
      <c r="E50" s="353"/>
      <c r="F50" s="353"/>
      <c r="G50" s="353"/>
      <c r="H50" s="353">
        <v>0</v>
      </c>
      <c r="I50" s="353"/>
      <c r="J50" s="353"/>
      <c r="K50" s="353" t="s">
        <v>78</v>
      </c>
      <c r="L50" s="353">
        <v>0</v>
      </c>
      <c r="M50" s="353"/>
      <c r="N50" s="353"/>
      <c r="O50" s="353"/>
      <c r="P50" s="353"/>
      <c r="Q50" s="353">
        <v>0</v>
      </c>
      <c r="R50" s="353"/>
    </row>
    <row r="51" spans="1:18" ht="19.5" customHeight="1" x14ac:dyDescent="0.3">
      <c r="A51" s="349" t="s">
        <v>98</v>
      </c>
      <c r="B51" s="349"/>
      <c r="C51" s="349">
        <v>380137</v>
      </c>
      <c r="D51" s="350">
        <v>296489245</v>
      </c>
      <c r="E51" s="349"/>
      <c r="F51" s="349"/>
      <c r="G51" s="350">
        <v>296489245</v>
      </c>
      <c r="H51" s="349">
        <v>100.01</v>
      </c>
      <c r="I51" s="350">
        <v>296489245</v>
      </c>
      <c r="J51" s="349"/>
      <c r="K51" s="350">
        <v>296489245</v>
      </c>
      <c r="L51" s="349">
        <v>100.01</v>
      </c>
      <c r="M51" s="349"/>
      <c r="N51" s="350">
        <v>291467</v>
      </c>
      <c r="O51" s="350">
        <v>291467</v>
      </c>
      <c r="P51" s="350">
        <v>296780712</v>
      </c>
      <c r="Q51" s="349">
        <v>100.02</v>
      </c>
      <c r="R51" s="350">
        <v>296380966</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
  <sheetViews>
    <sheetView showGridLines="0" workbookViewId="0">
      <selection activeCell="A66" sqref="A66"/>
    </sheetView>
  </sheetViews>
  <sheetFormatPr defaultColWidth="8.6640625" defaultRowHeight="14.4" x14ac:dyDescent="0.3"/>
  <cols>
    <col min="1" max="1" width="48" style="1" customWidth="1"/>
    <col min="2" max="2" width="14" style="1" customWidth="1"/>
    <col min="3" max="3" width="16" style="1" customWidth="1"/>
    <col min="4" max="4" width="14" style="1" customWidth="1"/>
    <col min="5" max="5" width="12" style="1" customWidth="1"/>
    <col min="6" max="6" width="14" style="1" customWidth="1"/>
    <col min="7" max="8" width="13" style="1" customWidth="1"/>
    <col min="9" max="9" width="16" style="1" customWidth="1"/>
    <col min="10" max="10" width="14" style="1" customWidth="1"/>
    <col min="11" max="11" width="16" style="1" customWidth="1"/>
  </cols>
  <sheetData>
    <row r="1" spans="1:11" x14ac:dyDescent="0.3">
      <c r="A1" s="354" t="s">
        <v>99</v>
      </c>
      <c r="B1" s="354" t="s">
        <v>100</v>
      </c>
      <c r="C1" s="354" t="s">
        <v>101</v>
      </c>
      <c r="D1" s="354" t="s">
        <v>102</v>
      </c>
      <c r="E1" s="354" t="s">
        <v>103</v>
      </c>
      <c r="F1" s="354" t="s">
        <v>48</v>
      </c>
      <c r="G1" s="354" t="s">
        <v>104</v>
      </c>
      <c r="H1" s="354" t="s">
        <v>44</v>
      </c>
      <c r="I1" s="354" t="s">
        <v>45</v>
      </c>
      <c r="J1" s="354" t="s">
        <v>105</v>
      </c>
      <c r="K1" s="354" t="s">
        <v>106</v>
      </c>
    </row>
    <row r="2" spans="1:11" x14ac:dyDescent="0.3">
      <c r="A2" s="354"/>
      <c r="B2" s="354"/>
      <c r="C2" s="354"/>
      <c r="D2" s="354"/>
      <c r="E2" s="354"/>
      <c r="F2" s="354"/>
      <c r="G2" s="354"/>
      <c r="H2" s="354"/>
      <c r="I2" s="354"/>
      <c r="J2" s="354"/>
      <c r="K2" s="354"/>
    </row>
    <row r="3" spans="1:11" x14ac:dyDescent="0.3">
      <c r="A3" s="354"/>
      <c r="B3" s="354"/>
      <c r="C3" s="354"/>
      <c r="D3" s="354"/>
      <c r="E3" s="354"/>
      <c r="F3" s="354"/>
      <c r="G3" s="354"/>
      <c r="H3" s="354"/>
      <c r="I3" s="354"/>
      <c r="J3" s="354"/>
      <c r="K3" s="354"/>
    </row>
    <row r="4" spans="1:11" x14ac:dyDescent="0.3">
      <c r="A4" s="172"/>
      <c r="B4" s="172"/>
      <c r="C4" s="172"/>
      <c r="D4" s="172"/>
      <c r="E4" s="172"/>
      <c r="F4" s="172"/>
      <c r="G4" s="172"/>
      <c r="H4" s="172"/>
      <c r="I4" s="172"/>
      <c r="J4" s="172"/>
      <c r="K4" s="172"/>
    </row>
    <row r="5" spans="1:11" x14ac:dyDescent="0.3">
      <c r="A5" s="334" t="s">
        <v>107</v>
      </c>
      <c r="B5" s="334">
        <v>0</v>
      </c>
      <c r="C5" s="334">
        <v>0</v>
      </c>
      <c r="D5" s="334"/>
      <c r="E5" s="334">
        <v>0</v>
      </c>
      <c r="F5" s="334"/>
      <c r="G5" s="334">
        <v>0</v>
      </c>
      <c r="H5" s="334"/>
      <c r="I5" s="334"/>
      <c r="J5" s="334">
        <v>0</v>
      </c>
      <c r="K5" s="334"/>
    </row>
    <row r="6" spans="1:11" x14ac:dyDescent="0.3">
      <c r="A6" s="336" t="s">
        <v>62</v>
      </c>
      <c r="B6" s="336">
        <v>0</v>
      </c>
      <c r="C6" s="336">
        <v>0</v>
      </c>
      <c r="D6" s="336"/>
      <c r="E6" s="336">
        <v>0</v>
      </c>
      <c r="F6" s="336"/>
      <c r="G6" s="336">
        <v>0</v>
      </c>
      <c r="H6" s="336"/>
      <c r="I6" s="336"/>
      <c r="J6" s="336">
        <v>0</v>
      </c>
      <c r="K6" s="336"/>
    </row>
    <row r="7" spans="1:11" x14ac:dyDescent="0.3">
      <c r="A7" s="343" t="s">
        <v>108</v>
      </c>
      <c r="B7" s="343">
        <v>35</v>
      </c>
      <c r="C7" s="343">
        <v>12833231</v>
      </c>
      <c r="D7" s="344">
        <v>12833231</v>
      </c>
      <c r="E7" s="343">
        <v>4.33</v>
      </c>
      <c r="F7" s="344">
        <v>12833231</v>
      </c>
      <c r="G7" s="343">
        <v>4.33</v>
      </c>
      <c r="H7" s="343"/>
      <c r="I7" s="344">
        <v>12833231</v>
      </c>
      <c r="J7" s="343">
        <v>4.32</v>
      </c>
      <c r="K7" s="344">
        <v>12833231</v>
      </c>
    </row>
    <row r="8" spans="1:11" x14ac:dyDescent="0.3">
      <c r="A8" s="337" t="s">
        <v>109</v>
      </c>
      <c r="B8" s="337">
        <v>0</v>
      </c>
      <c r="C8" s="337">
        <v>0</v>
      </c>
      <c r="D8" s="337"/>
      <c r="E8" s="337">
        <v>0</v>
      </c>
      <c r="F8" s="337"/>
      <c r="G8" s="337">
        <v>0</v>
      </c>
      <c r="H8" s="337"/>
      <c r="I8" s="337"/>
      <c r="J8" s="337">
        <v>0</v>
      </c>
      <c r="K8" s="337"/>
    </row>
    <row r="9" spans="1:11" x14ac:dyDescent="0.3">
      <c r="A9" s="343" t="s">
        <v>64</v>
      </c>
      <c r="B9" s="343">
        <v>13</v>
      </c>
      <c r="C9" s="343">
        <v>338888</v>
      </c>
      <c r="D9" s="344">
        <v>338888</v>
      </c>
      <c r="E9" s="343">
        <v>0.11</v>
      </c>
      <c r="F9" s="344">
        <v>338888</v>
      </c>
      <c r="G9" s="343">
        <v>0.11</v>
      </c>
      <c r="H9" s="343"/>
      <c r="I9" s="344">
        <v>338888</v>
      </c>
      <c r="J9" s="343">
        <v>0.11</v>
      </c>
      <c r="K9" s="344">
        <v>338888</v>
      </c>
    </row>
    <row r="10" spans="1:11" x14ac:dyDescent="0.3">
      <c r="A10" s="337" t="s">
        <v>65</v>
      </c>
      <c r="B10" s="337">
        <v>4</v>
      </c>
      <c r="C10" s="337">
        <v>104</v>
      </c>
      <c r="D10" s="337">
        <v>104</v>
      </c>
      <c r="E10" s="337">
        <v>0</v>
      </c>
      <c r="F10" s="337">
        <v>104</v>
      </c>
      <c r="G10" s="337">
        <v>0</v>
      </c>
      <c r="H10" s="337"/>
      <c r="I10" s="337">
        <v>104</v>
      </c>
      <c r="J10" s="337">
        <v>0</v>
      </c>
      <c r="K10" s="337">
        <v>104</v>
      </c>
    </row>
    <row r="11" spans="1:11" x14ac:dyDescent="0.3">
      <c r="A11" s="343" t="s">
        <v>66</v>
      </c>
      <c r="B11" s="343">
        <v>28</v>
      </c>
      <c r="C11" s="343">
        <v>33752317</v>
      </c>
      <c r="D11" s="344">
        <v>33752317</v>
      </c>
      <c r="E11" s="343">
        <v>11.38</v>
      </c>
      <c r="F11" s="344">
        <v>33752317</v>
      </c>
      <c r="G11" s="343">
        <v>11.38</v>
      </c>
      <c r="H11" s="343"/>
      <c r="I11" s="344">
        <v>33752317</v>
      </c>
      <c r="J11" s="343">
        <v>11.37</v>
      </c>
      <c r="K11" s="344">
        <v>33752317</v>
      </c>
    </row>
    <row r="12" spans="1:11" x14ac:dyDescent="0.3">
      <c r="A12" s="339" t="s">
        <v>110</v>
      </c>
      <c r="B12" s="339">
        <v>1</v>
      </c>
      <c r="C12" s="339">
        <v>29061981</v>
      </c>
      <c r="D12" s="340">
        <v>29061981</v>
      </c>
      <c r="E12" s="339">
        <v>9.8000000000000007</v>
      </c>
      <c r="F12" s="340">
        <v>29061981</v>
      </c>
      <c r="G12" s="339">
        <v>9.8000000000000007</v>
      </c>
      <c r="H12" s="339"/>
      <c r="I12" s="340">
        <v>29061981</v>
      </c>
      <c r="J12" s="339">
        <v>9.7899999999999991</v>
      </c>
      <c r="K12" s="340">
        <v>29061981</v>
      </c>
    </row>
    <row r="13" spans="1:11" x14ac:dyDescent="0.3">
      <c r="A13" s="337" t="s">
        <v>68</v>
      </c>
      <c r="B13" s="337">
        <v>1</v>
      </c>
      <c r="C13" s="337">
        <v>3197187</v>
      </c>
      <c r="D13" s="338">
        <v>3197187</v>
      </c>
      <c r="E13" s="337">
        <v>1.08</v>
      </c>
      <c r="F13" s="338">
        <v>3197187</v>
      </c>
      <c r="G13" s="337">
        <v>1.08</v>
      </c>
      <c r="H13" s="337"/>
      <c r="I13" s="338">
        <v>3197187</v>
      </c>
      <c r="J13" s="337">
        <v>1.08</v>
      </c>
      <c r="K13" s="338">
        <v>3197187</v>
      </c>
    </row>
    <row r="14" spans="1:11" ht="28.8" x14ac:dyDescent="0.3">
      <c r="A14" s="339" t="s">
        <v>111</v>
      </c>
      <c r="B14" s="339">
        <v>1</v>
      </c>
      <c r="C14" s="339">
        <v>3197187</v>
      </c>
      <c r="D14" s="340">
        <v>3197187</v>
      </c>
      <c r="E14" s="339">
        <v>1.08</v>
      </c>
      <c r="F14" s="340">
        <v>3197187</v>
      </c>
      <c r="G14" s="339">
        <v>1.08</v>
      </c>
      <c r="H14" s="339"/>
      <c r="I14" s="340">
        <v>3197187</v>
      </c>
      <c r="J14" s="339">
        <v>1.08</v>
      </c>
      <c r="K14" s="340">
        <v>3197187</v>
      </c>
    </row>
    <row r="15" spans="1:11" x14ac:dyDescent="0.3">
      <c r="A15" s="343" t="s">
        <v>112</v>
      </c>
      <c r="B15" s="343">
        <v>0</v>
      </c>
      <c r="C15" s="343">
        <v>0</v>
      </c>
      <c r="D15" s="343"/>
      <c r="E15" s="343">
        <v>0</v>
      </c>
      <c r="F15" s="343"/>
      <c r="G15" s="343">
        <v>0</v>
      </c>
      <c r="H15" s="343"/>
      <c r="I15" s="343"/>
      <c r="J15" s="343">
        <v>0</v>
      </c>
      <c r="K15" s="343"/>
    </row>
    <row r="16" spans="1:11" x14ac:dyDescent="0.3">
      <c r="A16" s="337" t="s">
        <v>113</v>
      </c>
      <c r="B16" s="337">
        <v>2</v>
      </c>
      <c r="C16" s="337">
        <v>294725</v>
      </c>
      <c r="D16" s="338">
        <v>294725</v>
      </c>
      <c r="E16" s="337">
        <v>0.1</v>
      </c>
      <c r="F16" s="338">
        <v>294725</v>
      </c>
      <c r="G16" s="337">
        <v>0.1</v>
      </c>
      <c r="H16" s="337"/>
      <c r="I16" s="338">
        <v>294725</v>
      </c>
      <c r="J16" s="337">
        <v>0.1</v>
      </c>
      <c r="K16" s="338">
        <v>294725</v>
      </c>
    </row>
    <row r="17" spans="1:11" x14ac:dyDescent="0.3">
      <c r="A17" s="343" t="s">
        <v>69</v>
      </c>
      <c r="B17" s="343">
        <v>4</v>
      </c>
      <c r="C17" s="343">
        <v>8338</v>
      </c>
      <c r="D17" s="344">
        <v>8338</v>
      </c>
      <c r="E17" s="343">
        <v>0</v>
      </c>
      <c r="F17" s="344">
        <v>8338</v>
      </c>
      <c r="G17" s="343">
        <v>0</v>
      </c>
      <c r="H17" s="343"/>
      <c r="I17" s="344">
        <v>8338</v>
      </c>
      <c r="J17" s="343">
        <v>0</v>
      </c>
      <c r="K17" s="344">
        <v>8338</v>
      </c>
    </row>
    <row r="18" spans="1:11" x14ac:dyDescent="0.3">
      <c r="A18" s="337" t="s">
        <v>114</v>
      </c>
      <c r="B18" s="337">
        <v>0</v>
      </c>
      <c r="C18" s="337">
        <v>0</v>
      </c>
      <c r="D18" s="337"/>
      <c r="E18" s="337">
        <v>0</v>
      </c>
      <c r="F18" s="337"/>
      <c r="G18" s="337">
        <v>0</v>
      </c>
      <c r="H18" s="337"/>
      <c r="I18" s="337"/>
      <c r="J18" s="337">
        <v>0</v>
      </c>
      <c r="K18" s="337"/>
    </row>
    <row r="19" spans="1:11" x14ac:dyDescent="0.3">
      <c r="A19" s="343" t="s">
        <v>115</v>
      </c>
      <c r="B19" s="343">
        <v>0</v>
      </c>
      <c r="C19" s="343">
        <v>0</v>
      </c>
      <c r="D19" s="343"/>
      <c r="E19" s="343">
        <v>0</v>
      </c>
      <c r="F19" s="343"/>
      <c r="G19" s="343">
        <v>0</v>
      </c>
      <c r="H19" s="343"/>
      <c r="I19" s="343"/>
      <c r="J19" s="343">
        <v>0</v>
      </c>
      <c r="K19" s="343"/>
    </row>
    <row r="20" spans="1:11" x14ac:dyDescent="0.3">
      <c r="A20" s="346" t="s">
        <v>116</v>
      </c>
      <c r="B20" s="346">
        <v>87</v>
      </c>
      <c r="C20" s="346">
        <v>50424790</v>
      </c>
      <c r="D20" s="347">
        <v>50424790</v>
      </c>
      <c r="E20" s="346">
        <v>17.010000000000002</v>
      </c>
      <c r="F20" s="347">
        <v>50424790</v>
      </c>
      <c r="G20" s="346">
        <v>17.010000000000002</v>
      </c>
      <c r="H20" s="346"/>
      <c r="I20" s="347">
        <v>50424790</v>
      </c>
      <c r="J20" s="346">
        <v>16.989999999999998</v>
      </c>
      <c r="K20" s="347">
        <v>50424790</v>
      </c>
    </row>
    <row r="21" spans="1:11" x14ac:dyDescent="0.3">
      <c r="A21" s="336" t="s">
        <v>72</v>
      </c>
      <c r="B21" s="336">
        <v>0</v>
      </c>
      <c r="C21" s="336">
        <v>0</v>
      </c>
      <c r="D21" s="336"/>
      <c r="E21" s="336">
        <v>0</v>
      </c>
      <c r="F21" s="336"/>
      <c r="G21" s="336">
        <v>0</v>
      </c>
      <c r="H21" s="336"/>
      <c r="I21" s="336"/>
      <c r="J21" s="336">
        <v>0</v>
      </c>
      <c r="K21" s="336"/>
    </row>
    <row r="22" spans="1:11" x14ac:dyDescent="0.3">
      <c r="A22" s="337" t="s">
        <v>117</v>
      </c>
      <c r="B22" s="337">
        <v>0</v>
      </c>
      <c r="C22" s="337">
        <v>0</v>
      </c>
      <c r="D22" s="337"/>
      <c r="E22" s="337">
        <v>0</v>
      </c>
      <c r="F22" s="337"/>
      <c r="G22" s="337">
        <v>0</v>
      </c>
      <c r="H22" s="337"/>
      <c r="I22" s="337"/>
      <c r="J22" s="337">
        <v>0</v>
      </c>
      <c r="K22" s="337"/>
    </row>
    <row r="23" spans="1:11" x14ac:dyDescent="0.3">
      <c r="A23" s="343" t="s">
        <v>118</v>
      </c>
      <c r="B23" s="343">
        <v>0</v>
      </c>
      <c r="C23" s="343">
        <v>0</v>
      </c>
      <c r="D23" s="343"/>
      <c r="E23" s="343">
        <v>0</v>
      </c>
      <c r="F23" s="343"/>
      <c r="G23" s="343">
        <v>0</v>
      </c>
      <c r="H23" s="343"/>
      <c r="I23" s="343"/>
      <c r="J23" s="343">
        <v>0</v>
      </c>
      <c r="K23" s="343"/>
    </row>
    <row r="24" spans="1:11" x14ac:dyDescent="0.3">
      <c r="A24" s="337" t="s">
        <v>113</v>
      </c>
      <c r="B24" s="337">
        <v>0</v>
      </c>
      <c r="C24" s="337">
        <v>0</v>
      </c>
      <c r="D24" s="337"/>
      <c r="E24" s="337">
        <v>0</v>
      </c>
      <c r="F24" s="337"/>
      <c r="G24" s="337">
        <v>0</v>
      </c>
      <c r="H24" s="337"/>
      <c r="I24" s="337"/>
      <c r="J24" s="337">
        <v>0</v>
      </c>
      <c r="K24" s="337"/>
    </row>
    <row r="25" spans="1:11" x14ac:dyDescent="0.3">
      <c r="A25" s="343" t="s">
        <v>73</v>
      </c>
      <c r="B25" s="343">
        <v>450</v>
      </c>
      <c r="C25" s="343">
        <v>18904782</v>
      </c>
      <c r="D25" s="344">
        <v>18904782</v>
      </c>
      <c r="E25" s="343">
        <v>6.38</v>
      </c>
      <c r="F25" s="344">
        <v>18904782</v>
      </c>
      <c r="G25" s="343">
        <v>6.38</v>
      </c>
      <c r="H25" s="343"/>
      <c r="I25" s="344">
        <v>18904782</v>
      </c>
      <c r="J25" s="343">
        <v>6.37</v>
      </c>
      <c r="K25" s="344">
        <v>18904782</v>
      </c>
    </row>
    <row r="26" spans="1:11" x14ac:dyDescent="0.3">
      <c r="A26" s="337" t="s">
        <v>74</v>
      </c>
      <c r="B26" s="337">
        <v>24</v>
      </c>
      <c r="C26" s="337">
        <v>755300</v>
      </c>
      <c r="D26" s="338">
        <v>755300</v>
      </c>
      <c r="E26" s="337">
        <v>0.25</v>
      </c>
      <c r="F26" s="338">
        <v>755300</v>
      </c>
      <c r="G26" s="337">
        <v>0.25</v>
      </c>
      <c r="H26" s="337"/>
      <c r="I26" s="338">
        <v>755300</v>
      </c>
      <c r="J26" s="337">
        <v>0.25</v>
      </c>
      <c r="K26" s="338">
        <v>755300</v>
      </c>
    </row>
    <row r="27" spans="1:11" x14ac:dyDescent="0.3">
      <c r="A27" s="343" t="s">
        <v>119</v>
      </c>
      <c r="B27" s="343">
        <v>0</v>
      </c>
      <c r="C27" s="343">
        <v>0</v>
      </c>
      <c r="D27" s="343"/>
      <c r="E27" s="343">
        <v>0</v>
      </c>
      <c r="F27" s="343"/>
      <c r="G27" s="343">
        <v>0</v>
      </c>
      <c r="H27" s="343"/>
      <c r="I27" s="343"/>
      <c r="J27" s="343">
        <v>0</v>
      </c>
      <c r="K27" s="343"/>
    </row>
    <row r="28" spans="1:11" x14ac:dyDescent="0.3">
      <c r="A28" s="337" t="s">
        <v>120</v>
      </c>
      <c r="B28" s="337">
        <v>0</v>
      </c>
      <c r="C28" s="337">
        <v>0</v>
      </c>
      <c r="D28" s="337"/>
      <c r="E28" s="337">
        <v>0</v>
      </c>
      <c r="F28" s="337"/>
      <c r="G28" s="337">
        <v>0</v>
      </c>
      <c r="H28" s="337"/>
      <c r="I28" s="337"/>
      <c r="J28" s="337">
        <v>0</v>
      </c>
      <c r="K28" s="337"/>
    </row>
    <row r="29" spans="1:11" x14ac:dyDescent="0.3">
      <c r="A29" s="346" t="s">
        <v>121</v>
      </c>
      <c r="B29" s="346">
        <v>474</v>
      </c>
      <c r="C29" s="346">
        <v>19660082</v>
      </c>
      <c r="D29" s="347">
        <v>19660082</v>
      </c>
      <c r="E29" s="346">
        <v>6.63</v>
      </c>
      <c r="F29" s="347">
        <v>19660082</v>
      </c>
      <c r="G29" s="346">
        <v>6.63</v>
      </c>
      <c r="H29" s="346"/>
      <c r="I29" s="347">
        <v>19660082</v>
      </c>
      <c r="J29" s="346">
        <v>6.62</v>
      </c>
      <c r="K29" s="347">
        <v>19660082</v>
      </c>
    </row>
    <row r="30" spans="1:11" ht="28.8" x14ac:dyDescent="0.3">
      <c r="A30" s="336" t="s">
        <v>76</v>
      </c>
      <c r="B30" s="336">
        <v>0</v>
      </c>
      <c r="C30" s="336">
        <v>0</v>
      </c>
      <c r="D30" s="336"/>
      <c r="E30" s="336">
        <v>0</v>
      </c>
      <c r="F30" s="336"/>
      <c r="G30" s="336">
        <v>0</v>
      </c>
      <c r="H30" s="336"/>
      <c r="I30" s="336"/>
      <c r="J30" s="336">
        <v>0</v>
      </c>
      <c r="K30" s="336"/>
    </row>
    <row r="31" spans="1:11" x14ac:dyDescent="0.3">
      <c r="A31" s="343" t="s">
        <v>122</v>
      </c>
      <c r="B31" s="343">
        <v>1</v>
      </c>
      <c r="C31" s="343">
        <v>2256</v>
      </c>
      <c r="D31" s="344">
        <v>2256</v>
      </c>
      <c r="E31" s="343">
        <v>0</v>
      </c>
      <c r="F31" s="344">
        <v>2256</v>
      </c>
      <c r="G31" s="343">
        <v>0</v>
      </c>
      <c r="H31" s="343"/>
      <c r="I31" s="344">
        <v>2256</v>
      </c>
      <c r="J31" s="343">
        <v>0</v>
      </c>
      <c r="K31" s="344">
        <v>2256</v>
      </c>
    </row>
    <row r="32" spans="1:11" x14ac:dyDescent="0.3">
      <c r="A32" s="337" t="s">
        <v>123</v>
      </c>
      <c r="B32" s="337">
        <v>0</v>
      </c>
      <c r="C32" s="337">
        <v>0</v>
      </c>
      <c r="D32" s="337"/>
      <c r="E32" s="337">
        <v>0</v>
      </c>
      <c r="F32" s="337"/>
      <c r="G32" s="337">
        <v>0</v>
      </c>
      <c r="H32" s="337"/>
      <c r="I32" s="337"/>
      <c r="J32" s="337">
        <v>0</v>
      </c>
      <c r="K32" s="337"/>
    </row>
    <row r="33" spans="1:11" ht="28.8" x14ac:dyDescent="0.3">
      <c r="A33" s="343" t="s">
        <v>124</v>
      </c>
      <c r="B33" s="343">
        <v>0</v>
      </c>
      <c r="C33" s="343">
        <v>0</v>
      </c>
      <c r="D33" s="343"/>
      <c r="E33" s="343">
        <v>0</v>
      </c>
      <c r="F33" s="343"/>
      <c r="G33" s="343">
        <v>0</v>
      </c>
      <c r="H33" s="343"/>
      <c r="I33" s="343"/>
      <c r="J33" s="343">
        <v>0</v>
      </c>
      <c r="K33" s="343"/>
    </row>
    <row r="34" spans="1:11" x14ac:dyDescent="0.3">
      <c r="A34" s="346" t="s">
        <v>125</v>
      </c>
      <c r="B34" s="346">
        <v>1</v>
      </c>
      <c r="C34" s="346">
        <v>2256</v>
      </c>
      <c r="D34" s="347">
        <v>2256</v>
      </c>
      <c r="E34" s="346">
        <v>0</v>
      </c>
      <c r="F34" s="347">
        <v>2256</v>
      </c>
      <c r="G34" s="346">
        <v>0</v>
      </c>
      <c r="H34" s="346"/>
      <c r="I34" s="347">
        <v>2256</v>
      </c>
      <c r="J34" s="346">
        <v>0</v>
      </c>
      <c r="K34" s="347">
        <v>2256</v>
      </c>
    </row>
    <row r="35" spans="1:11" x14ac:dyDescent="0.3">
      <c r="A35" s="351" t="s">
        <v>79</v>
      </c>
      <c r="B35" s="351">
        <v>0</v>
      </c>
      <c r="C35" s="351">
        <v>0</v>
      </c>
      <c r="D35" s="351"/>
      <c r="E35" s="351">
        <v>0</v>
      </c>
      <c r="F35" s="351"/>
      <c r="G35" s="351">
        <v>0</v>
      </c>
      <c r="H35" s="351"/>
      <c r="I35" s="351"/>
      <c r="J35" s="351">
        <v>0</v>
      </c>
      <c r="K35" s="351"/>
    </row>
    <row r="36" spans="1:11" x14ac:dyDescent="0.3">
      <c r="A36" s="337" t="s">
        <v>126</v>
      </c>
      <c r="B36" s="337">
        <v>0</v>
      </c>
      <c r="C36" s="337">
        <v>0</v>
      </c>
      <c r="D36" s="337"/>
      <c r="E36" s="337">
        <v>0</v>
      </c>
      <c r="F36" s="337"/>
      <c r="G36" s="337">
        <v>0</v>
      </c>
      <c r="H36" s="337"/>
      <c r="I36" s="337"/>
      <c r="J36" s="337">
        <v>0</v>
      </c>
      <c r="K36" s="337"/>
    </row>
    <row r="37" spans="1:11" ht="28.8" x14ac:dyDescent="0.3">
      <c r="A37" s="343" t="s">
        <v>127</v>
      </c>
      <c r="B37" s="343">
        <v>4</v>
      </c>
      <c r="C37" s="343">
        <v>318644</v>
      </c>
      <c r="D37" s="344">
        <v>318644</v>
      </c>
      <c r="E37" s="343">
        <v>0.11</v>
      </c>
      <c r="F37" s="344">
        <v>318644</v>
      </c>
      <c r="G37" s="343">
        <v>0.11</v>
      </c>
      <c r="H37" s="344">
        <v>30000</v>
      </c>
      <c r="I37" s="344">
        <v>348644</v>
      </c>
      <c r="J37" s="343">
        <v>0.12</v>
      </c>
      <c r="K37" s="344">
        <v>318644</v>
      </c>
    </row>
    <row r="38" spans="1:11" x14ac:dyDescent="0.3">
      <c r="A38" s="337" t="s">
        <v>128</v>
      </c>
      <c r="B38" s="337">
        <v>1</v>
      </c>
      <c r="C38" s="337">
        <v>4885</v>
      </c>
      <c r="D38" s="338">
        <v>4885</v>
      </c>
      <c r="E38" s="337">
        <v>0</v>
      </c>
      <c r="F38" s="338">
        <v>4885</v>
      </c>
      <c r="G38" s="337">
        <v>0</v>
      </c>
      <c r="H38" s="337"/>
      <c r="I38" s="338">
        <v>4885</v>
      </c>
      <c r="J38" s="337">
        <v>0</v>
      </c>
      <c r="K38" s="338">
        <v>4885</v>
      </c>
    </row>
    <row r="39" spans="1:11" ht="43.2" x14ac:dyDescent="0.3">
      <c r="A39" s="343" t="s">
        <v>129</v>
      </c>
      <c r="B39" s="343">
        <v>0</v>
      </c>
      <c r="C39" s="343">
        <v>0</v>
      </c>
      <c r="D39" s="343"/>
      <c r="E39" s="343">
        <v>0</v>
      </c>
      <c r="F39" s="343"/>
      <c r="G39" s="343">
        <v>0</v>
      </c>
      <c r="H39" s="343"/>
      <c r="I39" s="343"/>
      <c r="J39" s="343">
        <v>0</v>
      </c>
      <c r="K39" s="343"/>
    </row>
    <row r="40" spans="1:11" ht="43.2" x14ac:dyDescent="0.3">
      <c r="A40" s="337" t="s">
        <v>130</v>
      </c>
      <c r="B40" s="337">
        <v>0</v>
      </c>
      <c r="C40" s="337">
        <v>0</v>
      </c>
      <c r="D40" s="337"/>
      <c r="E40" s="337">
        <v>0</v>
      </c>
      <c r="F40" s="337"/>
      <c r="G40" s="337">
        <v>0</v>
      </c>
      <c r="H40" s="337"/>
      <c r="I40" s="337"/>
      <c r="J40" s="337">
        <v>0</v>
      </c>
      <c r="K40" s="337"/>
    </row>
    <row r="41" spans="1:11" x14ac:dyDescent="0.3">
      <c r="A41" s="343" t="s">
        <v>80</v>
      </c>
      <c r="B41" s="343">
        <v>1</v>
      </c>
      <c r="C41" s="343">
        <v>97191</v>
      </c>
      <c r="D41" s="344">
        <v>97191</v>
      </c>
      <c r="E41" s="343">
        <v>0.03</v>
      </c>
      <c r="F41" s="344">
        <v>97191</v>
      </c>
      <c r="G41" s="343">
        <v>0.03</v>
      </c>
      <c r="H41" s="343"/>
      <c r="I41" s="344">
        <v>97191</v>
      </c>
      <c r="J41" s="343">
        <v>0.03</v>
      </c>
      <c r="K41" s="344">
        <v>97191</v>
      </c>
    </row>
    <row r="42" spans="1:11" ht="28.8" x14ac:dyDescent="0.3">
      <c r="A42" s="337" t="s">
        <v>81</v>
      </c>
      <c r="B42" s="337">
        <v>356089</v>
      </c>
      <c r="C42" s="337">
        <v>14777058</v>
      </c>
      <c r="D42" s="338">
        <v>14777058</v>
      </c>
      <c r="E42" s="337">
        <v>4.9800000000000004</v>
      </c>
      <c r="F42" s="338">
        <v>14777058</v>
      </c>
      <c r="G42" s="337">
        <v>4.9800000000000004</v>
      </c>
      <c r="H42" s="337"/>
      <c r="I42" s="338">
        <v>14777058</v>
      </c>
      <c r="J42" s="337">
        <v>4.9800000000000004</v>
      </c>
      <c r="K42" s="338">
        <v>14772253</v>
      </c>
    </row>
    <row r="43" spans="1:11" ht="28.8" x14ac:dyDescent="0.3">
      <c r="A43" s="343" t="s">
        <v>82</v>
      </c>
      <c r="B43" s="343">
        <v>3</v>
      </c>
      <c r="C43" s="343">
        <v>1667588</v>
      </c>
      <c r="D43" s="344">
        <v>1667588</v>
      </c>
      <c r="E43" s="343">
        <v>0.56000000000000005</v>
      </c>
      <c r="F43" s="344">
        <v>1667588</v>
      </c>
      <c r="G43" s="343">
        <v>0.56000000000000005</v>
      </c>
      <c r="H43" s="343"/>
      <c r="I43" s="344">
        <v>1667588</v>
      </c>
      <c r="J43" s="343">
        <v>0.56000000000000005</v>
      </c>
      <c r="K43" s="344">
        <v>1667588</v>
      </c>
    </row>
    <row r="44" spans="1:11" x14ac:dyDescent="0.3">
      <c r="A44" s="337" t="s">
        <v>83</v>
      </c>
      <c r="B44" s="337">
        <v>10641</v>
      </c>
      <c r="C44" s="337">
        <v>5301282</v>
      </c>
      <c r="D44" s="338">
        <v>5301282</v>
      </c>
      <c r="E44" s="337">
        <v>1.79</v>
      </c>
      <c r="F44" s="338">
        <v>5301282</v>
      </c>
      <c r="G44" s="337">
        <v>1.79</v>
      </c>
      <c r="H44" s="337"/>
      <c r="I44" s="338">
        <v>5301282</v>
      </c>
      <c r="J44" s="337">
        <v>1.79</v>
      </c>
      <c r="K44" s="338">
        <v>5214030</v>
      </c>
    </row>
    <row r="45" spans="1:11" x14ac:dyDescent="0.3">
      <c r="A45" s="343" t="s">
        <v>84</v>
      </c>
      <c r="B45" s="343">
        <v>21</v>
      </c>
      <c r="C45" s="343">
        <v>177106</v>
      </c>
      <c r="D45" s="344">
        <v>177106</v>
      </c>
      <c r="E45" s="343">
        <v>0.06</v>
      </c>
      <c r="F45" s="344">
        <v>177106</v>
      </c>
      <c r="G45" s="343">
        <v>0.06</v>
      </c>
      <c r="H45" s="343"/>
      <c r="I45" s="344">
        <v>177106</v>
      </c>
      <c r="J45" s="343">
        <v>0.06</v>
      </c>
      <c r="K45" s="344">
        <v>160956</v>
      </c>
    </row>
    <row r="46" spans="1:11" x14ac:dyDescent="0.3">
      <c r="A46" s="337" t="s">
        <v>131</v>
      </c>
      <c r="B46" s="337">
        <v>0</v>
      </c>
      <c r="C46" s="337">
        <v>0</v>
      </c>
      <c r="D46" s="337"/>
      <c r="E46" s="337">
        <v>0</v>
      </c>
      <c r="F46" s="337"/>
      <c r="G46" s="337">
        <v>0</v>
      </c>
      <c r="H46" s="337"/>
      <c r="I46" s="337"/>
      <c r="J46" s="337">
        <v>0</v>
      </c>
      <c r="K46" s="337"/>
    </row>
    <row r="47" spans="1:11" x14ac:dyDescent="0.3">
      <c r="A47" s="343" t="s">
        <v>55</v>
      </c>
      <c r="B47" s="343">
        <v>1023</v>
      </c>
      <c r="C47" s="343">
        <v>456812</v>
      </c>
      <c r="D47" s="344">
        <v>456812</v>
      </c>
      <c r="E47" s="343">
        <v>0.15</v>
      </c>
      <c r="F47" s="344">
        <v>456812</v>
      </c>
      <c r="G47" s="343">
        <v>0.15</v>
      </c>
      <c r="H47" s="343"/>
      <c r="I47" s="344">
        <v>456812</v>
      </c>
      <c r="J47" s="343">
        <v>0.15</v>
      </c>
      <c r="K47" s="344">
        <v>456812</v>
      </c>
    </row>
    <row r="48" spans="1:11" x14ac:dyDescent="0.3">
      <c r="A48" s="337" t="s">
        <v>132</v>
      </c>
      <c r="B48" s="337">
        <v>7004</v>
      </c>
      <c r="C48" s="337">
        <v>404244</v>
      </c>
      <c r="D48" s="338">
        <v>404244</v>
      </c>
      <c r="E48" s="337">
        <v>0.14000000000000001</v>
      </c>
      <c r="F48" s="338">
        <v>404244</v>
      </c>
      <c r="G48" s="337">
        <v>0.14000000000000001</v>
      </c>
      <c r="H48" s="338">
        <v>282506</v>
      </c>
      <c r="I48" s="338">
        <v>686750</v>
      </c>
      <c r="J48" s="337">
        <v>0.23</v>
      </c>
      <c r="K48" s="338">
        <v>404244</v>
      </c>
    </row>
    <row r="49" spans="1:11" x14ac:dyDescent="0.3">
      <c r="A49" s="343" t="s">
        <v>89</v>
      </c>
      <c r="B49" s="343">
        <v>17</v>
      </c>
      <c r="C49" s="343">
        <v>38469</v>
      </c>
      <c r="D49" s="344">
        <v>38469</v>
      </c>
      <c r="E49" s="343">
        <v>0.01</v>
      </c>
      <c r="F49" s="344">
        <v>38469</v>
      </c>
      <c r="G49" s="343">
        <v>0.01</v>
      </c>
      <c r="H49" s="343"/>
      <c r="I49" s="344">
        <v>38469</v>
      </c>
      <c r="J49" s="343">
        <v>0.01</v>
      </c>
      <c r="K49" s="344">
        <v>38469</v>
      </c>
    </row>
    <row r="50" spans="1:11" x14ac:dyDescent="0.3">
      <c r="A50" s="337" t="s">
        <v>87</v>
      </c>
      <c r="B50" s="337">
        <v>116</v>
      </c>
      <c r="C50" s="337">
        <v>25239</v>
      </c>
      <c r="D50" s="338">
        <v>25239</v>
      </c>
      <c r="E50" s="337">
        <v>0.01</v>
      </c>
      <c r="F50" s="338">
        <v>25239</v>
      </c>
      <c r="G50" s="337">
        <v>0.01</v>
      </c>
      <c r="H50" s="337"/>
      <c r="I50" s="338">
        <v>25239</v>
      </c>
      <c r="J50" s="337">
        <v>0.01</v>
      </c>
      <c r="K50" s="338">
        <v>25239</v>
      </c>
    </row>
    <row r="51" spans="1:11" x14ac:dyDescent="0.3">
      <c r="A51" s="343" t="s">
        <v>86</v>
      </c>
      <c r="B51" s="343">
        <v>6822</v>
      </c>
      <c r="C51" s="343">
        <v>280192</v>
      </c>
      <c r="D51" s="344">
        <v>280192</v>
      </c>
      <c r="E51" s="343">
        <v>0.09</v>
      </c>
      <c r="F51" s="344">
        <v>280192</v>
      </c>
      <c r="G51" s="343">
        <v>0.09</v>
      </c>
      <c r="H51" s="343"/>
      <c r="I51" s="344">
        <v>280192</v>
      </c>
      <c r="J51" s="343">
        <v>0.09</v>
      </c>
      <c r="K51" s="344">
        <v>280192</v>
      </c>
    </row>
    <row r="52" spans="1:11" x14ac:dyDescent="0.3">
      <c r="A52" s="337" t="s">
        <v>85</v>
      </c>
      <c r="B52" s="337">
        <v>49</v>
      </c>
      <c r="C52" s="337">
        <v>60344</v>
      </c>
      <c r="D52" s="338">
        <v>60344</v>
      </c>
      <c r="E52" s="337">
        <v>0.02</v>
      </c>
      <c r="F52" s="338">
        <v>60344</v>
      </c>
      <c r="G52" s="337">
        <v>0.02</v>
      </c>
      <c r="H52" s="337"/>
      <c r="I52" s="338">
        <v>60344</v>
      </c>
      <c r="J52" s="337">
        <v>0.02</v>
      </c>
      <c r="K52" s="338">
        <v>60344</v>
      </c>
    </row>
    <row r="53" spans="1:11" x14ac:dyDescent="0.3">
      <c r="A53" s="343" t="s">
        <v>133</v>
      </c>
      <c r="B53" s="343">
        <v>0</v>
      </c>
      <c r="C53" s="343">
        <v>0</v>
      </c>
      <c r="D53" s="343"/>
      <c r="E53" s="343">
        <v>0</v>
      </c>
      <c r="F53" s="343"/>
      <c r="G53" s="343">
        <v>0</v>
      </c>
      <c r="H53" s="344">
        <v>282506</v>
      </c>
      <c r="I53" s="344">
        <v>282506</v>
      </c>
      <c r="J53" s="343">
        <v>0.1</v>
      </c>
      <c r="K53" s="343"/>
    </row>
    <row r="54" spans="1:11" x14ac:dyDescent="0.3">
      <c r="A54" s="346" t="s">
        <v>134</v>
      </c>
      <c r="B54" s="346">
        <v>374787</v>
      </c>
      <c r="C54" s="346">
        <v>23204810</v>
      </c>
      <c r="D54" s="347">
        <v>23204810</v>
      </c>
      <c r="E54" s="346">
        <v>7.83</v>
      </c>
      <c r="F54" s="347">
        <v>23204810</v>
      </c>
      <c r="G54" s="346">
        <v>7.83</v>
      </c>
      <c r="H54" s="347">
        <v>312506</v>
      </c>
      <c r="I54" s="347">
        <v>23517316</v>
      </c>
      <c r="J54" s="346">
        <v>7.92</v>
      </c>
      <c r="K54" s="347">
        <v>23096603</v>
      </c>
    </row>
    <row r="55" spans="1:11" x14ac:dyDescent="0.3">
      <c r="A55" s="355" t="s">
        <v>135</v>
      </c>
      <c r="B55" s="355">
        <v>375349</v>
      </c>
      <c r="C55" s="355">
        <v>93291938</v>
      </c>
      <c r="D55" s="356">
        <v>93291938</v>
      </c>
      <c r="E55" s="355">
        <v>31.47</v>
      </c>
      <c r="F55" s="356">
        <v>93291938</v>
      </c>
      <c r="G55" s="355">
        <v>31.47</v>
      </c>
      <c r="H55" s="356">
        <v>312506</v>
      </c>
      <c r="I55" s="356">
        <v>93604444</v>
      </c>
      <c r="J55" s="355">
        <v>31.54</v>
      </c>
      <c r="K55" s="356">
        <v>93183731</v>
      </c>
    </row>
  </sheetData>
  <mergeCells count="11">
    <mergeCell ref="K1:K3"/>
    <mergeCell ref="F1:F3"/>
    <mergeCell ref="G1:G3"/>
    <mergeCell ref="H1:H3"/>
    <mergeCell ref="I1:I3"/>
    <mergeCell ref="J1:J3"/>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
  <sheetViews>
    <sheetView showGridLines="0" workbookViewId="0">
      <selection activeCell="B6" sqref="B6"/>
    </sheetView>
  </sheetViews>
  <sheetFormatPr defaultColWidth="8.6640625" defaultRowHeight="14.4" x14ac:dyDescent="0.3"/>
  <cols>
    <col min="1" max="1" width="8" style="1" customWidth="1"/>
    <col min="3" max="3" width="40" style="1" customWidth="1"/>
    <col min="4" max="4" width="11.44140625" style="1" customWidth="1"/>
    <col min="5" max="5" width="9.109375" style="1" customWidth="1"/>
    <col min="6" max="6" width="11.44140625" style="1" customWidth="1"/>
    <col min="7" max="7" width="9.109375" style="1" customWidth="1"/>
    <col min="8" max="9" width="11.44140625" style="1" customWidth="1"/>
  </cols>
  <sheetData>
    <row r="1" spans="3:12" ht="14.25" customHeight="1" x14ac:dyDescent="0.3">
      <c r="C1" s="323" t="s">
        <v>136</v>
      </c>
      <c r="D1" s="323"/>
      <c r="E1" s="323"/>
      <c r="F1" s="323"/>
      <c r="G1" s="323"/>
      <c r="H1" s="323"/>
      <c r="I1" s="323"/>
      <c r="J1" s="324" t="s">
        <v>137</v>
      </c>
      <c r="K1" s="324"/>
      <c r="L1" s="324"/>
    </row>
    <row r="2" spans="3:12" ht="14.25" customHeight="1" x14ac:dyDescent="0.3">
      <c r="C2" s="266"/>
      <c r="D2" s="328" t="s">
        <v>138</v>
      </c>
      <c r="E2" s="328"/>
      <c r="F2" s="328" t="s">
        <v>139</v>
      </c>
      <c r="G2" s="328"/>
      <c r="H2" s="328" t="s">
        <v>140</v>
      </c>
      <c r="I2" s="328"/>
      <c r="J2" s="325" t="s">
        <v>141</v>
      </c>
      <c r="K2" s="325" t="s">
        <v>142</v>
      </c>
      <c r="L2" s="325" t="s">
        <v>143</v>
      </c>
    </row>
    <row r="3" spans="3:12" ht="14.25" customHeight="1" x14ac:dyDescent="0.3">
      <c r="C3" s="329" t="s">
        <v>144</v>
      </c>
      <c r="D3" s="330">
        <v>45992</v>
      </c>
      <c r="E3" s="330">
        <v>45901</v>
      </c>
      <c r="F3" s="330">
        <v>45992</v>
      </c>
      <c r="G3" s="330">
        <v>45627</v>
      </c>
      <c r="H3" s="330">
        <v>45717</v>
      </c>
      <c r="I3" s="330">
        <v>45352</v>
      </c>
      <c r="J3" s="266"/>
      <c r="K3" s="266"/>
      <c r="L3" s="266"/>
    </row>
    <row r="4" spans="3:12" ht="14.25" customHeight="1" x14ac:dyDescent="0.3">
      <c r="C4" s="314" t="s">
        <v>145</v>
      </c>
      <c r="D4" s="233"/>
      <c r="E4" s="233"/>
      <c r="F4" s="233"/>
      <c r="G4" s="233"/>
      <c r="H4" s="233"/>
      <c r="I4" s="233"/>
      <c r="J4" s="233"/>
      <c r="K4" s="233"/>
      <c r="L4" s="233"/>
    </row>
    <row r="5" spans="3:12" ht="14.25" customHeight="1" x14ac:dyDescent="0.3">
      <c r="C5" s="315" t="s">
        <v>146</v>
      </c>
      <c r="D5" s="316">
        <v>10312</v>
      </c>
      <c r="E5" s="316">
        <v>9966</v>
      </c>
      <c r="F5" s="316">
        <f>D5+E5</f>
        <v>20278</v>
      </c>
      <c r="G5" s="316">
        <v>9286</v>
      </c>
      <c r="H5" s="316">
        <v>34921</v>
      </c>
      <c r="I5" s="316">
        <v>33992</v>
      </c>
      <c r="J5" s="326">
        <f>D5/E5-1</f>
        <v>3.4718041340557899E-2</v>
      </c>
      <c r="K5" s="326">
        <f>F5/G5-1</f>
        <v>1.1837174240792601</v>
      </c>
      <c r="L5" s="326">
        <f>H5/I5-1</f>
        <v>2.73299599905861E-2</v>
      </c>
    </row>
    <row r="6" spans="3:12" ht="14.25" customHeight="1" x14ac:dyDescent="0.3">
      <c r="C6" s="315" t="s">
        <v>147</v>
      </c>
      <c r="D6" s="316">
        <v>234</v>
      </c>
      <c r="E6" s="316">
        <v>288</v>
      </c>
      <c r="F6" s="316">
        <f>D6+E6</f>
        <v>522</v>
      </c>
      <c r="G6" s="316">
        <v>518</v>
      </c>
      <c r="H6" s="316">
        <v>810</v>
      </c>
      <c r="I6" s="316">
        <v>653</v>
      </c>
      <c r="J6" s="326">
        <f>D6/E6-1</f>
        <v>-0.1875</v>
      </c>
      <c r="K6" s="326">
        <f>F6/G6-1</f>
        <v>7.72200772200771E-3</v>
      </c>
      <c r="L6" s="326">
        <f>H6/I6-1</f>
        <v>0.24042879019908101</v>
      </c>
    </row>
    <row r="7" spans="3:12" ht="14.25" customHeight="1" x14ac:dyDescent="0.3">
      <c r="C7" s="317" t="s">
        <v>148</v>
      </c>
      <c r="D7" s="318">
        <f>D5+D6</f>
        <v>10546</v>
      </c>
      <c r="E7" s="318">
        <f>E5+E6</f>
        <v>10254</v>
      </c>
      <c r="F7" s="318">
        <f>D7+E7</f>
        <v>20800</v>
      </c>
      <c r="G7" s="318">
        <f>G5+G6</f>
        <v>9804</v>
      </c>
      <c r="H7" s="318">
        <f>H5+H6</f>
        <v>35731</v>
      </c>
      <c r="I7" s="318">
        <f>I5+I6</f>
        <v>34645</v>
      </c>
      <c r="J7" s="326">
        <f>D7/E7-1</f>
        <v>2.8476692022625399E-2</v>
      </c>
      <c r="K7" s="326">
        <f>F7/G7-1</f>
        <v>1.1215830273357801</v>
      </c>
      <c r="L7" s="326">
        <f>H7/I7-1</f>
        <v>3.1346514648578502E-2</v>
      </c>
    </row>
    <row r="8" spans="3:12" ht="14.25" customHeight="1" x14ac:dyDescent="0.3">
      <c r="C8" s="314" t="s">
        <v>149</v>
      </c>
      <c r="D8" s="233"/>
      <c r="E8" s="233"/>
      <c r="F8" s="233"/>
      <c r="G8" s="233"/>
      <c r="H8" s="233"/>
      <c r="I8" s="233"/>
      <c r="J8" s="233"/>
      <c r="K8" s="233"/>
      <c r="L8" s="233"/>
    </row>
    <row r="9" spans="3:12" ht="14.25" customHeight="1" x14ac:dyDescent="0.3">
      <c r="C9" s="315" t="s">
        <v>150</v>
      </c>
      <c r="D9" s="316">
        <v>5942</v>
      </c>
      <c r="E9" s="316">
        <v>5863</v>
      </c>
      <c r="F9" s="316">
        <f>D9+E9</f>
        <v>11805</v>
      </c>
      <c r="G9" s="316">
        <v>11204</v>
      </c>
      <c r="H9" s="316">
        <v>21370</v>
      </c>
      <c r="I9" s="316">
        <v>20892</v>
      </c>
      <c r="J9" s="326">
        <f>D9/E9-1</f>
        <v>1.34743305475014E-2</v>
      </c>
      <c r="K9" s="326">
        <f>F9/G9-1</f>
        <v>5.3641556586933301E-2</v>
      </c>
      <c r="L9" s="326">
        <f>H9/I9-1</f>
        <v>2.28795711277043E-2</v>
      </c>
    </row>
    <row r="10" spans="3:12" ht="14.25" customHeight="1" x14ac:dyDescent="0.3">
      <c r="C10" s="315" t="s">
        <v>151</v>
      </c>
      <c r="D10" s="316">
        <v>2449</v>
      </c>
      <c r="E10" s="316">
        <v>2222</v>
      </c>
      <c r="F10" s="316">
        <f>D10+E10</f>
        <v>4671</v>
      </c>
      <c r="G10" s="316">
        <v>4073</v>
      </c>
      <c r="H10" s="316">
        <v>7251</v>
      </c>
      <c r="I10" s="316">
        <v>7259</v>
      </c>
      <c r="J10" s="326">
        <f>D10/E10-1</f>
        <v>0.102160216021602</v>
      </c>
      <c r="K10" s="326">
        <f>F10/G10-1</f>
        <v>0.14682052541124499</v>
      </c>
      <c r="L10" s="326">
        <f>H10/I10-1</f>
        <v>-1.1020801763328399E-3</v>
      </c>
    </row>
    <row r="11" spans="3:12" ht="14.25" customHeight="1" x14ac:dyDescent="0.3">
      <c r="C11" s="315" t="s">
        <v>152</v>
      </c>
      <c r="D11" s="316">
        <v>249</v>
      </c>
      <c r="E11" s="316">
        <v>249</v>
      </c>
      <c r="F11" s="316">
        <f>D11+E11</f>
        <v>498</v>
      </c>
      <c r="G11" s="316">
        <v>461</v>
      </c>
      <c r="H11" s="316">
        <v>797</v>
      </c>
      <c r="I11" s="316">
        <v>721</v>
      </c>
      <c r="J11" s="326">
        <f>D11/E11-1</f>
        <v>0</v>
      </c>
      <c r="K11" s="326">
        <f>F11/G11-1</f>
        <v>8.0260303687635495E-2</v>
      </c>
      <c r="L11" s="326">
        <f>H11/I11-1</f>
        <v>0.105409153952843</v>
      </c>
    </row>
    <row r="12" spans="3:12" ht="14.25" customHeight="1" x14ac:dyDescent="0.3">
      <c r="C12" s="315" t="s">
        <v>153</v>
      </c>
      <c r="D12" s="316">
        <v>66</v>
      </c>
      <c r="E12" s="316">
        <v>65</v>
      </c>
      <c r="F12" s="316">
        <f>D12+E12</f>
        <v>131</v>
      </c>
      <c r="G12" s="316">
        <v>134</v>
      </c>
      <c r="H12" s="316">
        <v>224</v>
      </c>
      <c r="I12" s="316">
        <v>197</v>
      </c>
      <c r="J12" s="326">
        <f>D12/E12-1</f>
        <v>1.53846153846153E-2</v>
      </c>
      <c r="K12" s="326">
        <f>F12/G12-1</f>
        <v>-2.2388059701492501E-2</v>
      </c>
      <c r="L12" s="326">
        <f>H12/I12-1</f>
        <v>0.13705583756345199</v>
      </c>
    </row>
    <row r="13" spans="3:12" ht="14.25" customHeight="1" x14ac:dyDescent="0.3">
      <c r="C13" s="317" t="s">
        <v>154</v>
      </c>
      <c r="D13" s="318">
        <f>D9+D10+D11+D12</f>
        <v>8706</v>
      </c>
      <c r="E13" s="318">
        <f>E9+E10+E11+E12</f>
        <v>8399</v>
      </c>
      <c r="F13" s="318">
        <f>D13+E13</f>
        <v>17105</v>
      </c>
      <c r="G13" s="318">
        <f>G9+G10+G11+G12</f>
        <v>15872</v>
      </c>
      <c r="H13" s="318">
        <f>H9+H10+H11+H12</f>
        <v>29642</v>
      </c>
      <c r="I13" s="318">
        <f>I9+I10+I11+I12</f>
        <v>29069</v>
      </c>
      <c r="J13" s="326">
        <f>D13/E13-1</f>
        <v>3.6551970472675298E-2</v>
      </c>
      <c r="K13" s="326">
        <f>F13/G13-1</f>
        <v>7.7683971774193505E-2</v>
      </c>
      <c r="L13" s="326">
        <f>H13/I13-1</f>
        <v>1.9711720389418399E-2</v>
      </c>
    </row>
    <row r="14" spans="3:12" ht="14.25" customHeight="1" x14ac:dyDescent="0.3">
      <c r="C14" s="314" t="s">
        <v>155</v>
      </c>
      <c r="D14" s="233"/>
      <c r="E14" s="233"/>
      <c r="F14" s="233"/>
      <c r="G14" s="233"/>
      <c r="H14" s="233"/>
      <c r="I14" s="233"/>
      <c r="J14" s="233"/>
      <c r="K14" s="233"/>
      <c r="L14" s="233"/>
    </row>
    <row r="15" spans="3:12" ht="14.25" customHeight="1" x14ac:dyDescent="0.3">
      <c r="C15" s="319" t="s">
        <v>156</v>
      </c>
      <c r="D15" s="320">
        <f>D7-D9-D10</f>
        <v>2155</v>
      </c>
      <c r="E15" s="320">
        <f>E7-E9-E10</f>
        <v>2169</v>
      </c>
      <c r="F15" s="320">
        <f t="shared" ref="F15:F21" si="0">D15+E15</f>
        <v>4324</v>
      </c>
      <c r="G15" s="320">
        <f>G7-G9-G10</f>
        <v>-5473</v>
      </c>
      <c r="H15" s="320">
        <f>H7-H9-H10</f>
        <v>7110</v>
      </c>
      <c r="I15" s="320">
        <f>I7-I9-I10</f>
        <v>6494</v>
      </c>
      <c r="J15" s="326">
        <f>D15/E15-1</f>
        <v>-6.4545873674504203E-3</v>
      </c>
      <c r="K15" s="326">
        <f>F15/G15-1</f>
        <v>-1.7900602959985401</v>
      </c>
      <c r="L15" s="326">
        <f>H15/I15-1</f>
        <v>9.48567908838929E-2</v>
      </c>
    </row>
    <row r="16" spans="3:12" ht="14.25" customHeight="1" x14ac:dyDescent="0.3">
      <c r="C16" s="319" t="s">
        <v>157</v>
      </c>
      <c r="D16" s="320">
        <f>D15-D11</f>
        <v>1906</v>
      </c>
      <c r="E16" s="320">
        <f>E15-E11</f>
        <v>1920</v>
      </c>
      <c r="F16" s="320">
        <f t="shared" si="0"/>
        <v>3826</v>
      </c>
      <c r="G16" s="320">
        <f t="shared" ref="G16:I17" si="1">G15-G11</f>
        <v>-5934</v>
      </c>
      <c r="H16" s="320">
        <f t="shared" si="1"/>
        <v>6313</v>
      </c>
      <c r="I16" s="320">
        <f t="shared" si="1"/>
        <v>5773</v>
      </c>
      <c r="J16" s="326">
        <f>D16/E16-1</f>
        <v>-7.2916666666666997E-3</v>
      </c>
      <c r="K16" s="326">
        <f>F16/G16-1</f>
        <v>-1.64475901584092</v>
      </c>
      <c r="L16" s="326">
        <f>H16/I16-1</f>
        <v>9.3538887926554598E-2</v>
      </c>
    </row>
    <row r="17" spans="3:12" ht="14.25" customHeight="1" x14ac:dyDescent="0.3">
      <c r="C17" s="315" t="s">
        <v>158</v>
      </c>
      <c r="D17" s="316">
        <f>D16-D12</f>
        <v>1840</v>
      </c>
      <c r="E17" s="316">
        <f>E16-E12</f>
        <v>1855</v>
      </c>
      <c r="F17" s="316">
        <f t="shared" si="0"/>
        <v>3695</v>
      </c>
      <c r="G17" s="316">
        <f t="shared" si="1"/>
        <v>-6068</v>
      </c>
      <c r="H17" s="316">
        <f t="shared" si="1"/>
        <v>6089</v>
      </c>
      <c r="I17" s="316">
        <f t="shared" si="1"/>
        <v>5576</v>
      </c>
      <c r="J17" s="326">
        <f>D17/E17-1</f>
        <v>-8.0862533692722706E-3</v>
      </c>
      <c r="K17" s="326">
        <f>F17/G17-1</f>
        <v>-1.60893210283454</v>
      </c>
      <c r="L17" s="326">
        <f>H17/I17-1</f>
        <v>9.2001434720229605E-2</v>
      </c>
    </row>
    <row r="18" spans="3:12" ht="14.25" customHeight="1" x14ac:dyDescent="0.3">
      <c r="C18" s="315" t="s">
        <v>159</v>
      </c>
      <c r="D18" s="316">
        <v>-590</v>
      </c>
      <c r="E18" s="316">
        <v>0</v>
      </c>
      <c r="F18" s="316">
        <f t="shared" si="0"/>
        <v>-590</v>
      </c>
      <c r="G18" s="316">
        <v>0</v>
      </c>
      <c r="H18" s="316">
        <v>0</v>
      </c>
      <c r="I18" s="316">
        <v>0</v>
      </c>
      <c r="J18" s="326"/>
      <c r="K18" s="326"/>
      <c r="L18" s="326"/>
    </row>
    <row r="19" spans="3:12" ht="14.25" customHeight="1" x14ac:dyDescent="0.3">
      <c r="C19" s="317" t="s">
        <v>160</v>
      </c>
      <c r="D19" s="318">
        <f>D17+D18</f>
        <v>1250</v>
      </c>
      <c r="E19" s="318">
        <f>E17+E18</f>
        <v>1855</v>
      </c>
      <c r="F19" s="318">
        <f t="shared" si="0"/>
        <v>3105</v>
      </c>
      <c r="G19" s="318">
        <f>G17+G18</f>
        <v>-6068</v>
      </c>
      <c r="H19" s="318">
        <f>H17+H18</f>
        <v>6089</v>
      </c>
      <c r="I19" s="318">
        <f>I17+I18</f>
        <v>5576</v>
      </c>
      <c r="J19" s="326">
        <f>D19/E19-1</f>
        <v>-0.32614555256064698</v>
      </c>
      <c r="K19" s="326">
        <f>F19/G19-1</f>
        <v>-1.51170072511536</v>
      </c>
      <c r="L19" s="326">
        <f>H19/I19-1</f>
        <v>9.2001434720229605E-2</v>
      </c>
    </row>
    <row r="20" spans="3:12" ht="14.25" customHeight="1" x14ac:dyDescent="0.3">
      <c r="C20" s="315" t="s">
        <v>161</v>
      </c>
      <c r="D20" s="316">
        <v>320</v>
      </c>
      <c r="E20" s="316">
        <v>468</v>
      </c>
      <c r="F20" s="316">
        <f t="shared" si="0"/>
        <v>788</v>
      </c>
      <c r="G20" s="316">
        <v>772</v>
      </c>
      <c r="H20" s="316">
        <v>1503</v>
      </c>
      <c r="I20" s="316">
        <v>1288</v>
      </c>
      <c r="J20" s="326">
        <f>D20/E20-1</f>
        <v>-0.316239316239316</v>
      </c>
      <c r="K20" s="326">
        <f>F20/G20-1</f>
        <v>2.0725388601036301E-2</v>
      </c>
      <c r="L20" s="326">
        <f>H20/I20-1</f>
        <v>0.16692546583850901</v>
      </c>
    </row>
    <row r="21" spans="3:12" ht="14.25" customHeight="1" x14ac:dyDescent="0.3">
      <c r="C21" s="317" t="s">
        <v>162</v>
      </c>
      <c r="D21" s="318">
        <f>D19-D20</f>
        <v>930</v>
      </c>
      <c r="E21" s="318">
        <f>E19-E20</f>
        <v>1387</v>
      </c>
      <c r="F21" s="318">
        <f t="shared" si="0"/>
        <v>2317</v>
      </c>
      <c r="G21" s="318">
        <f>G19-G20</f>
        <v>-6840</v>
      </c>
      <c r="H21" s="318">
        <f>H19-H20</f>
        <v>4586</v>
      </c>
      <c r="I21" s="318">
        <f>I19-I20</f>
        <v>4288</v>
      </c>
      <c r="J21" s="326">
        <f>D21/E21-1</f>
        <v>-0.32948810382119698</v>
      </c>
      <c r="K21" s="326">
        <f>F21/G21-1</f>
        <v>-1.33874269005848</v>
      </c>
      <c r="L21" s="326">
        <f>H21/I21-1</f>
        <v>6.9496268656716403E-2</v>
      </c>
    </row>
    <row r="22" spans="3:12" ht="14.25" customHeight="1" x14ac:dyDescent="0.3">
      <c r="C22" s="314" t="s">
        <v>163</v>
      </c>
      <c r="D22" s="233"/>
      <c r="E22" s="233"/>
      <c r="F22" s="233"/>
      <c r="G22" s="233"/>
      <c r="H22" s="233"/>
      <c r="I22" s="233"/>
      <c r="J22" s="233"/>
      <c r="K22" s="233"/>
      <c r="L22" s="233"/>
    </row>
    <row r="23" spans="3:12" ht="14.25" customHeight="1" x14ac:dyDescent="0.3">
      <c r="C23" s="315" t="s">
        <v>164</v>
      </c>
      <c r="D23" s="316">
        <v>31.33</v>
      </c>
      <c r="E23" s="316">
        <v>46.77</v>
      </c>
      <c r="F23" s="316">
        <f>D23+E23</f>
        <v>78.099999999999994</v>
      </c>
      <c r="G23" s="316">
        <v>76.38</v>
      </c>
      <c r="H23" s="316">
        <v>90.56</v>
      </c>
      <c r="I23" s="316">
        <v>78.58</v>
      </c>
      <c r="J23" s="326">
        <f>D23/E23-1</f>
        <v>-0.330126149240967</v>
      </c>
      <c r="K23" s="326">
        <f>F23/G23-1</f>
        <v>2.2518984027232201E-2</v>
      </c>
      <c r="L23" s="326">
        <f>H23/I23-1</f>
        <v>0.15245609569865101</v>
      </c>
    </row>
    <row r="24" spans="3:12" ht="14.25" customHeight="1" x14ac:dyDescent="0.3">
      <c r="C24" s="315" t="s">
        <v>165</v>
      </c>
      <c r="D24" s="316">
        <v>31.3</v>
      </c>
      <c r="E24" s="316">
        <v>46.72</v>
      </c>
      <c r="F24" s="316">
        <f>D24+E24</f>
        <v>78.02</v>
      </c>
      <c r="G24" s="316">
        <v>76.28</v>
      </c>
      <c r="H24" s="316">
        <v>90.45</v>
      </c>
      <c r="I24" s="316">
        <v>78.430000000000007</v>
      </c>
      <c r="J24" s="326">
        <f>D24/E24-1</f>
        <v>-0.33005136986301398</v>
      </c>
      <c r="K24" s="326">
        <f>F24/G24-1</f>
        <v>2.2810697430519101E-2</v>
      </c>
      <c r="L24" s="326">
        <f>H24/I24-1</f>
        <v>0.15325768200943499</v>
      </c>
    </row>
    <row r="25" spans="3:12" ht="14.25" customHeight="1" x14ac:dyDescent="0.3">
      <c r="C25" s="314" t="s">
        <v>166</v>
      </c>
      <c r="D25" s="233"/>
      <c r="E25" s="233"/>
      <c r="F25" s="233"/>
      <c r="G25" s="233"/>
      <c r="H25" s="233"/>
      <c r="I25" s="233"/>
      <c r="J25" s="233"/>
      <c r="K25" s="233"/>
      <c r="L25" s="233"/>
    </row>
    <row r="26" spans="3:12" ht="14.25" customHeight="1" x14ac:dyDescent="0.3">
      <c r="C26" s="315" t="s">
        <v>167</v>
      </c>
      <c r="D26" s="316">
        <v>29</v>
      </c>
      <c r="E26" s="316">
        <v>29</v>
      </c>
      <c r="F26" s="316">
        <f>D26</f>
        <v>29</v>
      </c>
      <c r="G26" s="316">
        <v>29</v>
      </c>
      <c r="H26" s="316">
        <v>29</v>
      </c>
      <c r="I26" s="316">
        <v>29</v>
      </c>
      <c r="J26" s="326">
        <f>D26/E26-1</f>
        <v>0</v>
      </c>
      <c r="K26" s="326">
        <f>F26/G26-1</f>
        <v>0</v>
      </c>
      <c r="L26" s="326">
        <f>H26/I26-1</f>
        <v>0</v>
      </c>
    </row>
    <row r="27" spans="3:12" ht="14.25" customHeight="1" x14ac:dyDescent="0.3">
      <c r="C27" s="315" t="s">
        <v>168</v>
      </c>
      <c r="D27" s="316"/>
      <c r="E27" s="316"/>
      <c r="F27" s="316">
        <f>D27+E27</f>
        <v>0</v>
      </c>
      <c r="G27" s="316"/>
      <c r="H27" s="316">
        <v>19268</v>
      </c>
      <c r="I27" s="316"/>
      <c r="J27" s="327"/>
      <c r="K27" s="327"/>
      <c r="L27" s="327"/>
    </row>
  </sheetData>
  <mergeCells count="5">
    <mergeCell ref="C1:I1"/>
    <mergeCell ref="J1:L1"/>
    <mergeCell ref="D2:E2"/>
    <mergeCell ref="F2:G2"/>
    <mergeCell ref="H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0"/>
  <sheetViews>
    <sheetView showGridLines="0" workbookViewId="0">
      <selection activeCell="C15" sqref="C15"/>
    </sheetView>
  </sheetViews>
  <sheetFormatPr defaultColWidth="8.6640625" defaultRowHeight="14.4" x14ac:dyDescent="0.3"/>
  <cols>
    <col min="1" max="1" width="8" style="1" customWidth="1"/>
    <col min="5" max="5" width="40" style="1" customWidth="1"/>
    <col min="6" max="10" width="11.44140625" style="1" customWidth="1"/>
    <col min="13" max="13" width="9.6640625" style="1" customWidth="1"/>
  </cols>
  <sheetData>
    <row r="1" spans="5:14" ht="14.25" customHeight="1" x14ac:dyDescent="0.3">
      <c r="E1" s="323" t="s">
        <v>169</v>
      </c>
      <c r="F1" s="323"/>
      <c r="G1" s="323"/>
      <c r="H1" s="323"/>
      <c r="I1" s="323"/>
      <c r="J1" s="323"/>
      <c r="L1" s="324" t="s">
        <v>137</v>
      </c>
      <c r="M1" s="324"/>
      <c r="N1" s="324"/>
    </row>
    <row r="2" spans="5:14" ht="14.25" customHeight="1" x14ac:dyDescent="0.3">
      <c r="E2" s="235"/>
      <c r="F2" s="321" t="s">
        <v>138</v>
      </c>
      <c r="G2" s="321"/>
      <c r="H2" s="321"/>
      <c r="I2" s="321" t="s">
        <v>140</v>
      </c>
      <c r="J2" s="321"/>
      <c r="L2" s="325" t="s">
        <v>141</v>
      </c>
      <c r="M2" s="325" t="s">
        <v>170</v>
      </c>
      <c r="N2" s="325" t="s">
        <v>143</v>
      </c>
    </row>
    <row r="3" spans="5:14" ht="14.25" customHeight="1" x14ac:dyDescent="0.3">
      <c r="E3" s="313" t="s">
        <v>144</v>
      </c>
      <c r="F3" s="322">
        <v>45992</v>
      </c>
      <c r="G3" s="322">
        <v>45901</v>
      </c>
      <c r="H3" s="322">
        <v>45627</v>
      </c>
      <c r="I3" s="322">
        <v>45717</v>
      </c>
      <c r="J3" s="322">
        <v>45352</v>
      </c>
      <c r="L3" s="4"/>
      <c r="M3" s="4"/>
      <c r="N3" s="4"/>
    </row>
    <row r="4" spans="5:14" ht="14.25" customHeight="1" x14ac:dyDescent="0.3">
      <c r="E4" s="314" t="s">
        <v>145</v>
      </c>
      <c r="F4" s="235"/>
      <c r="G4" s="235"/>
      <c r="H4" s="235"/>
      <c r="I4" s="235"/>
      <c r="J4" s="235"/>
      <c r="L4" s="4"/>
      <c r="M4" s="4"/>
      <c r="N4" s="4"/>
    </row>
    <row r="5" spans="5:14" ht="14.25" customHeight="1" x14ac:dyDescent="0.3">
      <c r="E5" s="315" t="s">
        <v>146</v>
      </c>
      <c r="F5" s="316">
        <v>10781</v>
      </c>
      <c r="G5" s="316">
        <v>10394</v>
      </c>
      <c r="H5" s="316">
        <v>9660</v>
      </c>
      <c r="I5" s="316">
        <v>38008</v>
      </c>
      <c r="J5" s="316">
        <v>35517</v>
      </c>
      <c r="L5" s="153">
        <f>F5/G5-1</f>
        <v>3.7233019049451602E-2</v>
      </c>
      <c r="M5" s="153">
        <f>F5/H5-1</f>
        <v>0.116045548654244</v>
      </c>
      <c r="N5" s="153">
        <f>I5/J5-1</f>
        <v>7.0135428104851197E-2</v>
      </c>
    </row>
    <row r="6" spans="5:14" ht="14.25" customHeight="1" x14ac:dyDescent="0.3">
      <c r="E6" s="315" t="s">
        <v>147</v>
      </c>
      <c r="F6" s="316">
        <v>227</v>
      </c>
      <c r="G6" s="316">
        <v>300</v>
      </c>
      <c r="H6" s="316">
        <v>212</v>
      </c>
      <c r="I6" s="316">
        <v>990</v>
      </c>
      <c r="J6" s="316">
        <v>702</v>
      </c>
      <c r="L6" s="153">
        <f>F6/G6-1</f>
        <v>-0.24333333333333301</v>
      </c>
      <c r="M6" s="153">
        <f>F6/H6-1</f>
        <v>7.0754716981132004E-2</v>
      </c>
      <c r="N6" s="153">
        <f>I6/J6-1</f>
        <v>0.41025641025641002</v>
      </c>
    </row>
    <row r="7" spans="5:14" ht="14.25" customHeight="1" x14ac:dyDescent="0.3">
      <c r="E7" s="317" t="s">
        <v>148</v>
      </c>
      <c r="F7" s="318">
        <f>F5+F6</f>
        <v>11008</v>
      </c>
      <c r="G7" s="318">
        <f>G5+G6</f>
        <v>10694</v>
      </c>
      <c r="H7" s="318">
        <f>H5+H6</f>
        <v>9872</v>
      </c>
      <c r="I7" s="318">
        <f>I5+I6</f>
        <v>38998</v>
      </c>
      <c r="J7" s="318">
        <f>J5+J6</f>
        <v>36219</v>
      </c>
      <c r="L7" s="153">
        <f>F7/G7-1</f>
        <v>2.9362259210772301E-2</v>
      </c>
      <c r="M7" s="153">
        <f>F7/H7-1</f>
        <v>0.115072933549433</v>
      </c>
      <c r="N7" s="153">
        <f>I7/J7-1</f>
        <v>7.6727684364560095E-2</v>
      </c>
    </row>
    <row r="8" spans="5:14" ht="14.25" customHeight="1" x14ac:dyDescent="0.3">
      <c r="E8" s="314" t="s">
        <v>149</v>
      </c>
      <c r="F8" s="235"/>
      <c r="G8" s="235"/>
      <c r="H8" s="235"/>
      <c r="I8" s="235"/>
      <c r="J8" s="235"/>
      <c r="L8" s="4"/>
      <c r="M8" s="4"/>
      <c r="N8" s="4"/>
    </row>
    <row r="9" spans="5:14" ht="14.25" customHeight="1" x14ac:dyDescent="0.3">
      <c r="E9" s="315" t="s">
        <v>150</v>
      </c>
      <c r="F9" s="316">
        <v>6549</v>
      </c>
      <c r="G9" s="316">
        <v>6467</v>
      </c>
      <c r="H9" s="316">
        <v>6254</v>
      </c>
      <c r="I9" s="316">
        <v>23180</v>
      </c>
      <c r="J9" s="316">
        <v>22504</v>
      </c>
      <c r="L9" s="153">
        <f>F9/G9-1</f>
        <v>1.2679758775320901E-2</v>
      </c>
      <c r="M9" s="153">
        <f>F9/H9-1</f>
        <v>4.7169811320754797E-2</v>
      </c>
      <c r="N9" s="153">
        <f>I9/J9-1</f>
        <v>3.0039104159260501E-2</v>
      </c>
    </row>
    <row r="10" spans="5:14" ht="14.25" customHeight="1" x14ac:dyDescent="0.3">
      <c r="E10" s="315" t="s">
        <v>151</v>
      </c>
      <c r="F10" s="316">
        <v>2229</v>
      </c>
      <c r="G10" s="316">
        <v>1996</v>
      </c>
      <c r="H10" s="316">
        <v>1812</v>
      </c>
      <c r="I10" s="316">
        <v>6430</v>
      </c>
      <c r="J10" s="316">
        <v>6615</v>
      </c>
      <c r="L10" s="153">
        <f>F10/G10-1</f>
        <v>0.116733466933868</v>
      </c>
      <c r="M10" s="153">
        <f>F10/H10-1</f>
        <v>0.230132450331126</v>
      </c>
      <c r="N10" s="153">
        <f>I10/J10-1</f>
        <v>-2.7966742252456499E-2</v>
      </c>
    </row>
    <row r="11" spans="5:14" ht="14.25" customHeight="1" x14ac:dyDescent="0.3">
      <c r="E11" s="315" t="s">
        <v>152</v>
      </c>
      <c r="F11" s="316">
        <v>265</v>
      </c>
      <c r="G11" s="316">
        <v>282</v>
      </c>
      <c r="H11" s="316">
        <v>264</v>
      </c>
      <c r="I11" s="316">
        <v>868</v>
      </c>
      <c r="J11" s="316">
        <v>786</v>
      </c>
      <c r="L11" s="153">
        <f>F11/G11-1</f>
        <v>-6.0283687943262401E-2</v>
      </c>
      <c r="M11" s="153">
        <f>F11/H11-1</f>
        <v>3.7878787878788999E-3</v>
      </c>
      <c r="N11" s="153">
        <f>I11/J11-1</f>
        <v>0.10432569974554699</v>
      </c>
    </row>
    <row r="12" spans="5:14" ht="14.25" customHeight="1" x14ac:dyDescent="0.3">
      <c r="E12" s="315" t="s">
        <v>153</v>
      </c>
      <c r="F12" s="316">
        <v>69</v>
      </c>
      <c r="G12" s="316">
        <v>69</v>
      </c>
      <c r="H12" s="316">
        <v>68</v>
      </c>
      <c r="I12" s="316">
        <v>235</v>
      </c>
      <c r="J12" s="316">
        <v>209</v>
      </c>
      <c r="L12" s="153">
        <f>F12/G12-1</f>
        <v>0</v>
      </c>
      <c r="M12" s="153">
        <f>F12/H12-1</f>
        <v>1.47058823529411E-2</v>
      </c>
      <c r="N12" s="153">
        <f>I12/J12-1</f>
        <v>0.124401913875598</v>
      </c>
    </row>
    <row r="13" spans="5:14" ht="14.25" customHeight="1" x14ac:dyDescent="0.3">
      <c r="E13" s="317" t="s">
        <v>154</v>
      </c>
      <c r="F13" s="318">
        <f>F9+F10+F11+F12</f>
        <v>9112</v>
      </c>
      <c r="G13" s="318">
        <f>G9+G10+G11+G12</f>
        <v>8814</v>
      </c>
      <c r="H13" s="318">
        <f>H9+H10+H11+H12</f>
        <v>8398</v>
      </c>
      <c r="I13" s="318">
        <f>I9+I10+I11+I12</f>
        <v>30713</v>
      </c>
      <c r="J13" s="318">
        <f>J9+J10+J11+J12</f>
        <v>30114</v>
      </c>
      <c r="L13" s="153">
        <f>F13/G13-1</f>
        <v>3.3809847969140001E-2</v>
      </c>
      <c r="M13" s="153">
        <f>F13/H13-1</f>
        <v>8.5020242914979796E-2</v>
      </c>
      <c r="N13" s="153">
        <f>I13/J13-1</f>
        <v>1.9891080560536602E-2</v>
      </c>
    </row>
    <row r="14" spans="5:14" ht="14.25" customHeight="1" x14ac:dyDescent="0.3">
      <c r="E14" s="314" t="s">
        <v>155</v>
      </c>
      <c r="F14" s="235"/>
      <c r="G14" s="235"/>
      <c r="H14" s="235"/>
      <c r="I14" s="235"/>
      <c r="J14" s="235"/>
      <c r="L14" s="4"/>
      <c r="M14" s="4"/>
      <c r="N14" s="4"/>
    </row>
    <row r="15" spans="5:14" ht="14.25" customHeight="1" x14ac:dyDescent="0.3">
      <c r="E15" s="319" t="s">
        <v>156</v>
      </c>
      <c r="F15" s="320">
        <f>F7-F9-F10</f>
        <v>2230</v>
      </c>
      <c r="G15" s="320">
        <f>G7-G9-G10</f>
        <v>2231</v>
      </c>
      <c r="H15" s="320">
        <f>H7-H9-H10</f>
        <v>1806</v>
      </c>
      <c r="I15" s="320">
        <f>I7-I9-I10</f>
        <v>9388</v>
      </c>
      <c r="J15" s="320">
        <f>J7-J9-J10</f>
        <v>7100</v>
      </c>
      <c r="L15" s="153">
        <f>F15/G15-1</f>
        <v>-4.4822949350065101E-4</v>
      </c>
      <c r="M15" s="153">
        <f>F15/H15-1</f>
        <v>0.23477297895902499</v>
      </c>
      <c r="N15" s="153">
        <f>I15/J15-1</f>
        <v>0.32225352112676098</v>
      </c>
    </row>
    <row r="16" spans="5:14" ht="14.25" customHeight="1" x14ac:dyDescent="0.3">
      <c r="E16" s="319" t="s">
        <v>157</v>
      </c>
      <c r="F16" s="320">
        <f t="shared" ref="F16:J17" si="0">F15-F11</f>
        <v>1965</v>
      </c>
      <c r="G16" s="320">
        <f t="shared" si="0"/>
        <v>1949</v>
      </c>
      <c r="H16" s="320">
        <f t="shared" si="0"/>
        <v>1542</v>
      </c>
      <c r="I16" s="320">
        <f t="shared" si="0"/>
        <v>8520</v>
      </c>
      <c r="J16" s="320">
        <f t="shared" si="0"/>
        <v>6314</v>
      </c>
      <c r="L16" s="153">
        <f>F16/G16-1</f>
        <v>8.2093381221139995E-3</v>
      </c>
      <c r="M16" s="153">
        <f>F16/H16-1</f>
        <v>0.27431906614786</v>
      </c>
      <c r="N16" s="153">
        <f>I16/J16-1</f>
        <v>0.34938232499208099</v>
      </c>
    </row>
    <row r="17" spans="5:14" ht="14.25" customHeight="1" x14ac:dyDescent="0.3">
      <c r="E17" s="315" t="s">
        <v>158</v>
      </c>
      <c r="F17" s="316">
        <f t="shared" si="0"/>
        <v>1896</v>
      </c>
      <c r="G17" s="316">
        <f t="shared" si="0"/>
        <v>1880</v>
      </c>
      <c r="H17" s="316">
        <f t="shared" si="0"/>
        <v>1474</v>
      </c>
      <c r="I17" s="316">
        <f t="shared" si="0"/>
        <v>8285</v>
      </c>
      <c r="J17" s="316">
        <f t="shared" si="0"/>
        <v>6105</v>
      </c>
      <c r="L17" s="153">
        <f>F17/G17-1</f>
        <v>8.5106382978723492E-3</v>
      </c>
      <c r="M17" s="153">
        <f>F17/H17-1</f>
        <v>0.28629579375848002</v>
      </c>
      <c r="N17" s="153">
        <f>I17/J17-1</f>
        <v>0.35708435708435698</v>
      </c>
    </row>
    <row r="18" spans="5:14" ht="14.25" customHeight="1" x14ac:dyDescent="0.3">
      <c r="E18" s="315" t="s">
        <v>159</v>
      </c>
      <c r="F18" s="316">
        <v>-590</v>
      </c>
      <c r="G18" s="316">
        <v>0</v>
      </c>
      <c r="H18" s="316">
        <v>0</v>
      </c>
      <c r="I18" s="316">
        <v>0</v>
      </c>
      <c r="J18" s="316">
        <v>0</v>
      </c>
      <c r="L18" s="153"/>
      <c r="M18" s="153"/>
      <c r="N18" s="153"/>
    </row>
    <row r="19" spans="5:14" ht="14.25" customHeight="1" x14ac:dyDescent="0.3">
      <c r="E19" s="317" t="s">
        <v>160</v>
      </c>
      <c r="F19" s="318">
        <f>F17+F18</f>
        <v>1306</v>
      </c>
      <c r="G19" s="318">
        <f>G17+G18</f>
        <v>1880</v>
      </c>
      <c r="H19" s="318">
        <f>H17+H18</f>
        <v>1474</v>
      </c>
      <c r="I19" s="318">
        <f>I17+I18</f>
        <v>8285</v>
      </c>
      <c r="J19" s="318">
        <f>J17+J18</f>
        <v>6105</v>
      </c>
      <c r="L19" s="153">
        <f t="shared" ref="L19:L24" si="1">F19/G19-1</f>
        <v>-0.30531914893617002</v>
      </c>
      <c r="M19" s="153">
        <f t="shared" ref="M19:M24" si="2">F19/H19-1</f>
        <v>-0.113975576662144</v>
      </c>
      <c r="N19" s="153">
        <f>I19/J19-1</f>
        <v>0.35708435708435698</v>
      </c>
    </row>
    <row r="20" spans="5:14" ht="14.25" customHeight="1" x14ac:dyDescent="0.3">
      <c r="E20" s="315" t="s">
        <v>161</v>
      </c>
      <c r="F20" s="316">
        <v>345</v>
      </c>
      <c r="G20" s="316">
        <v>498</v>
      </c>
      <c r="H20" s="316">
        <v>385</v>
      </c>
      <c r="I20" s="316">
        <v>1612</v>
      </c>
      <c r="J20" s="316">
        <v>1464</v>
      </c>
      <c r="L20" s="153">
        <f t="shared" si="1"/>
        <v>-0.30722891566265098</v>
      </c>
      <c r="M20" s="153">
        <f t="shared" si="2"/>
        <v>-0.103896103896104</v>
      </c>
      <c r="N20" s="153">
        <f>I20/J20-1</f>
        <v>0.101092896174863</v>
      </c>
    </row>
    <row r="21" spans="5:14" ht="14.25" customHeight="1" x14ac:dyDescent="0.3">
      <c r="E21" s="317" t="s">
        <v>162</v>
      </c>
      <c r="F21" s="318">
        <f>F19-F20</f>
        <v>961</v>
      </c>
      <c r="G21" s="318">
        <f>G19-G20</f>
        <v>1382</v>
      </c>
      <c r="H21" s="318">
        <f>H19-H20</f>
        <v>1089</v>
      </c>
      <c r="I21" s="318">
        <f>I19-I20</f>
        <v>6673</v>
      </c>
      <c r="J21" s="318">
        <f>J19-J20</f>
        <v>4641</v>
      </c>
      <c r="L21" s="153">
        <f t="shared" si="1"/>
        <v>-0.304630969609262</v>
      </c>
      <c r="M21" s="153">
        <f t="shared" si="2"/>
        <v>-0.117539026629936</v>
      </c>
      <c r="N21" s="153">
        <f>I21/J21-1</f>
        <v>0.437836673130791</v>
      </c>
    </row>
    <row r="22" spans="5:14" ht="14.25" customHeight="1" x14ac:dyDescent="0.3">
      <c r="E22" s="315" t="s">
        <v>171</v>
      </c>
      <c r="F22" s="316">
        <v>11</v>
      </c>
      <c r="G22" s="316">
        <v>19</v>
      </c>
      <c r="H22" s="316">
        <v>-1</v>
      </c>
      <c r="I22" s="316">
        <v>19</v>
      </c>
      <c r="J22" s="316">
        <v>-1</v>
      </c>
      <c r="L22" s="153">
        <f t="shared" si="1"/>
        <v>-0.42105263157894701</v>
      </c>
      <c r="M22" s="153">
        <f t="shared" si="2"/>
        <v>-12</v>
      </c>
      <c r="N22" s="153">
        <f>I22/J22-1</f>
        <v>-20</v>
      </c>
    </row>
    <row r="23" spans="5:14" ht="14.25" customHeight="1" x14ac:dyDescent="0.3">
      <c r="E23" s="317" t="s">
        <v>172</v>
      </c>
      <c r="F23" s="318">
        <f>F21+F22</f>
        <v>972</v>
      </c>
      <c r="G23" s="318">
        <f>G21+G22</f>
        <v>1401</v>
      </c>
      <c r="H23" s="318">
        <f>H21+H22</f>
        <v>1088</v>
      </c>
      <c r="I23" s="318">
        <f>I21+I22</f>
        <v>6692</v>
      </c>
      <c r="J23" s="318">
        <f>J21+J22</f>
        <v>4640</v>
      </c>
      <c r="L23" s="153">
        <f t="shared" si="1"/>
        <v>-0.30620985010706597</v>
      </c>
      <c r="M23" s="153">
        <f t="shared" si="2"/>
        <v>-0.106617647058823</v>
      </c>
      <c r="N23" s="153">
        <f>I23/J23-1</f>
        <v>0.44224137931034502</v>
      </c>
    </row>
    <row r="24" spans="5:14" ht="14.25" customHeight="1" x14ac:dyDescent="0.3">
      <c r="E24" s="317" t="s">
        <v>173</v>
      </c>
      <c r="F24" s="318">
        <v>918</v>
      </c>
      <c r="G24" s="318">
        <v>692</v>
      </c>
      <c r="H24" s="318">
        <v>782</v>
      </c>
      <c r="I24" s="318">
        <v>4547</v>
      </c>
      <c r="J24" s="318"/>
      <c r="L24" s="153">
        <f t="shared" si="1"/>
        <v>0.32658959537572302</v>
      </c>
      <c r="M24" s="153">
        <f t="shared" si="2"/>
        <v>0.173913043478261</v>
      </c>
      <c r="N24" s="153"/>
    </row>
    <row r="25" spans="5:14" ht="14.25" customHeight="1" x14ac:dyDescent="0.3">
      <c r="E25" s="314" t="s">
        <v>163</v>
      </c>
      <c r="F25" s="235"/>
      <c r="G25" s="235"/>
      <c r="H25" s="235"/>
      <c r="I25" s="235"/>
      <c r="J25" s="235"/>
      <c r="L25" s="4"/>
      <c r="M25" s="4"/>
      <c r="N25" s="4"/>
    </row>
    <row r="26" spans="5:14" ht="14.25" customHeight="1" x14ac:dyDescent="0.3">
      <c r="E26" s="315" t="s">
        <v>164</v>
      </c>
      <c r="F26" s="316">
        <v>32.75</v>
      </c>
      <c r="G26" s="316">
        <v>47.28</v>
      </c>
      <c r="H26" s="316">
        <v>36.65</v>
      </c>
      <c r="I26" s="316">
        <v>155.22</v>
      </c>
      <c r="J26" s="316">
        <v>154.55000000000001</v>
      </c>
      <c r="L26" s="153">
        <f>F26/G26-1</f>
        <v>-0.30731810490693701</v>
      </c>
      <c r="M26" s="153">
        <f>F26/H26-1</f>
        <v>-0.106412005457026</v>
      </c>
      <c r="N26" s="153">
        <f>I26/J26-1</f>
        <v>4.3351666127466899E-3</v>
      </c>
    </row>
    <row r="27" spans="5:14" ht="14.25" customHeight="1" x14ac:dyDescent="0.3">
      <c r="E27" s="315" t="s">
        <v>165</v>
      </c>
      <c r="F27" s="316">
        <v>32.71</v>
      </c>
      <c r="G27" s="316">
        <v>47.23</v>
      </c>
      <c r="H27" s="316">
        <v>36.590000000000003</v>
      </c>
      <c r="I27" s="316">
        <v>155.22</v>
      </c>
      <c r="J27" s="316">
        <v>154.55000000000001</v>
      </c>
      <c r="L27" s="153">
        <f>F27/G27-1</f>
        <v>-0.30743171712894302</v>
      </c>
      <c r="M27" s="153">
        <f>F27/H27-1</f>
        <v>-0.106039901612462</v>
      </c>
      <c r="N27" s="153">
        <f>I27/J27-1</f>
        <v>4.3351666127466899E-3</v>
      </c>
    </row>
    <row r="28" spans="5:14" ht="14.25" customHeight="1" x14ac:dyDescent="0.3">
      <c r="E28" s="314" t="s">
        <v>166</v>
      </c>
      <c r="F28" s="235"/>
      <c r="G28" s="235"/>
      <c r="H28" s="235"/>
      <c r="I28" s="235"/>
      <c r="J28" s="235"/>
      <c r="L28" s="4"/>
      <c r="M28" s="4"/>
      <c r="N28" s="4"/>
    </row>
    <row r="29" spans="5:14" ht="14.25" customHeight="1" x14ac:dyDescent="0.3">
      <c r="E29" s="315" t="s">
        <v>167</v>
      </c>
      <c r="F29" s="316">
        <v>29</v>
      </c>
      <c r="G29" s="316">
        <v>29</v>
      </c>
      <c r="H29" s="316">
        <v>29</v>
      </c>
      <c r="I29" s="316">
        <v>29</v>
      </c>
      <c r="J29" s="316">
        <v>29</v>
      </c>
      <c r="L29" s="153">
        <f>F29/G29-1</f>
        <v>0</v>
      </c>
      <c r="M29" s="153">
        <f>F29/H29-1</f>
        <v>0</v>
      </c>
      <c r="N29" s="153">
        <f>I29/J29-1</f>
        <v>0</v>
      </c>
    </row>
    <row r="30" spans="5:14" ht="14.25" customHeight="1" x14ac:dyDescent="0.3">
      <c r="E30" s="315" t="s">
        <v>168</v>
      </c>
      <c r="F30" s="316"/>
      <c r="G30" s="316"/>
      <c r="H30" s="316"/>
      <c r="I30" s="316">
        <v>19996</v>
      </c>
      <c r="J30" s="316"/>
      <c r="L30" s="141"/>
      <c r="M30" s="141"/>
      <c r="N30" s="141"/>
    </row>
  </sheetData>
  <mergeCells count="4">
    <mergeCell ref="E1:J1"/>
    <mergeCell ref="L1:N1"/>
    <mergeCell ref="F2:H2"/>
    <mergeCell ref="I2:J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5FA3"/>
  </sheetPr>
  <dimension ref="A1:L64"/>
  <sheetViews>
    <sheetView showGridLines="0" topLeftCell="E28" workbookViewId="0">
      <selection activeCell="E45" sqref="E45:G63"/>
    </sheetView>
  </sheetViews>
  <sheetFormatPr defaultColWidth="17.109375" defaultRowHeight="14.4" x14ac:dyDescent="0.3"/>
  <cols>
    <col min="1" max="4" width="13" style="1" hidden="1" customWidth="1"/>
    <col min="5" max="5" width="42" style="1" customWidth="1"/>
    <col min="6" max="7" width="16" style="1" customWidth="1"/>
  </cols>
  <sheetData>
    <row r="1" spans="5:12" ht="21.75" customHeight="1" x14ac:dyDescent="0.3">
      <c r="E1" s="200" t="s">
        <v>174</v>
      </c>
      <c r="F1" s="200"/>
      <c r="G1" s="200"/>
      <c r="H1" s="4"/>
    </row>
    <row r="2" spans="5:12" ht="15.75" customHeight="1" x14ac:dyDescent="0.3">
      <c r="E2" s="144" t="s">
        <v>175</v>
      </c>
      <c r="F2" s="145" t="s">
        <v>176</v>
      </c>
      <c r="G2" s="146" t="s">
        <v>177</v>
      </c>
      <c r="H2" s="147" t="s">
        <v>178</v>
      </c>
      <c r="I2" s="166"/>
      <c r="J2" s="166"/>
      <c r="K2" s="166"/>
      <c r="L2" s="166"/>
    </row>
    <row r="3" spans="5:12" ht="15.75" customHeight="1" x14ac:dyDescent="0.3">
      <c r="E3" s="145" t="s">
        <v>179</v>
      </c>
      <c r="F3" s="145" t="s">
        <v>180</v>
      </c>
      <c r="G3" s="148" t="s">
        <v>180</v>
      </c>
      <c r="H3" s="167"/>
      <c r="I3" s="166"/>
      <c r="J3" s="166"/>
      <c r="K3" s="166"/>
      <c r="L3" s="166"/>
    </row>
    <row r="4" spans="5:12" ht="15.75" customHeight="1" x14ac:dyDescent="0.3">
      <c r="E4" s="201" t="s">
        <v>181</v>
      </c>
      <c r="F4" s="201"/>
      <c r="G4" s="149"/>
      <c r="H4" s="167"/>
      <c r="I4" s="166"/>
      <c r="J4" s="166"/>
      <c r="K4" s="166"/>
      <c r="L4" s="166"/>
    </row>
    <row r="5" spans="5:12" ht="13.5" customHeight="1" x14ac:dyDescent="0.3">
      <c r="E5" s="202" t="s">
        <v>182</v>
      </c>
      <c r="F5" s="202"/>
      <c r="G5" s="148"/>
      <c r="H5" s="167"/>
      <c r="I5" s="166"/>
      <c r="J5" s="166"/>
      <c r="K5" s="166"/>
      <c r="L5" s="166"/>
    </row>
    <row r="6" spans="5:12" ht="15" customHeight="1" x14ac:dyDescent="0.3">
      <c r="E6" s="154" t="s">
        <v>183</v>
      </c>
      <c r="F6" s="155">
        <v>29.6</v>
      </c>
      <c r="G6" s="156">
        <v>29.6</v>
      </c>
      <c r="H6" s="168">
        <f t="shared" ref="H6:H12" si="0">F6/G6-1</f>
        <v>0</v>
      </c>
      <c r="I6" s="166"/>
      <c r="J6" s="166"/>
      <c r="K6" s="166"/>
      <c r="L6" s="166"/>
    </row>
    <row r="7" spans="5:12" ht="15" customHeight="1" x14ac:dyDescent="0.3">
      <c r="E7" s="157" t="s">
        <v>184</v>
      </c>
      <c r="F7" s="158">
        <f>F6</f>
        <v>29.6</v>
      </c>
      <c r="G7" s="159">
        <f>G6</f>
        <v>29.6</v>
      </c>
      <c r="H7" s="168">
        <f t="shared" si="0"/>
        <v>0</v>
      </c>
      <c r="I7" s="166"/>
      <c r="J7" s="166"/>
      <c r="K7" s="166"/>
      <c r="L7" s="166"/>
    </row>
    <row r="8" spans="5:12" ht="15" customHeight="1" x14ac:dyDescent="0.3">
      <c r="E8" s="154" t="s">
        <v>185</v>
      </c>
      <c r="F8" s="155">
        <v>21570.7</v>
      </c>
      <c r="G8" s="156">
        <v>18925.5</v>
      </c>
      <c r="H8" s="168">
        <f t="shared" si="0"/>
        <v>0.13976909460780401</v>
      </c>
      <c r="I8" s="166"/>
      <c r="J8" s="166"/>
      <c r="K8" s="166"/>
      <c r="L8" s="166"/>
    </row>
    <row r="9" spans="5:12" ht="15" customHeight="1" x14ac:dyDescent="0.3">
      <c r="E9" s="157" t="s">
        <v>186</v>
      </c>
      <c r="F9" s="158">
        <f>F8</f>
        <v>21570.7</v>
      </c>
      <c r="G9" s="159">
        <f>G8</f>
        <v>18925.5</v>
      </c>
      <c r="H9" s="168">
        <f t="shared" si="0"/>
        <v>0.13976909460780401</v>
      </c>
      <c r="I9" s="166"/>
      <c r="J9" s="166"/>
      <c r="K9" s="166"/>
      <c r="L9" s="166"/>
    </row>
    <row r="10" spans="5:12" ht="15" customHeight="1" x14ac:dyDescent="0.3">
      <c r="E10" s="154" t="s">
        <v>187</v>
      </c>
      <c r="F10" s="155">
        <v>233.7</v>
      </c>
      <c r="G10" s="156">
        <v>343.3</v>
      </c>
      <c r="H10" s="168">
        <f t="shared" si="0"/>
        <v>-0.31925429653364401</v>
      </c>
      <c r="I10" s="166"/>
      <c r="J10" s="166"/>
      <c r="K10" s="166"/>
      <c r="L10" s="166"/>
    </row>
    <row r="11" spans="5:12" ht="15" customHeight="1" x14ac:dyDescent="0.3">
      <c r="E11" s="157" t="s">
        <v>188</v>
      </c>
      <c r="F11" s="158">
        <f>F7+F9+F10</f>
        <v>21834</v>
      </c>
      <c r="G11" s="159">
        <f>G7+G9+G10</f>
        <v>19298.400000000001</v>
      </c>
      <c r="H11" s="168">
        <f t="shared" si="0"/>
        <v>0.131389130705136</v>
      </c>
      <c r="I11" s="166"/>
      <c r="J11" s="166"/>
      <c r="K11" s="166"/>
      <c r="L11" s="166"/>
    </row>
    <row r="12" spans="5:12" ht="15" customHeight="1" x14ac:dyDescent="0.3">
      <c r="E12" s="154" t="s">
        <v>189</v>
      </c>
      <c r="F12" s="155">
        <v>0.1</v>
      </c>
      <c r="G12" s="156">
        <v>0.1</v>
      </c>
      <c r="H12" s="168">
        <f t="shared" si="0"/>
        <v>0</v>
      </c>
      <c r="I12" s="166"/>
      <c r="J12" s="166"/>
      <c r="K12" s="166"/>
      <c r="L12" s="166"/>
    </row>
    <row r="13" spans="5:12" ht="13.5" customHeight="1" x14ac:dyDescent="0.3">
      <c r="E13" s="202" t="s">
        <v>190</v>
      </c>
      <c r="F13" s="202"/>
      <c r="G13" s="148"/>
      <c r="H13" s="167"/>
      <c r="I13" s="166"/>
      <c r="J13" s="166"/>
      <c r="K13" s="166"/>
      <c r="L13" s="166"/>
    </row>
    <row r="14" spans="5:12" ht="15" customHeight="1" x14ac:dyDescent="0.3">
      <c r="E14" s="154" t="s">
        <v>191</v>
      </c>
      <c r="F14" s="155">
        <v>1825.4</v>
      </c>
      <c r="G14" s="156">
        <v>1674.3</v>
      </c>
      <c r="H14" s="168">
        <f>F14/G14-1</f>
        <v>9.0246670250253999E-2</v>
      </c>
      <c r="I14" s="166"/>
      <c r="J14" s="166"/>
      <c r="K14" s="166"/>
      <c r="L14" s="166"/>
    </row>
    <row r="15" spans="5:12" ht="15" customHeight="1" x14ac:dyDescent="0.3">
      <c r="E15" s="150" t="s">
        <v>192</v>
      </c>
      <c r="F15" s="151">
        <v>19.7</v>
      </c>
      <c r="G15" s="152">
        <v>15.7</v>
      </c>
      <c r="H15" s="168">
        <f>F15/G15-1</f>
        <v>0.25477707006369399</v>
      </c>
      <c r="I15" s="166"/>
      <c r="J15" s="166"/>
      <c r="K15" s="166"/>
      <c r="L15" s="166"/>
    </row>
    <row r="16" spans="5:12" ht="15" customHeight="1" x14ac:dyDescent="0.3">
      <c r="E16" s="157" t="s">
        <v>193</v>
      </c>
      <c r="F16" s="158">
        <f>F14+F15</f>
        <v>1845.1</v>
      </c>
      <c r="G16" s="159">
        <f>G14+G15</f>
        <v>1690</v>
      </c>
      <c r="H16" s="168">
        <f>F16/G16-1</f>
        <v>9.1775147928994105E-2</v>
      </c>
      <c r="I16" s="166"/>
      <c r="J16" s="166"/>
      <c r="K16" s="166"/>
      <c r="L16" s="166"/>
    </row>
    <row r="17" spans="5:12" ht="13.5" customHeight="1" x14ac:dyDescent="0.3">
      <c r="E17" s="202" t="s">
        <v>194</v>
      </c>
      <c r="F17" s="202"/>
      <c r="G17" s="148"/>
      <c r="H17" s="167"/>
      <c r="I17" s="166"/>
      <c r="J17" s="166"/>
      <c r="K17" s="166"/>
      <c r="L17" s="166"/>
    </row>
    <row r="18" spans="5:12" ht="15" customHeight="1" x14ac:dyDescent="0.3">
      <c r="E18" s="154" t="s">
        <v>195</v>
      </c>
      <c r="F18" s="155">
        <v>1515.3</v>
      </c>
      <c r="G18" s="156">
        <v>1504.5</v>
      </c>
      <c r="H18" s="168">
        <f>F18/G18-1</f>
        <v>7.1784646061814304E-3</v>
      </c>
      <c r="I18" s="166"/>
      <c r="J18" s="166"/>
      <c r="K18" s="166"/>
      <c r="L18" s="166"/>
    </row>
    <row r="19" spans="5:12" ht="15" customHeight="1" x14ac:dyDescent="0.3">
      <c r="E19" s="150" t="s">
        <v>196</v>
      </c>
      <c r="F19" s="151">
        <v>3115.6</v>
      </c>
      <c r="G19" s="152">
        <v>3169.3</v>
      </c>
      <c r="H19" s="168">
        <f>F19/G19-1</f>
        <v>-1.6943804625627199E-2</v>
      </c>
      <c r="I19" s="166"/>
      <c r="J19" s="166"/>
      <c r="K19" s="166"/>
      <c r="L19" s="166"/>
    </row>
    <row r="20" spans="5:12" ht="15" customHeight="1" x14ac:dyDescent="0.3">
      <c r="E20" s="154" t="s">
        <v>197</v>
      </c>
      <c r="F20" s="155">
        <v>906.6</v>
      </c>
      <c r="G20" s="156">
        <v>795.4</v>
      </c>
      <c r="H20" s="168">
        <f>F20/G20-1</f>
        <v>0.13980387226552701</v>
      </c>
      <c r="I20" s="166"/>
      <c r="J20" s="166"/>
      <c r="K20" s="166"/>
      <c r="L20" s="166"/>
    </row>
    <row r="21" spans="5:12" ht="15" customHeight="1" x14ac:dyDescent="0.3">
      <c r="E21" s="157" t="s">
        <v>198</v>
      </c>
      <c r="F21" s="158">
        <f>F18+F19+F20</f>
        <v>5537.5</v>
      </c>
      <c r="G21" s="159">
        <f>G18+G19+G20</f>
        <v>5469.2</v>
      </c>
      <c r="H21" s="168">
        <f>F21/G21-1</f>
        <v>1.24881152636582E-2</v>
      </c>
      <c r="I21" s="166"/>
      <c r="J21" s="166"/>
      <c r="K21" s="166"/>
      <c r="L21" s="166"/>
    </row>
    <row r="22" spans="5:12" ht="15" customHeight="1" x14ac:dyDescent="0.3">
      <c r="E22" s="157" t="s">
        <v>199</v>
      </c>
      <c r="F22" s="158">
        <f>F11+F12+F16+F21</f>
        <v>29216.7</v>
      </c>
      <c r="G22" s="159">
        <f>G11+G12+G16+G21</f>
        <v>26457.7</v>
      </c>
      <c r="H22" s="168">
        <f>F22/G22-1</f>
        <v>0.104279661497409</v>
      </c>
      <c r="I22" s="166"/>
      <c r="J22" s="166"/>
      <c r="K22" s="166"/>
      <c r="L22" s="166"/>
    </row>
    <row r="23" spans="5:12" ht="15.75" customHeight="1" x14ac:dyDescent="0.3">
      <c r="E23" s="201" t="s">
        <v>200</v>
      </c>
      <c r="F23" s="201"/>
      <c r="G23" s="149"/>
      <c r="H23" s="167"/>
      <c r="I23" s="166"/>
      <c r="J23" s="166"/>
      <c r="K23" s="166"/>
      <c r="L23" s="166"/>
    </row>
    <row r="24" spans="5:12" ht="13.5" customHeight="1" x14ac:dyDescent="0.3">
      <c r="E24" s="202" t="s">
        <v>201</v>
      </c>
      <c r="F24" s="202"/>
      <c r="G24" s="148"/>
      <c r="H24" s="167"/>
      <c r="I24" s="166"/>
      <c r="J24" s="166"/>
      <c r="K24" s="166"/>
      <c r="L24" s="166"/>
    </row>
    <row r="25" spans="5:12" ht="15" customHeight="1" x14ac:dyDescent="0.3">
      <c r="E25" s="150" t="s">
        <v>202</v>
      </c>
      <c r="F25" s="151">
        <v>3845.6</v>
      </c>
      <c r="G25" s="152">
        <v>3444.7</v>
      </c>
      <c r="H25" s="168">
        <f t="shared" ref="H25:H31" si="1">F25/G25-1</f>
        <v>0.116381687810259</v>
      </c>
      <c r="I25" s="166"/>
      <c r="J25" s="166"/>
      <c r="K25" s="166"/>
      <c r="L25" s="166"/>
    </row>
    <row r="26" spans="5:12" ht="15" customHeight="1" x14ac:dyDescent="0.3">
      <c r="E26" s="154" t="s">
        <v>203</v>
      </c>
      <c r="F26" s="155">
        <v>715.2</v>
      </c>
      <c r="G26" s="156">
        <v>774.9</v>
      </c>
      <c r="H26" s="168">
        <f t="shared" si="1"/>
        <v>-7.7042198993418506E-2</v>
      </c>
      <c r="I26" s="166"/>
      <c r="J26" s="166"/>
      <c r="K26" s="166"/>
      <c r="L26" s="166"/>
    </row>
    <row r="27" spans="5:12" ht="15" customHeight="1" x14ac:dyDescent="0.3">
      <c r="E27" s="150" t="s">
        <v>204</v>
      </c>
      <c r="F27" s="151">
        <v>563.20000000000005</v>
      </c>
      <c r="G27" s="152">
        <v>464.2</v>
      </c>
      <c r="H27" s="168">
        <f t="shared" si="1"/>
        <v>0.21327014218009499</v>
      </c>
      <c r="I27" s="166"/>
      <c r="J27" s="166"/>
      <c r="K27" s="166"/>
      <c r="L27" s="166"/>
    </row>
    <row r="28" spans="5:12" ht="15" customHeight="1" x14ac:dyDescent="0.3">
      <c r="E28" s="154" t="s">
        <v>205</v>
      </c>
      <c r="F28" s="155">
        <v>0</v>
      </c>
      <c r="G28" s="156">
        <v>12.7</v>
      </c>
      <c r="H28" s="168">
        <f t="shared" si="1"/>
        <v>-1</v>
      </c>
      <c r="I28" s="166"/>
      <c r="J28" s="166"/>
      <c r="K28" s="166"/>
      <c r="L28" s="166"/>
    </row>
    <row r="29" spans="5:12" ht="15" customHeight="1" x14ac:dyDescent="0.3">
      <c r="E29" s="157" t="s">
        <v>206</v>
      </c>
      <c r="F29" s="158">
        <f>F25+F26+F27+F28</f>
        <v>5124</v>
      </c>
      <c r="G29" s="159">
        <f>G25+G26+G27+G28</f>
        <v>4696.5</v>
      </c>
      <c r="H29" s="168">
        <f t="shared" si="1"/>
        <v>9.1025231555413894E-2</v>
      </c>
      <c r="I29" s="166"/>
      <c r="J29" s="166"/>
      <c r="K29" s="166"/>
      <c r="L29" s="166"/>
    </row>
    <row r="30" spans="5:12" ht="15" customHeight="1" x14ac:dyDescent="0.3">
      <c r="E30" s="154" t="s">
        <v>207</v>
      </c>
      <c r="F30" s="155">
        <v>2982.7</v>
      </c>
      <c r="G30" s="156">
        <v>2449.9</v>
      </c>
      <c r="H30" s="168">
        <f t="shared" si="1"/>
        <v>0.21747826441895601</v>
      </c>
      <c r="I30" s="166"/>
      <c r="J30" s="166"/>
      <c r="K30" s="166"/>
      <c r="L30" s="166"/>
    </row>
    <row r="31" spans="5:12" ht="15" customHeight="1" x14ac:dyDescent="0.3">
      <c r="E31" s="150" t="s">
        <v>208</v>
      </c>
      <c r="F31" s="151">
        <v>201.8</v>
      </c>
      <c r="G31" s="152">
        <v>201.4</v>
      </c>
      <c r="H31" s="168">
        <f t="shared" si="1"/>
        <v>1.98609731876864E-3</v>
      </c>
      <c r="I31" s="166"/>
      <c r="J31" s="166"/>
      <c r="K31" s="166"/>
      <c r="L31" s="166"/>
    </row>
    <row r="32" spans="5:12" ht="15" customHeight="1" x14ac:dyDescent="0.3">
      <c r="E32" s="154" t="s">
        <v>209</v>
      </c>
      <c r="F32" s="155">
        <v>0</v>
      </c>
      <c r="G32" s="156">
        <v>0</v>
      </c>
      <c r="H32" s="168"/>
      <c r="I32" s="166"/>
      <c r="J32" s="166"/>
      <c r="K32" s="166"/>
      <c r="L32" s="166"/>
    </row>
    <row r="33" spans="5:12" ht="15" customHeight="1" x14ac:dyDescent="0.3">
      <c r="E33" s="150" t="s">
        <v>210</v>
      </c>
      <c r="F33" s="151">
        <v>986.9</v>
      </c>
      <c r="G33" s="152">
        <v>928.3</v>
      </c>
      <c r="H33" s="168">
        <f>F33/G33-1</f>
        <v>6.3126144565334594E-2</v>
      </c>
      <c r="I33" s="166"/>
      <c r="J33" s="166"/>
      <c r="K33" s="166"/>
      <c r="L33" s="166"/>
    </row>
    <row r="34" spans="5:12" ht="15" customHeight="1" x14ac:dyDescent="0.3">
      <c r="E34" s="157" t="s">
        <v>211</v>
      </c>
      <c r="F34" s="158">
        <f>F29+F30+F31+F32+F33</f>
        <v>9295.4</v>
      </c>
      <c r="G34" s="159">
        <f>G29+G30+G31+G32+G33</f>
        <v>8276.1</v>
      </c>
      <c r="H34" s="168">
        <f>F34/G34-1</f>
        <v>0.123161875762739</v>
      </c>
      <c r="I34" s="166"/>
      <c r="J34" s="166"/>
      <c r="K34" s="166"/>
      <c r="L34" s="166"/>
    </row>
    <row r="35" spans="5:12" ht="13.5" customHeight="1" x14ac:dyDescent="0.3">
      <c r="E35" s="202" t="s">
        <v>212</v>
      </c>
      <c r="F35" s="202"/>
      <c r="G35" s="148"/>
      <c r="H35" s="167"/>
      <c r="I35" s="166"/>
      <c r="J35" s="166"/>
      <c r="K35" s="166"/>
      <c r="L35" s="166"/>
    </row>
    <row r="36" spans="5:12" ht="15" customHeight="1" x14ac:dyDescent="0.3">
      <c r="E36" s="154" t="s">
        <v>213</v>
      </c>
      <c r="F36" s="155">
        <v>7374</v>
      </c>
      <c r="G36" s="156">
        <v>6753.4</v>
      </c>
      <c r="H36" s="168">
        <f t="shared" ref="H36:H43" si="2">F36/G36-1</f>
        <v>9.1894453164332202E-2</v>
      </c>
      <c r="I36" s="166"/>
      <c r="J36" s="166"/>
      <c r="K36" s="166"/>
      <c r="L36" s="166"/>
    </row>
    <row r="37" spans="5:12" ht="15" customHeight="1" x14ac:dyDescent="0.3">
      <c r="E37" s="150" t="s">
        <v>214</v>
      </c>
      <c r="F37" s="151">
        <v>2.8</v>
      </c>
      <c r="G37" s="152">
        <v>3</v>
      </c>
      <c r="H37" s="168">
        <f t="shared" si="2"/>
        <v>-6.6666666666666805E-2</v>
      </c>
      <c r="I37" s="166"/>
      <c r="J37" s="166"/>
      <c r="K37" s="166"/>
      <c r="L37" s="166"/>
    </row>
    <row r="38" spans="5:12" ht="15" customHeight="1" x14ac:dyDescent="0.3">
      <c r="E38" s="154" t="s">
        <v>215</v>
      </c>
      <c r="F38" s="155">
        <v>5671.8</v>
      </c>
      <c r="G38" s="156">
        <v>5372.1</v>
      </c>
      <c r="H38" s="168">
        <f t="shared" si="2"/>
        <v>5.5788239236052903E-2</v>
      </c>
      <c r="I38" s="166"/>
      <c r="J38" s="166"/>
      <c r="K38" s="166"/>
      <c r="L38" s="166"/>
    </row>
    <row r="39" spans="5:12" ht="15" customHeight="1" x14ac:dyDescent="0.3">
      <c r="E39" s="150" t="s">
        <v>216</v>
      </c>
      <c r="F39" s="151">
        <v>2964.7</v>
      </c>
      <c r="G39" s="152">
        <v>2590.6999999999998</v>
      </c>
      <c r="H39" s="168">
        <f t="shared" si="2"/>
        <v>0.14436252750222001</v>
      </c>
      <c r="I39" s="166"/>
      <c r="J39" s="166"/>
      <c r="K39" s="166"/>
      <c r="L39" s="166"/>
    </row>
    <row r="40" spans="5:12" ht="15" customHeight="1" x14ac:dyDescent="0.3">
      <c r="E40" s="154" t="s">
        <v>217</v>
      </c>
      <c r="F40" s="155">
        <v>35.1</v>
      </c>
      <c r="G40" s="156">
        <v>45.6</v>
      </c>
      <c r="H40" s="168">
        <f t="shared" si="2"/>
        <v>-0.230263157894737</v>
      </c>
      <c r="I40" s="166"/>
      <c r="J40" s="166"/>
      <c r="K40" s="166"/>
      <c r="L40" s="166"/>
    </row>
    <row r="41" spans="5:12" ht="15" customHeight="1" x14ac:dyDescent="0.3">
      <c r="E41" s="150" t="s">
        <v>218</v>
      </c>
      <c r="F41" s="151">
        <v>3872.9</v>
      </c>
      <c r="G41" s="152">
        <v>3416.8</v>
      </c>
      <c r="H41" s="168">
        <f t="shared" si="2"/>
        <v>0.13348747365956401</v>
      </c>
      <c r="I41" s="166"/>
      <c r="J41" s="166"/>
      <c r="K41" s="166"/>
      <c r="L41" s="166"/>
    </row>
    <row r="42" spans="5:12" ht="15" customHeight="1" x14ac:dyDescent="0.3">
      <c r="E42" s="157" t="s">
        <v>219</v>
      </c>
      <c r="F42" s="158">
        <f>F36+F37+F38+F39+F40+F41</f>
        <v>19921.3</v>
      </c>
      <c r="G42" s="159">
        <f>G36+G37+G38+G39+G40+G41</f>
        <v>18181.599999999999</v>
      </c>
      <c r="H42" s="168">
        <f t="shared" si="2"/>
        <v>9.5684648215778503E-2</v>
      </c>
      <c r="I42" s="166"/>
      <c r="J42" s="166"/>
      <c r="K42" s="166"/>
      <c r="L42" s="166"/>
    </row>
    <row r="43" spans="5:12" ht="15" customHeight="1" x14ac:dyDescent="0.3">
      <c r="E43" s="157" t="s">
        <v>220</v>
      </c>
      <c r="F43" s="158">
        <f>F34+F42</f>
        <v>29216.7</v>
      </c>
      <c r="G43" s="159">
        <f>G34+G42</f>
        <v>26457.7</v>
      </c>
      <c r="H43" s="168">
        <f t="shared" si="2"/>
        <v>0.104279661497409</v>
      </c>
      <c r="I43" s="166"/>
      <c r="J43" s="166"/>
      <c r="K43" s="166"/>
      <c r="L43" s="166"/>
    </row>
    <row r="44" spans="5:12" ht="15" customHeight="1" x14ac:dyDescent="0.3">
      <c r="E44" s="169"/>
      <c r="F44" s="170"/>
      <c r="G44" s="171"/>
      <c r="H44" s="167"/>
      <c r="I44" s="166"/>
      <c r="J44" s="166"/>
      <c r="K44" s="166"/>
      <c r="L44" s="166"/>
    </row>
    <row r="45" spans="5:12" ht="15.75" customHeight="1" x14ac:dyDescent="0.3">
      <c r="E45" s="201" t="s">
        <v>221</v>
      </c>
      <c r="F45" s="201"/>
      <c r="G45" s="149"/>
      <c r="H45" s="167"/>
      <c r="I45" s="166"/>
      <c r="J45" s="166"/>
      <c r="K45" s="166"/>
      <c r="L45" s="166"/>
    </row>
    <row r="46" spans="5:12" ht="13.5" customHeight="1" x14ac:dyDescent="0.3">
      <c r="E46" s="202" t="s">
        <v>222</v>
      </c>
      <c r="F46" s="202"/>
      <c r="G46" s="148"/>
      <c r="H46" s="167"/>
      <c r="I46" s="166"/>
      <c r="J46" s="166"/>
      <c r="K46" s="166"/>
      <c r="L46" s="166"/>
    </row>
    <row r="47" spans="5:12" ht="15" customHeight="1" x14ac:dyDescent="0.3">
      <c r="E47" s="154" t="s">
        <v>223</v>
      </c>
      <c r="F47" s="155">
        <v>2737.1</v>
      </c>
      <c r="G47" s="156">
        <v>1211.4000000000001</v>
      </c>
      <c r="H47" s="168">
        <f>F47/G47-1</f>
        <v>1.2594518738649501</v>
      </c>
      <c r="I47" s="166"/>
      <c r="J47" s="166"/>
      <c r="K47" s="166"/>
      <c r="L47" s="166"/>
    </row>
    <row r="48" spans="5:12" ht="13.5" customHeight="1" x14ac:dyDescent="0.3">
      <c r="E48" s="202" t="s">
        <v>224</v>
      </c>
      <c r="F48" s="202"/>
      <c r="G48" s="148"/>
      <c r="H48" s="167"/>
      <c r="I48" s="166"/>
      <c r="J48" s="166"/>
      <c r="K48" s="166"/>
      <c r="L48" s="166"/>
    </row>
    <row r="49" spans="5:12" ht="13.5" customHeight="1" x14ac:dyDescent="0.3">
      <c r="E49" s="202" t="s">
        <v>225</v>
      </c>
      <c r="F49" s="202"/>
      <c r="G49" s="148"/>
      <c r="H49" s="167"/>
      <c r="I49" s="166"/>
      <c r="J49" s="166"/>
      <c r="K49" s="166"/>
      <c r="L49" s="166"/>
    </row>
    <row r="50" spans="5:12" ht="15" customHeight="1" x14ac:dyDescent="0.3">
      <c r="E50" s="150" t="s">
        <v>226</v>
      </c>
      <c r="F50" s="151">
        <v>15195.8</v>
      </c>
      <c r="G50" s="152">
        <v>13899.1</v>
      </c>
      <c r="H50" s="168">
        <f>F50/G50-1</f>
        <v>9.3293810390600695E-2</v>
      </c>
      <c r="I50" s="166"/>
      <c r="J50" s="166"/>
      <c r="K50" s="166"/>
      <c r="L50" s="166"/>
    </row>
    <row r="51" spans="5:12" ht="13.5" customHeight="1" x14ac:dyDescent="0.3">
      <c r="E51" s="202" t="s">
        <v>227</v>
      </c>
      <c r="F51" s="202"/>
      <c r="G51" s="148"/>
      <c r="H51" s="167"/>
      <c r="I51" s="166"/>
      <c r="J51" s="166"/>
      <c r="K51" s="166"/>
      <c r="L51" s="166"/>
    </row>
    <row r="52" spans="5:12" ht="15" customHeight="1" x14ac:dyDescent="0.3">
      <c r="E52" s="150" t="s">
        <v>228</v>
      </c>
      <c r="F52" s="357" t="s">
        <v>78</v>
      </c>
      <c r="G52" s="358" t="s">
        <v>78</v>
      </c>
      <c r="H52" s="167"/>
      <c r="I52" s="166"/>
      <c r="J52" s="166"/>
      <c r="K52" s="166"/>
      <c r="L52" s="166"/>
    </row>
    <row r="53" spans="5:12" ht="13.5" customHeight="1" x14ac:dyDescent="0.3">
      <c r="E53" s="202" t="s">
        <v>229</v>
      </c>
      <c r="F53" s="202"/>
      <c r="G53" s="148"/>
      <c r="H53" s="167"/>
      <c r="I53" s="166"/>
      <c r="J53" s="166"/>
      <c r="K53" s="166"/>
      <c r="L53" s="166"/>
    </row>
    <row r="54" spans="5:12" ht="15" customHeight="1" x14ac:dyDescent="0.3">
      <c r="E54" s="150" t="s">
        <v>230</v>
      </c>
      <c r="F54" s="357" t="s">
        <v>78</v>
      </c>
      <c r="G54" s="358" t="s">
        <v>78</v>
      </c>
      <c r="H54" s="167"/>
      <c r="I54" s="166"/>
      <c r="J54" s="166"/>
      <c r="K54" s="166"/>
      <c r="L54" s="166"/>
    </row>
    <row r="55" spans="5:12" ht="15" customHeight="1" x14ac:dyDescent="0.3">
      <c r="E55" s="154" t="s">
        <v>231</v>
      </c>
      <c r="F55" s="155">
        <v>35075</v>
      </c>
      <c r="G55" s="156">
        <v>32540.2</v>
      </c>
      <c r="H55" s="168">
        <f>F55/G55-1</f>
        <v>7.7897492947185398E-2</v>
      </c>
      <c r="I55" s="166"/>
      <c r="J55" s="166"/>
      <c r="K55" s="166"/>
      <c r="L55" s="166"/>
    </row>
    <row r="56" spans="5:12" ht="13.5" customHeight="1" x14ac:dyDescent="0.3">
      <c r="E56" s="202" t="s">
        <v>232</v>
      </c>
      <c r="F56" s="202"/>
      <c r="G56" s="148"/>
      <c r="H56" s="167"/>
      <c r="I56" s="166"/>
      <c r="J56" s="166"/>
      <c r="K56" s="166"/>
      <c r="L56" s="166"/>
    </row>
    <row r="57" spans="5:12" ht="15" customHeight="1" x14ac:dyDescent="0.3">
      <c r="E57" s="154" t="s">
        <v>233</v>
      </c>
      <c r="F57" s="359" t="s">
        <v>78</v>
      </c>
      <c r="G57" s="360" t="s">
        <v>78</v>
      </c>
      <c r="H57" s="167"/>
      <c r="I57" s="166"/>
      <c r="J57" s="166"/>
      <c r="K57" s="166"/>
      <c r="L57" s="166"/>
    </row>
    <row r="58" spans="5:12" ht="13.5" customHeight="1" x14ac:dyDescent="0.3">
      <c r="E58" s="202" t="s">
        <v>234</v>
      </c>
      <c r="F58" s="202"/>
      <c r="G58" s="148"/>
      <c r="H58" s="167"/>
      <c r="I58" s="166"/>
      <c r="J58" s="166"/>
      <c r="K58" s="166"/>
      <c r="L58" s="166"/>
    </row>
    <row r="59" spans="5:12" ht="15" customHeight="1" x14ac:dyDescent="0.3">
      <c r="E59" s="154" t="s">
        <v>235</v>
      </c>
      <c r="F59" s="155">
        <v>2193.8000000000002</v>
      </c>
      <c r="G59" s="156">
        <v>1801.2</v>
      </c>
      <c r="H59" s="168">
        <f>F59/G59-1</f>
        <v>0.21796580057739301</v>
      </c>
      <c r="I59" s="166"/>
      <c r="J59" s="166"/>
      <c r="K59" s="166"/>
      <c r="L59" s="166"/>
    </row>
    <row r="60" spans="5:12" ht="15" customHeight="1" x14ac:dyDescent="0.3">
      <c r="E60" s="150" t="s">
        <v>236</v>
      </c>
      <c r="F60" s="151">
        <v>861.2</v>
      </c>
      <c r="G60" s="152">
        <v>688.3</v>
      </c>
      <c r="H60" s="168">
        <f>F60/G60-1</f>
        <v>0.25119860525933502</v>
      </c>
      <c r="I60" s="166"/>
      <c r="J60" s="166"/>
      <c r="K60" s="166"/>
      <c r="L60" s="166"/>
    </row>
    <row r="61" spans="5:12" ht="13.5" customHeight="1" x14ac:dyDescent="0.3">
      <c r="E61" s="202" t="s">
        <v>237</v>
      </c>
      <c r="F61" s="202"/>
      <c r="G61" s="148"/>
      <c r="H61" s="167"/>
      <c r="I61" s="166"/>
      <c r="J61" s="166"/>
      <c r="K61" s="166"/>
      <c r="L61" s="166"/>
    </row>
    <row r="62" spans="5:12" ht="15" customHeight="1" x14ac:dyDescent="0.3">
      <c r="E62" s="150" t="s">
        <v>238</v>
      </c>
      <c r="F62" s="151">
        <v>6815.1</v>
      </c>
      <c r="G62" s="152">
        <v>6295.1</v>
      </c>
      <c r="H62" s="168">
        <f>F62/G62-1</f>
        <v>8.2603930040825405E-2</v>
      </c>
      <c r="I62" s="166"/>
      <c r="J62" s="166"/>
      <c r="K62" s="166"/>
      <c r="L62" s="166"/>
    </row>
    <row r="63" spans="5:12" ht="15" customHeight="1" x14ac:dyDescent="0.3">
      <c r="E63" s="154" t="s">
        <v>239</v>
      </c>
      <c r="F63" s="155">
        <v>516.70000000000005</v>
      </c>
      <c r="G63" s="156">
        <v>421</v>
      </c>
      <c r="H63" s="168">
        <f>F63/G63-1</f>
        <v>0.22731591448931099</v>
      </c>
      <c r="I63" s="166"/>
      <c r="J63" s="166"/>
      <c r="K63" s="166"/>
      <c r="L63" s="166"/>
    </row>
    <row r="64" spans="5:12" ht="14.25" customHeight="1" x14ac:dyDescent="0.3">
      <c r="H64" s="4"/>
    </row>
  </sheetData>
  <mergeCells count="17">
    <mergeCell ref="E58:F58"/>
    <mergeCell ref="E61:F61"/>
    <mergeCell ref="E48:F48"/>
    <mergeCell ref="E49:F49"/>
    <mergeCell ref="E51:F51"/>
    <mergeCell ref="E53:F53"/>
    <mergeCell ref="E56:F56"/>
    <mergeCell ref="E23:F23"/>
    <mergeCell ref="E24:F24"/>
    <mergeCell ref="E35:F35"/>
    <mergeCell ref="E45:F45"/>
    <mergeCell ref="E46:F46"/>
    <mergeCell ref="E1:G1"/>
    <mergeCell ref="E4:F4"/>
    <mergeCell ref="E5:F5"/>
    <mergeCell ref="E13:F13"/>
    <mergeCell ref="E17:F17"/>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FA3"/>
  </sheetPr>
  <dimension ref="A1:H42"/>
  <sheetViews>
    <sheetView showGridLines="0" topLeftCell="E23" workbookViewId="0">
      <selection activeCell="E27" sqref="E27"/>
    </sheetView>
  </sheetViews>
  <sheetFormatPr defaultColWidth="8.6640625" defaultRowHeight="14.4" x14ac:dyDescent="0.3"/>
  <cols>
    <col min="1" max="4" width="13" style="1" hidden="1" customWidth="1"/>
    <col min="5" max="5" width="53.5546875" style="1" customWidth="1"/>
    <col min="6" max="7" width="16" style="1" customWidth="1"/>
    <col min="8" max="8" width="10.21875" style="1" customWidth="1"/>
  </cols>
  <sheetData>
    <row r="1" spans="5:8" x14ac:dyDescent="0.3">
      <c r="E1" s="200" t="s">
        <v>240</v>
      </c>
      <c r="F1" s="200"/>
      <c r="G1" s="200"/>
      <c r="H1" s="4"/>
    </row>
    <row r="2" spans="5:8" x14ac:dyDescent="0.3">
      <c r="E2" s="144" t="s">
        <v>175</v>
      </c>
      <c r="F2" s="145" t="s">
        <v>176</v>
      </c>
      <c r="G2" s="146" t="s">
        <v>177</v>
      </c>
      <c r="H2" s="147" t="s">
        <v>178</v>
      </c>
    </row>
    <row r="3" spans="5:8" x14ac:dyDescent="0.3">
      <c r="E3" s="145" t="s">
        <v>179</v>
      </c>
      <c r="F3" s="145" t="s">
        <v>180</v>
      </c>
      <c r="G3" s="148" t="s">
        <v>180</v>
      </c>
      <c r="H3" s="4"/>
    </row>
    <row r="4" spans="5:8" x14ac:dyDescent="0.3">
      <c r="E4" s="201" t="s">
        <v>241</v>
      </c>
      <c r="F4" s="201"/>
      <c r="G4" s="149"/>
      <c r="H4" s="4"/>
    </row>
    <row r="5" spans="5:8" x14ac:dyDescent="0.3">
      <c r="E5" s="150" t="s">
        <v>242</v>
      </c>
      <c r="F5" s="151">
        <v>36682.5</v>
      </c>
      <c r="G5" s="152">
        <v>34253.4</v>
      </c>
      <c r="H5" s="153">
        <f>F5/G5-1</f>
        <v>7.0915587941634994E-2</v>
      </c>
    </row>
    <row r="6" spans="5:8" x14ac:dyDescent="0.3">
      <c r="E6" s="154" t="s">
        <v>243</v>
      </c>
      <c r="F6" s="155">
        <f>F5</f>
        <v>36682.5</v>
      </c>
      <c r="G6" s="156">
        <f>G5</f>
        <v>34253.4</v>
      </c>
      <c r="H6" s="153">
        <f>F6/G6-1</f>
        <v>7.0915587941634994E-2</v>
      </c>
    </row>
    <row r="7" spans="5:8" x14ac:dyDescent="0.3">
      <c r="E7" s="157" t="s">
        <v>244</v>
      </c>
      <c r="F7" s="158">
        <f>F6</f>
        <v>36682.5</v>
      </c>
      <c r="G7" s="159">
        <f>G6</f>
        <v>34253.4</v>
      </c>
      <c r="H7" s="153">
        <f>F7/G7-1</f>
        <v>7.0915587941634994E-2</v>
      </c>
    </row>
    <row r="8" spans="5:8" x14ac:dyDescent="0.3">
      <c r="E8" s="154" t="s">
        <v>147</v>
      </c>
      <c r="F8" s="155">
        <v>973.8</v>
      </c>
      <c r="G8" s="156">
        <v>709.9</v>
      </c>
      <c r="H8" s="153">
        <f>F8/G8-1</f>
        <v>0.37174249894351302</v>
      </c>
    </row>
    <row r="9" spans="5:8" x14ac:dyDescent="0.3">
      <c r="E9" s="157" t="s">
        <v>245</v>
      </c>
      <c r="F9" s="158">
        <f>F7+F8</f>
        <v>37656.300000000003</v>
      </c>
      <c r="G9" s="159">
        <f>G7+G8</f>
        <v>34963.300000000003</v>
      </c>
      <c r="H9" s="153">
        <f>F9/G9-1</f>
        <v>7.70236219121192E-2</v>
      </c>
    </row>
    <row r="10" spans="5:8" x14ac:dyDescent="0.3">
      <c r="E10" s="201" t="s">
        <v>246</v>
      </c>
      <c r="F10" s="201"/>
      <c r="G10" s="149"/>
      <c r="H10" s="4"/>
    </row>
    <row r="11" spans="5:8" x14ac:dyDescent="0.3">
      <c r="E11" s="150" t="s">
        <v>247</v>
      </c>
      <c r="F11" s="151">
        <v>3627.1</v>
      </c>
      <c r="G11" s="152">
        <v>4813.5</v>
      </c>
      <c r="H11" s="153">
        <f t="shared" ref="H11:H16" si="0">F11/G11-1</f>
        <v>-0.24647346006024701</v>
      </c>
    </row>
    <row r="12" spans="5:8" x14ac:dyDescent="0.3">
      <c r="E12" s="154" t="s">
        <v>248</v>
      </c>
      <c r="F12" s="155">
        <v>22596.1</v>
      </c>
      <c r="G12" s="156">
        <v>21049</v>
      </c>
      <c r="H12" s="153">
        <f t="shared" si="0"/>
        <v>7.3499928737707207E-2</v>
      </c>
    </row>
    <row r="13" spans="5:8" x14ac:dyDescent="0.3">
      <c r="E13" s="150" t="s">
        <v>153</v>
      </c>
      <c r="F13" s="151">
        <v>270.7</v>
      </c>
      <c r="G13" s="152">
        <v>207.1</v>
      </c>
      <c r="H13" s="153">
        <f t="shared" si="0"/>
        <v>0.307098020280058</v>
      </c>
    </row>
    <row r="14" spans="5:8" x14ac:dyDescent="0.3">
      <c r="E14" s="154" t="s">
        <v>249</v>
      </c>
      <c r="F14" s="155">
        <v>904.3</v>
      </c>
      <c r="G14" s="156">
        <v>760.4</v>
      </c>
      <c r="H14" s="153">
        <f t="shared" si="0"/>
        <v>0.18924250394529199</v>
      </c>
    </row>
    <row r="15" spans="5:8" x14ac:dyDescent="0.3">
      <c r="E15" s="150" t="s">
        <v>151</v>
      </c>
      <c r="F15" s="151">
        <v>4289.3999999999996</v>
      </c>
      <c r="G15" s="152">
        <v>2253.9</v>
      </c>
      <c r="H15" s="153">
        <f t="shared" si="0"/>
        <v>0.90310129109543402</v>
      </c>
    </row>
    <row r="16" spans="5:8" x14ac:dyDescent="0.3">
      <c r="E16" s="157" t="s">
        <v>154</v>
      </c>
      <c r="F16" s="158">
        <f>F11+F12+F13+F14+F15</f>
        <v>31687.599999999999</v>
      </c>
      <c r="G16" s="159">
        <f>G11+G12+G13+G14+G15</f>
        <v>29083.9</v>
      </c>
      <c r="H16" s="153">
        <f t="shared" si="0"/>
        <v>8.9523757130233403E-2</v>
      </c>
    </row>
    <row r="17" spans="5:8" x14ac:dyDescent="0.3">
      <c r="E17" s="160"/>
      <c r="F17" s="161">
        <v>45717</v>
      </c>
      <c r="G17" s="162">
        <v>45352</v>
      </c>
      <c r="H17" s="4"/>
    </row>
    <row r="18" spans="5:8" x14ac:dyDescent="0.3">
      <c r="E18" s="203"/>
      <c r="F18" s="203"/>
      <c r="G18" s="203"/>
      <c r="H18" s="4"/>
    </row>
    <row r="19" spans="5:8" x14ac:dyDescent="0.3">
      <c r="E19" s="163"/>
      <c r="F19" s="164" t="s">
        <v>180</v>
      </c>
      <c r="G19" s="165" t="s">
        <v>180</v>
      </c>
      <c r="H19" s="4"/>
    </row>
    <row r="20" spans="5:8" x14ac:dyDescent="0.3">
      <c r="E20" s="203"/>
      <c r="F20" s="203"/>
      <c r="G20" s="203"/>
      <c r="H20" s="4"/>
    </row>
    <row r="21" spans="5:8" x14ac:dyDescent="0.3">
      <c r="E21" s="157" t="s">
        <v>250</v>
      </c>
      <c r="F21" s="158">
        <f>F9-F16</f>
        <v>5968.7</v>
      </c>
      <c r="G21" s="159">
        <f>G9-G16</f>
        <v>5879.4</v>
      </c>
      <c r="H21" s="153">
        <f>F21/G21-1</f>
        <v>1.51886246895947E-2</v>
      </c>
    </row>
    <row r="22" spans="5:8" x14ac:dyDescent="0.3">
      <c r="E22" s="157" t="s">
        <v>251</v>
      </c>
      <c r="F22" s="158">
        <f>F21</f>
        <v>5968.7</v>
      </c>
      <c r="G22" s="159">
        <f>G21</f>
        <v>5879.4</v>
      </c>
      <c r="H22" s="153">
        <f>F22/G22-1</f>
        <v>1.51886246895947E-2</v>
      </c>
    </row>
    <row r="23" spans="5:8" x14ac:dyDescent="0.3">
      <c r="E23" s="202" t="s">
        <v>252</v>
      </c>
      <c r="F23" s="202"/>
      <c r="G23" s="148"/>
      <c r="H23" s="4"/>
    </row>
    <row r="24" spans="5:8" x14ac:dyDescent="0.3">
      <c r="E24" s="154" t="s">
        <v>253</v>
      </c>
      <c r="F24" s="155">
        <v>1505.7</v>
      </c>
      <c r="G24" s="156">
        <v>1391.7</v>
      </c>
      <c r="H24" s="153">
        <f t="shared" ref="H24:H29" si="1">F24/G24-1</f>
        <v>8.1914205647768898E-2</v>
      </c>
    </row>
    <row r="25" spans="5:8" x14ac:dyDescent="0.3">
      <c r="E25" s="150" t="s">
        <v>254</v>
      </c>
      <c r="F25" s="151">
        <v>16.5</v>
      </c>
      <c r="G25" s="152">
        <v>1.8</v>
      </c>
      <c r="H25" s="153">
        <f t="shared" si="1"/>
        <v>8.1666666666666696</v>
      </c>
    </row>
    <row r="26" spans="5:8" x14ac:dyDescent="0.3">
      <c r="E26" s="157" t="s">
        <v>255</v>
      </c>
      <c r="F26" s="158">
        <f>F24+F25</f>
        <v>1522.2</v>
      </c>
      <c r="G26" s="159">
        <f>G24+G25</f>
        <v>1393.5</v>
      </c>
      <c r="H26" s="153">
        <f t="shared" si="1"/>
        <v>9.2357373519913896E-2</v>
      </c>
    </row>
    <row r="27" spans="5:8" x14ac:dyDescent="0.3">
      <c r="E27" s="157" t="s">
        <v>256</v>
      </c>
      <c r="F27" s="158">
        <f>F22-F26</f>
        <v>4446.5</v>
      </c>
      <c r="G27" s="159">
        <f>G22-G26</f>
        <v>4485.8999999999996</v>
      </c>
      <c r="H27" s="153">
        <f t="shared" si="1"/>
        <v>-8.7830758599158898E-3</v>
      </c>
    </row>
    <row r="28" spans="5:8" x14ac:dyDescent="0.3">
      <c r="E28" s="157" t="s">
        <v>257</v>
      </c>
      <c r="F28" s="158">
        <f>F27</f>
        <v>4446.5</v>
      </c>
      <c r="G28" s="159">
        <f>G27</f>
        <v>4485.8999999999996</v>
      </c>
      <c r="H28" s="153">
        <f t="shared" si="1"/>
        <v>-8.7830758599158898E-3</v>
      </c>
    </row>
    <row r="29" spans="5:8" x14ac:dyDescent="0.3">
      <c r="E29" s="157" t="s">
        <v>258</v>
      </c>
      <c r="F29" s="158">
        <f>F28</f>
        <v>4446.5</v>
      </c>
      <c r="G29" s="159">
        <f>G28</f>
        <v>4485.8999999999996</v>
      </c>
      <c r="H29" s="153">
        <f t="shared" si="1"/>
        <v>-8.7830758599158898E-3</v>
      </c>
    </row>
    <row r="30" spans="5:8" x14ac:dyDescent="0.3">
      <c r="E30" s="160"/>
      <c r="F30" s="161">
        <v>45717</v>
      </c>
      <c r="G30" s="162">
        <v>45352</v>
      </c>
      <c r="H30" s="4"/>
    </row>
    <row r="31" spans="5:8" x14ac:dyDescent="0.3">
      <c r="E31" s="203"/>
      <c r="F31" s="203"/>
      <c r="G31" s="203"/>
      <c r="H31" s="4"/>
    </row>
    <row r="32" spans="5:8" x14ac:dyDescent="0.3">
      <c r="E32" s="163"/>
      <c r="F32" s="164" t="s">
        <v>180</v>
      </c>
      <c r="G32" s="165" t="s">
        <v>180</v>
      </c>
      <c r="H32" s="4"/>
    </row>
    <row r="33" spans="5:8" x14ac:dyDescent="0.3">
      <c r="E33" s="203"/>
      <c r="F33" s="203"/>
      <c r="G33" s="203"/>
      <c r="H33" s="4"/>
    </row>
    <row r="34" spans="5:8" x14ac:dyDescent="0.3">
      <c r="E34" s="201" t="s">
        <v>221</v>
      </c>
      <c r="F34" s="201"/>
      <c r="G34" s="149"/>
      <c r="H34" s="4"/>
    </row>
    <row r="35" spans="5:8" x14ac:dyDescent="0.3">
      <c r="E35" s="202" t="s">
        <v>259</v>
      </c>
      <c r="F35" s="202"/>
      <c r="G35" s="148"/>
      <c r="H35" s="4"/>
    </row>
    <row r="36" spans="5:8" x14ac:dyDescent="0.3">
      <c r="E36" s="154" t="s">
        <v>260</v>
      </c>
      <c r="F36" s="155">
        <v>150.15</v>
      </c>
      <c r="G36" s="156">
        <v>151.6</v>
      </c>
      <c r="H36" s="153">
        <f>F36/G36-1</f>
        <v>-9.5646437994721892E-3</v>
      </c>
    </row>
    <row r="37" spans="5:8" x14ac:dyDescent="0.3">
      <c r="E37" s="150" t="s">
        <v>261</v>
      </c>
      <c r="F37" s="151">
        <v>149.87</v>
      </c>
      <c r="G37" s="152">
        <v>151.24</v>
      </c>
      <c r="H37" s="153">
        <f>F37/G37-1</f>
        <v>-9.0584501454642492E-3</v>
      </c>
    </row>
    <row r="38" spans="5:8" x14ac:dyDescent="0.3">
      <c r="E38" s="202" t="s">
        <v>262</v>
      </c>
      <c r="F38" s="202"/>
      <c r="G38" s="148"/>
      <c r="H38" s="4"/>
    </row>
    <row r="39" spans="5:8" x14ac:dyDescent="0.3">
      <c r="E39" s="202" t="s">
        <v>263</v>
      </c>
      <c r="F39" s="202"/>
      <c r="G39" s="148"/>
      <c r="H39" s="4"/>
    </row>
    <row r="40" spans="5:8" x14ac:dyDescent="0.3">
      <c r="E40" s="202" t="s">
        <v>264</v>
      </c>
      <c r="F40" s="202"/>
      <c r="G40" s="148"/>
      <c r="H40" s="4"/>
    </row>
    <row r="41" spans="5:8" x14ac:dyDescent="0.3">
      <c r="E41" s="150" t="s">
        <v>265</v>
      </c>
      <c r="F41" s="151">
        <v>1924.6</v>
      </c>
      <c r="G41" s="152">
        <v>1775.3</v>
      </c>
      <c r="H41" s="153">
        <f>F41/G41-1</f>
        <v>8.4098462231735602E-2</v>
      </c>
    </row>
    <row r="42" spans="5:8" x14ac:dyDescent="0.3">
      <c r="E42" s="154" t="s">
        <v>266</v>
      </c>
      <c r="F42" s="155">
        <v>6500</v>
      </c>
      <c r="G42" s="156">
        <v>6500</v>
      </c>
      <c r="H42" s="153">
        <f>F42/G42-1</f>
        <v>0</v>
      </c>
    </row>
  </sheetData>
  <mergeCells count="13">
    <mergeCell ref="E38:F38"/>
    <mergeCell ref="E39:F39"/>
    <mergeCell ref="E40:F40"/>
    <mergeCell ref="E23:F23"/>
    <mergeCell ref="E31:G31"/>
    <mergeCell ref="E33:G33"/>
    <mergeCell ref="E34:F34"/>
    <mergeCell ref="E35:F35"/>
    <mergeCell ref="E1:G1"/>
    <mergeCell ref="E4:F4"/>
    <mergeCell ref="E10:F10"/>
    <mergeCell ref="E18:G18"/>
    <mergeCell ref="E20:G20"/>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5FA3"/>
  </sheetPr>
  <dimension ref="A1:P34"/>
  <sheetViews>
    <sheetView showGridLines="0" topLeftCell="E15" workbookViewId="0">
      <selection activeCell="F28" sqref="F28"/>
    </sheetView>
  </sheetViews>
  <sheetFormatPr defaultColWidth="8.6640625" defaultRowHeight="14.4" x14ac:dyDescent="0.3"/>
  <cols>
    <col min="1" max="4" width="13" style="1" hidden="1" customWidth="1"/>
    <col min="5" max="5" width="53.5546875" style="1" customWidth="1"/>
    <col min="6" max="7" width="16" style="1" customWidth="1"/>
    <col min="8" max="8" width="10.21875" style="1" customWidth="1"/>
    <col min="12" max="12" width="9.6640625" style="1" customWidth="1"/>
    <col min="16" max="16" width="9.6640625" style="1" customWidth="1"/>
  </cols>
  <sheetData>
    <row r="1" spans="5:16" ht="21.75" customHeight="1" x14ac:dyDescent="0.3">
      <c r="E1" s="204" t="s">
        <v>267</v>
      </c>
      <c r="F1" s="204"/>
      <c r="G1" s="204"/>
      <c r="H1" s="204"/>
      <c r="I1" s="204"/>
      <c r="J1" s="204"/>
      <c r="L1" s="142" t="s">
        <v>268</v>
      </c>
    </row>
    <row r="2" spans="5:16" ht="15.75" customHeight="1" x14ac:dyDescent="0.3">
      <c r="E2" s="81" t="s">
        <v>175</v>
      </c>
      <c r="F2" s="82" t="s">
        <v>269</v>
      </c>
      <c r="G2" s="82" t="s">
        <v>270</v>
      </c>
      <c r="H2" s="82" t="s">
        <v>177</v>
      </c>
      <c r="I2" s="82" t="s">
        <v>176</v>
      </c>
      <c r="J2" s="82" t="s">
        <v>271</v>
      </c>
      <c r="K2" s="140"/>
      <c r="L2" s="82" t="s">
        <v>269</v>
      </c>
      <c r="M2" s="82" t="s">
        <v>270</v>
      </c>
      <c r="N2" s="82" t="s">
        <v>177</v>
      </c>
      <c r="O2" s="82" t="s">
        <v>176</v>
      </c>
      <c r="P2" s="82" t="s">
        <v>271</v>
      </c>
    </row>
    <row r="3" spans="5:16" ht="15.75" customHeight="1" x14ac:dyDescent="0.3">
      <c r="E3" s="82" t="s">
        <v>179</v>
      </c>
      <c r="F3" s="82" t="s">
        <v>180</v>
      </c>
      <c r="G3" s="82" t="s">
        <v>180</v>
      </c>
      <c r="H3" s="82" t="s">
        <v>180</v>
      </c>
      <c r="I3" s="82" t="s">
        <v>180</v>
      </c>
      <c r="J3" s="82" t="s">
        <v>180</v>
      </c>
      <c r="L3" s="4"/>
      <c r="M3" s="4"/>
      <c r="N3" s="4"/>
      <c r="O3" s="4"/>
      <c r="P3" s="4"/>
    </row>
    <row r="4" spans="5:16" ht="15.75" customHeight="1" x14ac:dyDescent="0.3">
      <c r="E4" s="303" t="s">
        <v>241</v>
      </c>
      <c r="F4" s="304"/>
      <c r="G4" s="305"/>
      <c r="H4" s="305"/>
      <c r="I4" s="305"/>
      <c r="J4" s="304"/>
      <c r="L4" s="4"/>
      <c r="M4" s="4"/>
      <c r="N4" s="4"/>
      <c r="O4" s="4"/>
      <c r="P4" s="4"/>
    </row>
    <row r="5" spans="5:16" ht="15" customHeight="1" x14ac:dyDescent="0.3">
      <c r="E5" s="306" t="s">
        <v>242</v>
      </c>
      <c r="F5" s="307">
        <v>15668.7</v>
      </c>
      <c r="G5" s="307">
        <v>33183</v>
      </c>
      <c r="H5" s="307">
        <v>35517</v>
      </c>
      <c r="I5" s="307">
        <v>38008.1</v>
      </c>
      <c r="J5" s="307">
        <v>42307.6</v>
      </c>
      <c r="K5" s="143"/>
      <c r="L5" s="4"/>
      <c r="M5" s="7">
        <f t="shared" ref="M5:P9" si="0">(G5-F5)/F5</f>
        <v>1.1177889678148201</v>
      </c>
      <c r="N5" s="7">
        <f t="shared" si="0"/>
        <v>7.0337220866106095E-2</v>
      </c>
      <c r="O5" s="7">
        <f t="shared" si="0"/>
        <v>7.0138243657966601E-2</v>
      </c>
      <c r="P5" s="7">
        <f t="shared" si="0"/>
        <v>0.113120624287981</v>
      </c>
    </row>
    <row r="6" spans="5:16" ht="15" customHeight="1" x14ac:dyDescent="0.3">
      <c r="E6" s="308" t="s">
        <v>243</v>
      </c>
      <c r="F6" s="309">
        <f t="shared" ref="F6:J7" si="1">F5</f>
        <v>15668.7</v>
      </c>
      <c r="G6" s="309">
        <f t="shared" si="1"/>
        <v>33183</v>
      </c>
      <c r="H6" s="309">
        <f t="shared" si="1"/>
        <v>35517</v>
      </c>
      <c r="I6" s="309">
        <f t="shared" si="1"/>
        <v>38008.1</v>
      </c>
      <c r="J6" s="309">
        <f t="shared" si="1"/>
        <v>42307.6</v>
      </c>
      <c r="K6" s="143"/>
      <c r="L6" s="4"/>
      <c r="M6" s="7">
        <f t="shared" si="0"/>
        <v>1.1177889678148201</v>
      </c>
      <c r="N6" s="7">
        <f t="shared" si="0"/>
        <v>7.0337220866106095E-2</v>
      </c>
      <c r="O6" s="7">
        <f t="shared" si="0"/>
        <v>7.0138243657966601E-2</v>
      </c>
      <c r="P6" s="7">
        <f t="shared" si="0"/>
        <v>0.113120624287981</v>
      </c>
    </row>
    <row r="7" spans="5:16" ht="15" customHeight="1" x14ac:dyDescent="0.3">
      <c r="E7" s="310" t="s">
        <v>244</v>
      </c>
      <c r="F7" s="311">
        <f t="shared" si="1"/>
        <v>15668.7</v>
      </c>
      <c r="G7" s="311">
        <f t="shared" si="1"/>
        <v>33183</v>
      </c>
      <c r="H7" s="311">
        <f t="shared" si="1"/>
        <v>35517</v>
      </c>
      <c r="I7" s="311">
        <f t="shared" si="1"/>
        <v>38008.1</v>
      </c>
      <c r="J7" s="311">
        <f t="shared" si="1"/>
        <v>42307.6</v>
      </c>
      <c r="K7" s="143"/>
      <c r="L7" s="4"/>
      <c r="M7" s="7">
        <f t="shared" si="0"/>
        <v>1.1177889678148201</v>
      </c>
      <c r="N7" s="7">
        <f t="shared" si="0"/>
        <v>7.0337220866106095E-2</v>
      </c>
      <c r="O7" s="7">
        <f t="shared" si="0"/>
        <v>7.0138243657966601E-2</v>
      </c>
      <c r="P7" s="7">
        <f t="shared" si="0"/>
        <v>0.113120624287981</v>
      </c>
    </row>
    <row r="8" spans="5:16" ht="15" customHeight="1" x14ac:dyDescent="0.3">
      <c r="E8" s="308" t="s">
        <v>147</v>
      </c>
      <c r="F8" s="309">
        <v>466.7</v>
      </c>
      <c r="G8" s="309">
        <v>556.9</v>
      </c>
      <c r="H8" s="309">
        <v>701.9</v>
      </c>
      <c r="I8" s="309">
        <v>989.7</v>
      </c>
      <c r="J8" s="309">
        <v>1094.4000000000001</v>
      </c>
      <c r="K8" s="143"/>
      <c r="L8" s="4"/>
      <c r="M8" s="7">
        <f t="shared" si="0"/>
        <v>0.193271909149346</v>
      </c>
      <c r="N8" s="7">
        <f t="shared" si="0"/>
        <v>0.26036990483031103</v>
      </c>
      <c r="O8" s="7">
        <f t="shared" si="0"/>
        <v>0.41002991879185102</v>
      </c>
      <c r="P8" s="7">
        <f t="shared" si="0"/>
        <v>0.105789633222189</v>
      </c>
    </row>
    <row r="9" spans="5:16" ht="15" customHeight="1" x14ac:dyDescent="0.3">
      <c r="E9" s="310" t="s">
        <v>245</v>
      </c>
      <c r="F9" s="311">
        <f>F7+F8</f>
        <v>16135.4</v>
      </c>
      <c r="G9" s="311">
        <f>G7+G8</f>
        <v>33739.9</v>
      </c>
      <c r="H9" s="311">
        <f>H7+H8</f>
        <v>36218.9</v>
      </c>
      <c r="I9" s="311">
        <f>I7+I8</f>
        <v>38997.800000000003</v>
      </c>
      <c r="J9" s="311">
        <f>J7+J8</f>
        <v>43402</v>
      </c>
      <c r="K9" s="143"/>
      <c r="L9" s="4"/>
      <c r="M9" s="7">
        <f t="shared" si="0"/>
        <v>1.0910482541492601</v>
      </c>
      <c r="N9" s="7">
        <f t="shared" si="0"/>
        <v>7.3473839578659106E-2</v>
      </c>
      <c r="O9" s="7">
        <f t="shared" si="0"/>
        <v>7.6725135219457105E-2</v>
      </c>
      <c r="P9" s="7">
        <f t="shared" si="0"/>
        <v>0.112934575796584</v>
      </c>
    </row>
    <row r="10" spans="5:16" ht="15.75" customHeight="1" x14ac:dyDescent="0.3">
      <c r="E10" s="303" t="s">
        <v>246</v>
      </c>
      <c r="F10" s="304"/>
      <c r="G10" s="305"/>
      <c r="H10" s="305"/>
      <c r="I10" s="305"/>
      <c r="J10" s="304"/>
      <c r="L10" s="4"/>
      <c r="M10" s="7"/>
      <c r="N10" s="7"/>
      <c r="O10" s="7"/>
      <c r="P10" s="7"/>
    </row>
    <row r="11" spans="5:16" ht="15" customHeight="1" x14ac:dyDescent="0.3">
      <c r="E11" s="306" t="s">
        <v>247</v>
      </c>
      <c r="F11" s="307">
        <v>2656.5</v>
      </c>
      <c r="G11" s="307">
        <v>3967.9</v>
      </c>
      <c r="H11" s="307">
        <v>4179.5</v>
      </c>
      <c r="I11" s="307">
        <v>2631.2</v>
      </c>
      <c r="J11" s="307">
        <v>0</v>
      </c>
      <c r="K11" s="143"/>
      <c r="L11" s="4"/>
      <c r="M11" s="7">
        <f t="shared" ref="M11:P17" si="2">(G11-F11)/F11</f>
        <v>0.49365706757011102</v>
      </c>
      <c r="N11" s="7">
        <f t="shared" si="2"/>
        <v>5.3327956853751302E-2</v>
      </c>
      <c r="O11" s="7">
        <f t="shared" si="2"/>
        <v>-0.37045101088646998</v>
      </c>
      <c r="P11" s="7">
        <f t="shared" si="2"/>
        <v>-1</v>
      </c>
    </row>
    <row r="12" spans="5:16" ht="15" customHeight="1" x14ac:dyDescent="0.3">
      <c r="E12" s="308" t="s">
        <v>248</v>
      </c>
      <c r="F12" s="309">
        <v>9700.7000000000007</v>
      </c>
      <c r="G12" s="309">
        <v>20879.900000000001</v>
      </c>
      <c r="H12" s="309">
        <v>22732.3</v>
      </c>
      <c r="I12" s="309">
        <v>24622.6</v>
      </c>
      <c r="J12" s="309">
        <v>26286.9</v>
      </c>
      <c r="K12" s="143"/>
      <c r="L12" s="4"/>
      <c r="M12" s="7">
        <f t="shared" si="2"/>
        <v>1.15241168163122</v>
      </c>
      <c r="N12" s="7">
        <f t="shared" si="2"/>
        <v>8.87168999851531E-2</v>
      </c>
      <c r="O12" s="7">
        <f t="shared" si="2"/>
        <v>8.3154806156878106E-2</v>
      </c>
      <c r="P12" s="7">
        <f t="shared" si="2"/>
        <v>6.7592374485229104E-2</v>
      </c>
    </row>
    <row r="13" spans="5:16" ht="15" customHeight="1" x14ac:dyDescent="0.3">
      <c r="E13" s="306" t="s">
        <v>153</v>
      </c>
      <c r="F13" s="307">
        <v>72.8</v>
      </c>
      <c r="G13" s="307">
        <v>150.4</v>
      </c>
      <c r="H13" s="307">
        <v>221.7</v>
      </c>
      <c r="I13" s="307">
        <v>278.89999999999998</v>
      </c>
      <c r="J13" s="307">
        <v>276.3</v>
      </c>
      <c r="K13" s="143"/>
      <c r="L13" s="4"/>
      <c r="M13" s="7">
        <f t="shared" si="2"/>
        <v>1.0659340659340699</v>
      </c>
      <c r="N13" s="7">
        <f t="shared" si="2"/>
        <v>0.47406914893617003</v>
      </c>
      <c r="O13" s="7">
        <f t="shared" si="2"/>
        <v>0.25800631483987402</v>
      </c>
      <c r="P13" s="7">
        <f t="shared" si="2"/>
        <v>-9.3223377554677907E-3</v>
      </c>
    </row>
    <row r="14" spans="5:16" ht="15" customHeight="1" x14ac:dyDescent="0.3">
      <c r="E14" s="308" t="s">
        <v>249</v>
      </c>
      <c r="F14" s="309">
        <v>354.9</v>
      </c>
      <c r="G14" s="309">
        <v>722.7</v>
      </c>
      <c r="H14" s="309">
        <v>818.9</v>
      </c>
      <c r="I14" s="309">
        <v>991.5</v>
      </c>
      <c r="J14" s="309">
        <v>1054.0999999999999</v>
      </c>
      <c r="K14" s="143"/>
      <c r="L14" s="4"/>
      <c r="M14" s="7">
        <f t="shared" si="2"/>
        <v>1.0363482671174999</v>
      </c>
      <c r="N14" s="7">
        <f t="shared" si="2"/>
        <v>0.133111941331119</v>
      </c>
      <c r="O14" s="7">
        <f t="shared" si="2"/>
        <v>0.210770545854195</v>
      </c>
      <c r="P14" s="7">
        <f t="shared" si="2"/>
        <v>6.3136661623802201E-2</v>
      </c>
    </row>
    <row r="15" spans="5:16" ht="15" customHeight="1" x14ac:dyDescent="0.3">
      <c r="E15" s="306" t="s">
        <v>151</v>
      </c>
      <c r="F15" s="307">
        <v>253.1</v>
      </c>
      <c r="G15" s="307">
        <v>2227.5</v>
      </c>
      <c r="H15" s="307">
        <v>2217.8000000000002</v>
      </c>
      <c r="I15" s="307">
        <v>4259.3999999999996</v>
      </c>
      <c r="J15" s="307">
        <v>8465.5</v>
      </c>
      <c r="K15" s="143"/>
      <c r="L15" s="4"/>
      <c r="M15" s="7">
        <f t="shared" si="2"/>
        <v>7.8008692216515199</v>
      </c>
      <c r="N15" s="7">
        <f t="shared" si="2"/>
        <v>-4.3546576879909399E-3</v>
      </c>
      <c r="O15" s="7">
        <f t="shared" si="2"/>
        <v>0.920551898277572</v>
      </c>
      <c r="P15" s="7">
        <f t="shared" si="2"/>
        <v>0.987486500446072</v>
      </c>
    </row>
    <row r="16" spans="5:16" ht="15" customHeight="1" x14ac:dyDescent="0.3">
      <c r="E16" s="310" t="s">
        <v>154</v>
      </c>
      <c r="F16" s="311">
        <f>F11+F12+F13+F14+F15</f>
        <v>13038</v>
      </c>
      <c r="G16" s="311">
        <f>G11+G12+G13+G14+G15</f>
        <v>27948.400000000001</v>
      </c>
      <c r="H16" s="311">
        <f>H11+H12+H13+H14+H15</f>
        <v>30170.2</v>
      </c>
      <c r="I16" s="311">
        <f>I11+I12+I13+I14+I15</f>
        <v>32783.599999999999</v>
      </c>
      <c r="J16" s="311">
        <f>J11+J12+J13+J14+J15</f>
        <v>36082.800000000003</v>
      </c>
      <c r="K16" s="143"/>
      <c r="L16" s="4"/>
      <c r="M16" s="7">
        <f t="shared" si="2"/>
        <v>1.1436109832796399</v>
      </c>
      <c r="N16" s="7">
        <f t="shared" si="2"/>
        <v>7.9496500694136205E-2</v>
      </c>
      <c r="O16" s="7">
        <f t="shared" si="2"/>
        <v>8.66218984295761E-2</v>
      </c>
      <c r="P16" s="7">
        <f t="shared" si="2"/>
        <v>0.100635683695506</v>
      </c>
    </row>
    <row r="17" spans="5:16" ht="15" customHeight="1" x14ac:dyDescent="0.3">
      <c r="E17" s="310" t="s">
        <v>250</v>
      </c>
      <c r="F17" s="311">
        <f>F9-F16</f>
        <v>3097.4</v>
      </c>
      <c r="G17" s="311">
        <f>G9-G16</f>
        <v>5791.5</v>
      </c>
      <c r="H17" s="311">
        <f>H9-H16</f>
        <v>6048.7</v>
      </c>
      <c r="I17" s="311">
        <f>I9-I16</f>
        <v>6214.2</v>
      </c>
      <c r="J17" s="311">
        <f>J9-J16</f>
        <v>7319.2</v>
      </c>
      <c r="K17" s="143"/>
      <c r="L17" s="4"/>
      <c r="M17" s="7">
        <f t="shared" si="2"/>
        <v>0.86979402079163004</v>
      </c>
      <c r="N17" s="7">
        <f t="shared" si="2"/>
        <v>4.4409911076578497E-2</v>
      </c>
      <c r="O17" s="7">
        <f t="shared" si="2"/>
        <v>2.73612511779385E-2</v>
      </c>
      <c r="P17" s="7">
        <f t="shared" si="2"/>
        <v>0.177818544623604</v>
      </c>
    </row>
    <row r="18" spans="5:16" ht="15" customHeight="1" x14ac:dyDescent="0.3">
      <c r="E18" s="305" t="s">
        <v>159</v>
      </c>
      <c r="F18" s="305">
        <v>0</v>
      </c>
      <c r="G18" s="305">
        <v>0</v>
      </c>
      <c r="H18" s="305">
        <v>0</v>
      </c>
      <c r="I18" s="305">
        <v>0</v>
      </c>
      <c r="J18" s="305">
        <v>-528.1</v>
      </c>
      <c r="L18" s="4"/>
      <c r="M18" s="7"/>
      <c r="N18" s="7"/>
      <c r="O18" s="7"/>
      <c r="P18" s="7"/>
    </row>
    <row r="19" spans="5:16" ht="13.5" customHeight="1" x14ac:dyDescent="0.3">
      <c r="E19" s="310" t="s">
        <v>251</v>
      </c>
      <c r="F19" s="311">
        <f>F17+F18</f>
        <v>3097.4</v>
      </c>
      <c r="G19" s="305">
        <f>G17+G18</f>
        <v>5791.5</v>
      </c>
      <c r="H19" s="305">
        <f>H17+H18</f>
        <v>6048.7</v>
      </c>
      <c r="I19" s="305">
        <f>I17+I18</f>
        <v>6214.2</v>
      </c>
      <c r="J19" s="305">
        <f>J17+J18</f>
        <v>6791.1</v>
      </c>
      <c r="K19" s="143"/>
      <c r="L19" s="4"/>
      <c r="M19" s="7">
        <f>(G19-F19)/F19</f>
        <v>0.86979402079163004</v>
      </c>
      <c r="N19" s="7">
        <f>(H19-G19)/G19</f>
        <v>4.4409911076578497E-2</v>
      </c>
      <c r="O19" s="7">
        <f>(I19-H19)/H19</f>
        <v>2.73612511779385E-2</v>
      </c>
      <c r="P19" s="7">
        <f>(J19-I19)/I19</f>
        <v>9.28357632519069E-2</v>
      </c>
    </row>
    <row r="20" spans="5:16" ht="15" customHeight="1" x14ac:dyDescent="0.3">
      <c r="E20" s="312" t="s">
        <v>252</v>
      </c>
      <c r="F20" s="304"/>
      <c r="G20" s="305"/>
      <c r="H20" s="305"/>
      <c r="I20" s="305"/>
      <c r="J20" s="305"/>
      <c r="L20" s="4"/>
      <c r="M20" s="7"/>
      <c r="N20" s="7"/>
      <c r="O20" s="7"/>
      <c r="P20" s="7"/>
    </row>
    <row r="21" spans="5:16" ht="15" customHeight="1" x14ac:dyDescent="0.3">
      <c r="E21" s="308" t="s">
        <v>253</v>
      </c>
      <c r="F21" s="309">
        <v>818.1</v>
      </c>
      <c r="G21" s="309">
        <v>1439.1</v>
      </c>
      <c r="H21" s="309">
        <v>1460</v>
      </c>
      <c r="I21" s="309">
        <v>1578.4</v>
      </c>
      <c r="J21" s="309">
        <v>1808.4</v>
      </c>
      <c r="K21" s="143"/>
      <c r="L21" s="4"/>
      <c r="M21" s="7">
        <f t="shared" ref="M21:P28" si="3">(G21-F21)/F21</f>
        <v>0.75907590759075905</v>
      </c>
      <c r="N21" s="7">
        <f t="shared" si="3"/>
        <v>1.4522965742478E-2</v>
      </c>
      <c r="O21" s="7">
        <f t="shared" si="3"/>
        <v>8.1095890410959007E-2</v>
      </c>
      <c r="P21" s="7">
        <f t="shared" si="3"/>
        <v>0.14571718195641201</v>
      </c>
    </row>
    <row r="22" spans="5:16" ht="15" customHeight="1" x14ac:dyDescent="0.3">
      <c r="E22" s="306" t="s">
        <v>254</v>
      </c>
      <c r="F22" s="307">
        <v>-19.2</v>
      </c>
      <c r="G22" s="307">
        <v>-57.9</v>
      </c>
      <c r="H22" s="307">
        <v>4.0999999999999996</v>
      </c>
      <c r="I22" s="307">
        <v>33.799999999999997</v>
      </c>
      <c r="J22" s="307">
        <v>0</v>
      </c>
      <c r="K22" s="143"/>
      <c r="L22" s="4"/>
      <c r="M22" s="7">
        <f t="shared" si="3"/>
        <v>2.015625</v>
      </c>
      <c r="N22" s="7">
        <f t="shared" si="3"/>
        <v>-1.0708117443868701</v>
      </c>
      <c r="O22" s="7">
        <f t="shared" si="3"/>
        <v>7.2439024390243896</v>
      </c>
      <c r="P22" s="7">
        <f t="shared" si="3"/>
        <v>-1</v>
      </c>
    </row>
    <row r="23" spans="5:16" ht="15" customHeight="1" x14ac:dyDescent="0.3">
      <c r="E23" s="310" t="s">
        <v>255</v>
      </c>
      <c r="F23" s="311">
        <f>F21+F22</f>
        <v>798.9</v>
      </c>
      <c r="G23" s="311">
        <f>G21+G22</f>
        <v>1381.2</v>
      </c>
      <c r="H23" s="311">
        <f>H21+H22</f>
        <v>1464.1</v>
      </c>
      <c r="I23" s="311">
        <f>I21+I22</f>
        <v>1612.2</v>
      </c>
      <c r="J23" s="311">
        <f>J21+J22</f>
        <v>1808.4</v>
      </c>
      <c r="K23" s="143"/>
      <c r="L23" s="4"/>
      <c r="M23" s="7">
        <f t="shared" si="3"/>
        <v>0.72887720615846796</v>
      </c>
      <c r="N23" s="7">
        <f t="shared" si="3"/>
        <v>6.0020272227048997E-2</v>
      </c>
      <c r="O23" s="7">
        <f t="shared" si="3"/>
        <v>0.101154292739567</v>
      </c>
      <c r="P23" s="7">
        <f t="shared" si="3"/>
        <v>0.121697059918124</v>
      </c>
    </row>
    <row r="24" spans="5:16" ht="15" customHeight="1" x14ac:dyDescent="0.3">
      <c r="E24" s="310" t="s">
        <v>256</v>
      </c>
      <c r="F24" s="311">
        <f>F19-F23</f>
        <v>2298.5</v>
      </c>
      <c r="G24" s="311">
        <f>G19-G23</f>
        <v>4410.3</v>
      </c>
      <c r="H24" s="311">
        <f>H19-H23</f>
        <v>4584.6000000000004</v>
      </c>
      <c r="I24" s="311">
        <f>I19-I23</f>
        <v>4602</v>
      </c>
      <c r="J24" s="311">
        <f>J19-J23</f>
        <v>4982.7</v>
      </c>
      <c r="K24" s="143"/>
      <c r="L24" s="4"/>
      <c r="M24" s="7">
        <f t="shared" si="3"/>
        <v>0.91877311289971497</v>
      </c>
      <c r="N24" s="7">
        <f t="shared" si="3"/>
        <v>3.9521121012176898E-2</v>
      </c>
      <c r="O24" s="7">
        <f t="shared" si="3"/>
        <v>3.7953147493776799E-3</v>
      </c>
      <c r="P24" s="7">
        <f t="shared" si="3"/>
        <v>8.2724902216427698E-2</v>
      </c>
    </row>
    <row r="25" spans="5:16" ht="15" customHeight="1" x14ac:dyDescent="0.3">
      <c r="E25" s="310" t="s">
        <v>257</v>
      </c>
      <c r="F25" s="311">
        <f t="shared" ref="F25:J26" si="4">F24</f>
        <v>2298.5</v>
      </c>
      <c r="G25" s="311">
        <f t="shared" si="4"/>
        <v>4410.3</v>
      </c>
      <c r="H25" s="311">
        <f t="shared" si="4"/>
        <v>4584.6000000000004</v>
      </c>
      <c r="I25" s="311">
        <f t="shared" si="4"/>
        <v>4602</v>
      </c>
      <c r="J25" s="311">
        <f t="shared" si="4"/>
        <v>4982.7</v>
      </c>
      <c r="K25" s="143"/>
      <c r="L25" s="4"/>
      <c r="M25" s="7">
        <f t="shared" si="3"/>
        <v>0.91877311289971497</v>
      </c>
      <c r="N25" s="7">
        <f t="shared" si="3"/>
        <v>3.9521121012176898E-2</v>
      </c>
      <c r="O25" s="7">
        <f t="shared" si="3"/>
        <v>3.7953147493776799E-3</v>
      </c>
      <c r="P25" s="7">
        <f t="shared" si="3"/>
        <v>8.2724902216427698E-2</v>
      </c>
    </row>
    <row r="26" spans="5:16" ht="15" customHeight="1" x14ac:dyDescent="0.3">
      <c r="E26" s="310" t="s">
        <v>258</v>
      </c>
      <c r="F26" s="311">
        <f t="shared" si="4"/>
        <v>2298.5</v>
      </c>
      <c r="G26" s="311">
        <f t="shared" si="4"/>
        <v>4410.3</v>
      </c>
      <c r="H26" s="311">
        <f t="shared" si="4"/>
        <v>4584.6000000000004</v>
      </c>
      <c r="I26" s="311">
        <f t="shared" si="4"/>
        <v>4602</v>
      </c>
      <c r="J26" s="311">
        <f t="shared" si="4"/>
        <v>4982.7</v>
      </c>
      <c r="K26" s="143"/>
      <c r="L26" s="4"/>
      <c r="M26" s="7">
        <f t="shared" si="3"/>
        <v>0.91877311289971497</v>
      </c>
      <c r="N26" s="7">
        <f t="shared" si="3"/>
        <v>3.9521121012176898E-2</v>
      </c>
      <c r="O26" s="7">
        <f t="shared" si="3"/>
        <v>3.7953147493776799E-3</v>
      </c>
      <c r="P26" s="7">
        <f t="shared" si="3"/>
        <v>8.2724902216427698E-2</v>
      </c>
    </row>
    <row r="27" spans="5:16" ht="15" customHeight="1" x14ac:dyDescent="0.3">
      <c r="E27" s="308" t="s">
        <v>171</v>
      </c>
      <c r="F27" s="309">
        <v>-1.7</v>
      </c>
      <c r="G27" s="309">
        <v>-2</v>
      </c>
      <c r="H27" s="309">
        <v>-2.5</v>
      </c>
      <c r="I27" s="309">
        <v>-3.3</v>
      </c>
      <c r="J27" s="309">
        <v>35.4</v>
      </c>
      <c r="K27" s="143"/>
      <c r="L27" s="4"/>
      <c r="M27" s="7">
        <f t="shared" si="3"/>
        <v>0.17647058823529399</v>
      </c>
      <c r="N27" s="7">
        <f t="shared" si="3"/>
        <v>0.25</v>
      </c>
      <c r="O27" s="7">
        <f t="shared" si="3"/>
        <v>0.32</v>
      </c>
      <c r="P27" s="7">
        <f t="shared" si="3"/>
        <v>-11.7272727272727</v>
      </c>
    </row>
    <row r="28" spans="5:16" ht="15.75" customHeight="1" x14ac:dyDescent="0.3">
      <c r="E28" s="310" t="s">
        <v>272</v>
      </c>
      <c r="F28" s="311">
        <f>F26+F27</f>
        <v>2296.8000000000002</v>
      </c>
      <c r="G28" s="305">
        <f>G26+G27</f>
        <v>4408.3</v>
      </c>
      <c r="H28" s="305">
        <f>H26+H27</f>
        <v>4582.1000000000004</v>
      </c>
      <c r="I28" s="305">
        <f>I26+I27</f>
        <v>4598.7</v>
      </c>
      <c r="J28" s="305">
        <f>J26+J27</f>
        <v>5018.1000000000004</v>
      </c>
      <c r="K28" s="143"/>
      <c r="L28" s="4"/>
      <c r="M28" s="7">
        <f t="shared" si="3"/>
        <v>0.91932253570184297</v>
      </c>
      <c r="N28" s="7">
        <f t="shared" si="3"/>
        <v>3.94256289272518E-2</v>
      </c>
      <c r="O28" s="7">
        <f t="shared" si="3"/>
        <v>3.6227930424907202E-3</v>
      </c>
      <c r="P28" s="7">
        <f t="shared" si="3"/>
        <v>9.1199686868027902E-2</v>
      </c>
    </row>
    <row r="29" spans="5:16" ht="13.5" customHeight="1" x14ac:dyDescent="0.3">
      <c r="E29" s="303" t="s">
        <v>221</v>
      </c>
      <c r="F29" s="304"/>
      <c r="G29" s="305"/>
      <c r="H29" s="305"/>
      <c r="I29" s="305"/>
      <c r="J29" s="304"/>
      <c r="L29" s="4"/>
      <c r="M29" s="7"/>
      <c r="N29" s="7"/>
      <c r="O29" s="7"/>
      <c r="P29" s="7"/>
    </row>
    <row r="30" spans="5:16" ht="15" customHeight="1" x14ac:dyDescent="0.3">
      <c r="E30" s="312" t="s">
        <v>259</v>
      </c>
      <c r="F30" s="304"/>
      <c r="G30" s="305"/>
      <c r="H30" s="305"/>
      <c r="I30" s="305"/>
      <c r="J30" s="305"/>
      <c r="L30" s="4"/>
      <c r="M30" s="7"/>
      <c r="N30" s="7"/>
      <c r="O30" s="7"/>
      <c r="P30" s="7"/>
    </row>
    <row r="31" spans="5:16" ht="15" customHeight="1" x14ac:dyDescent="0.3">
      <c r="E31" s="308" t="s">
        <v>260</v>
      </c>
      <c r="F31" s="309">
        <v>131</v>
      </c>
      <c r="G31" s="309">
        <v>149</v>
      </c>
      <c r="H31" s="309">
        <v>155</v>
      </c>
      <c r="I31" s="309">
        <v>155</v>
      </c>
      <c r="J31" s="309">
        <v>169</v>
      </c>
      <c r="K31" s="143"/>
      <c r="L31" s="4"/>
      <c r="M31" s="7">
        <f t="shared" ref="M31:P32" si="5">(G31-F31)/F31</f>
        <v>0.13740458015267201</v>
      </c>
      <c r="N31" s="7">
        <f t="shared" si="5"/>
        <v>4.0268456375838903E-2</v>
      </c>
      <c r="O31" s="7">
        <f t="shared" si="5"/>
        <v>0</v>
      </c>
      <c r="P31" s="7">
        <f t="shared" si="5"/>
        <v>9.0322580645161299E-2</v>
      </c>
    </row>
    <row r="32" spans="5:16" ht="13.5" customHeight="1" x14ac:dyDescent="0.3">
      <c r="E32" s="306" t="s">
        <v>261</v>
      </c>
      <c r="F32" s="307">
        <v>131</v>
      </c>
      <c r="G32" s="305">
        <v>149</v>
      </c>
      <c r="H32" s="305">
        <v>155</v>
      </c>
      <c r="I32" s="305">
        <v>155</v>
      </c>
      <c r="J32" s="306"/>
      <c r="K32" s="143"/>
      <c r="L32" s="4"/>
      <c r="M32" s="7">
        <f t="shared" si="5"/>
        <v>0.13740458015267201</v>
      </c>
      <c r="N32" s="7">
        <f t="shared" si="5"/>
        <v>4.0268456375838903E-2</v>
      </c>
      <c r="O32" s="7">
        <f t="shared" si="5"/>
        <v>0</v>
      </c>
      <c r="P32" s="7">
        <f t="shared" si="5"/>
        <v>-1</v>
      </c>
    </row>
    <row r="33" spans="5:16" ht="15" customHeight="1" x14ac:dyDescent="0.3">
      <c r="E33" s="312" t="s">
        <v>264</v>
      </c>
      <c r="F33" s="304"/>
      <c r="G33" s="305"/>
      <c r="H33" s="305"/>
      <c r="I33" s="305"/>
      <c r="J33" s="305"/>
      <c r="L33" s="4"/>
      <c r="M33" s="7"/>
      <c r="N33" s="7"/>
      <c r="O33" s="7"/>
      <c r="P33" s="7"/>
    </row>
    <row r="34" spans="5:16" ht="14.25" customHeight="1" x14ac:dyDescent="0.3">
      <c r="E34" s="306" t="s">
        <v>265</v>
      </c>
      <c r="F34" s="307">
        <v>874.9</v>
      </c>
      <c r="G34" s="307">
        <v>1562.7</v>
      </c>
      <c r="H34" s="307">
        <v>1775.3</v>
      </c>
      <c r="I34" s="307">
        <v>1924.6</v>
      </c>
      <c r="J34" s="307">
        <v>0</v>
      </c>
      <c r="K34" s="143"/>
      <c r="L34" s="4"/>
      <c r="M34" s="7">
        <f>(G34-F34)/F34</f>
        <v>0.78614698822722595</v>
      </c>
      <c r="N34" s="7">
        <f>(H34-G34)/G34</f>
        <v>0.13604658603698699</v>
      </c>
      <c r="O34" s="7">
        <f>(I34-H34)/H34</f>
        <v>8.4098462231735505E-2</v>
      </c>
      <c r="P34" s="7">
        <f>(J34-I34)/I34</f>
        <v>-1</v>
      </c>
    </row>
  </sheetData>
  <mergeCells count="1">
    <mergeCell ref="E1:J1"/>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FA3"/>
  </sheetPr>
  <dimension ref="A1:P57"/>
  <sheetViews>
    <sheetView showGridLines="0" topLeftCell="D1" workbookViewId="0">
      <selection activeCell="H21" sqref="H21"/>
    </sheetView>
  </sheetViews>
  <sheetFormatPr defaultColWidth="8.6640625" defaultRowHeight="14.4" x14ac:dyDescent="0.3"/>
  <cols>
    <col min="1" max="3" width="13" style="1" hidden="1" customWidth="1"/>
    <col min="4" max="4" width="42" style="1" customWidth="1"/>
    <col min="5" max="6" width="16" style="1" customWidth="1"/>
    <col min="7" max="7" width="10.21875" style="1" customWidth="1"/>
    <col min="12" max="14" width="8.77734375" style="1" customWidth="1"/>
    <col min="15" max="15" width="9" style="1" customWidth="1"/>
  </cols>
  <sheetData>
    <row r="1" spans="4:16" ht="21.75" customHeight="1" x14ac:dyDescent="0.3">
      <c r="D1" s="204" t="s">
        <v>273</v>
      </c>
      <c r="E1" s="204"/>
      <c r="F1" s="204"/>
      <c r="G1" s="204"/>
      <c r="H1" s="204"/>
      <c r="I1" s="204"/>
      <c r="J1" s="138"/>
      <c r="L1" s="139" t="s">
        <v>268</v>
      </c>
      <c r="M1" s="4"/>
      <c r="N1" s="4"/>
      <c r="O1" s="4"/>
      <c r="P1" s="4"/>
    </row>
    <row r="2" spans="4:16" ht="15.75" customHeight="1" x14ac:dyDescent="0.3">
      <c r="D2" s="81" t="s">
        <v>175</v>
      </c>
      <c r="E2" s="82" t="s">
        <v>269</v>
      </c>
      <c r="F2" s="82" t="s">
        <v>270</v>
      </c>
      <c r="G2" s="82" t="s">
        <v>177</v>
      </c>
      <c r="H2" s="82" t="s">
        <v>176</v>
      </c>
      <c r="I2" s="82" t="s">
        <v>271</v>
      </c>
      <c r="J2" s="140"/>
      <c r="L2" s="82" t="s">
        <v>269</v>
      </c>
      <c r="M2" s="82" t="s">
        <v>270</v>
      </c>
      <c r="N2" s="82" t="s">
        <v>177</v>
      </c>
      <c r="O2" s="82" t="s">
        <v>176</v>
      </c>
      <c r="P2" s="82" t="s">
        <v>271</v>
      </c>
    </row>
    <row r="3" spans="4:16" ht="15.75" customHeight="1" x14ac:dyDescent="0.3">
      <c r="D3" s="82" t="s">
        <v>179</v>
      </c>
      <c r="E3" s="82" t="s">
        <v>180</v>
      </c>
      <c r="F3" s="82" t="s">
        <v>180</v>
      </c>
      <c r="G3" s="82" t="s">
        <v>180</v>
      </c>
      <c r="H3" s="82" t="s">
        <v>180</v>
      </c>
      <c r="I3" s="82" t="s">
        <v>180</v>
      </c>
      <c r="L3" s="4"/>
      <c r="M3" s="4"/>
      <c r="N3" s="4"/>
      <c r="O3" s="4"/>
      <c r="P3" s="4"/>
    </row>
    <row r="4" spans="4:16" ht="15.75" customHeight="1" x14ac:dyDescent="0.3">
      <c r="D4" s="80" t="s">
        <v>181</v>
      </c>
      <c r="E4" s="83"/>
      <c r="F4" s="4"/>
      <c r="G4" s="4"/>
      <c r="H4" s="4"/>
      <c r="I4" s="84"/>
      <c r="L4" s="4"/>
      <c r="M4" s="4"/>
      <c r="N4" s="4"/>
      <c r="O4" s="4"/>
      <c r="P4" s="4"/>
    </row>
    <row r="5" spans="4:16" ht="13.5" customHeight="1" x14ac:dyDescent="0.3">
      <c r="D5" s="299" t="s">
        <v>182</v>
      </c>
      <c r="E5" s="234"/>
      <c r="F5" s="235"/>
      <c r="G5" s="235"/>
      <c r="H5" s="235"/>
      <c r="I5" s="236"/>
      <c r="L5" s="4"/>
      <c r="M5" s="7" t="s">
        <v>274</v>
      </c>
      <c r="N5" s="7"/>
      <c r="O5" s="7"/>
      <c r="P5" s="7"/>
    </row>
    <row r="6" spans="4:16" ht="15" customHeight="1" x14ac:dyDescent="0.3">
      <c r="D6" s="300" t="s">
        <v>183</v>
      </c>
      <c r="E6" s="295">
        <v>17.5</v>
      </c>
      <c r="F6" s="295">
        <v>29.6</v>
      </c>
      <c r="G6" s="295">
        <v>29.6</v>
      </c>
      <c r="H6" s="295">
        <v>29.6</v>
      </c>
      <c r="I6" s="295">
        <v>29.6</v>
      </c>
      <c r="J6" s="141"/>
      <c r="L6" s="4"/>
      <c r="M6" s="7">
        <f>(F6-E6)/E6</f>
        <v>0.69142857142857195</v>
      </c>
      <c r="N6" s="7">
        <f>(G6-F6)/F6</f>
        <v>0</v>
      </c>
      <c r="O6" s="7">
        <f>(H6-G6)/G6</f>
        <v>0</v>
      </c>
      <c r="P6" s="7">
        <f>(I6-H6)/H6</f>
        <v>0</v>
      </c>
    </row>
    <row r="7" spans="4:16" ht="15" customHeight="1" x14ac:dyDescent="0.3">
      <c r="D7" s="301" t="s">
        <v>184</v>
      </c>
      <c r="E7" s="296">
        <f>E6</f>
        <v>17.5</v>
      </c>
      <c r="F7" s="296">
        <f>F6</f>
        <v>29.6</v>
      </c>
      <c r="G7" s="296">
        <f>G6</f>
        <v>29.6</v>
      </c>
      <c r="H7" s="296">
        <f>H6</f>
        <v>29.6</v>
      </c>
      <c r="I7" s="296">
        <f>I6</f>
        <v>29.6</v>
      </c>
      <c r="J7" s="141"/>
      <c r="L7" s="4"/>
      <c r="M7" s="7"/>
      <c r="N7" s="7"/>
      <c r="O7" s="7"/>
      <c r="P7" s="7"/>
    </row>
    <row r="8" spans="4:16" ht="15" customHeight="1" x14ac:dyDescent="0.3">
      <c r="D8" s="300" t="s">
        <v>185</v>
      </c>
      <c r="E8" s="295">
        <v>8797.1</v>
      </c>
      <c r="F8" s="295">
        <v>16078.6</v>
      </c>
      <c r="G8" s="295">
        <v>19503.599999999999</v>
      </c>
      <c r="H8" s="295">
        <v>22434.9</v>
      </c>
      <c r="I8" s="295">
        <v>23995.4</v>
      </c>
      <c r="J8" s="141"/>
      <c r="L8" s="4"/>
      <c r="M8" s="7">
        <f t="shared" ref="M8:P9" si="0">(F8-E8)/E8</f>
        <v>0.82771595184776803</v>
      </c>
      <c r="N8" s="7">
        <f t="shared" si="0"/>
        <v>0.21301605861206799</v>
      </c>
      <c r="O8" s="7">
        <f t="shared" si="0"/>
        <v>0.15029533009290599</v>
      </c>
      <c r="P8" s="7">
        <f t="shared" si="0"/>
        <v>6.9556806582601202E-2</v>
      </c>
    </row>
    <row r="9" spans="4:16" ht="15" customHeight="1" x14ac:dyDescent="0.3">
      <c r="D9" s="301" t="s">
        <v>186</v>
      </c>
      <c r="E9" s="296">
        <f>E8</f>
        <v>8797.1</v>
      </c>
      <c r="F9" s="296">
        <f>F8</f>
        <v>16078.6</v>
      </c>
      <c r="G9" s="296">
        <f>G8</f>
        <v>19503.599999999999</v>
      </c>
      <c r="H9" s="296">
        <f>H8</f>
        <v>22434.9</v>
      </c>
      <c r="I9" s="296">
        <f>I8</f>
        <v>23995.4</v>
      </c>
      <c r="J9" s="141"/>
      <c r="L9" s="4"/>
      <c r="M9" s="7">
        <f t="shared" si="0"/>
        <v>0.82771595184776803</v>
      </c>
      <c r="N9" s="7">
        <f t="shared" si="0"/>
        <v>0.21301605861206799</v>
      </c>
      <c r="O9" s="7">
        <f t="shared" si="0"/>
        <v>0.15029533009290599</v>
      </c>
      <c r="P9" s="7">
        <f t="shared" si="0"/>
        <v>6.9556806582601202E-2</v>
      </c>
    </row>
    <row r="10" spans="4:16" ht="15" customHeight="1" x14ac:dyDescent="0.3">
      <c r="D10" s="300" t="s">
        <v>187</v>
      </c>
      <c r="E10" s="295">
        <v>0</v>
      </c>
      <c r="F10" s="295">
        <v>483.9</v>
      </c>
      <c r="G10" s="295">
        <v>483.9</v>
      </c>
      <c r="H10" s="295">
        <v>233.7</v>
      </c>
      <c r="I10" s="295">
        <v>0</v>
      </c>
      <c r="J10" s="141"/>
      <c r="L10" s="4"/>
      <c r="M10" s="7"/>
      <c r="N10" s="7">
        <f t="shared" ref="N10:P11" si="1">(G10-F10)/F10</f>
        <v>0</v>
      </c>
      <c r="O10" s="7">
        <f t="shared" si="1"/>
        <v>-0.51704897706137598</v>
      </c>
      <c r="P10" s="7">
        <f t="shared" si="1"/>
        <v>-1</v>
      </c>
    </row>
    <row r="11" spans="4:16" ht="15" customHeight="1" x14ac:dyDescent="0.3">
      <c r="D11" s="301" t="s">
        <v>188</v>
      </c>
      <c r="E11" s="296">
        <f>E7+E9+E10</f>
        <v>8814.6</v>
      </c>
      <c r="F11" s="296">
        <f>F7+F9+F10</f>
        <v>16592.099999999999</v>
      </c>
      <c r="G11" s="296">
        <f>G7+G9+G10</f>
        <v>20017.099999999999</v>
      </c>
      <c r="H11" s="296">
        <f>H7+H9+H10</f>
        <v>22698.2</v>
      </c>
      <c r="I11" s="296">
        <f>I7+I9+I10</f>
        <v>24025</v>
      </c>
      <c r="J11" s="141"/>
      <c r="L11" s="4"/>
      <c r="M11" s="7">
        <f>(F11-E11)/E11</f>
        <v>0.88234293104621897</v>
      </c>
      <c r="N11" s="7">
        <f t="shared" si="1"/>
        <v>0.206423538913097</v>
      </c>
      <c r="O11" s="7">
        <f t="shared" si="1"/>
        <v>0.13394048088884</v>
      </c>
      <c r="P11" s="7">
        <f t="shared" si="1"/>
        <v>5.8453974323955202E-2</v>
      </c>
    </row>
    <row r="12" spans="4:16" ht="15" customHeight="1" x14ac:dyDescent="0.3">
      <c r="D12" s="300" t="s">
        <v>189</v>
      </c>
      <c r="E12" s="295">
        <v>0</v>
      </c>
      <c r="F12" s="295">
        <v>0</v>
      </c>
      <c r="G12" s="295">
        <v>0.1</v>
      </c>
      <c r="H12" s="295">
        <v>0.1</v>
      </c>
      <c r="I12" s="295">
        <v>0</v>
      </c>
      <c r="J12" s="141"/>
      <c r="L12" s="4"/>
      <c r="M12" s="7"/>
      <c r="N12" s="7"/>
      <c r="O12" s="7"/>
      <c r="P12" s="7">
        <f>(I12-H12)/H12</f>
        <v>-1</v>
      </c>
    </row>
    <row r="13" spans="4:16" ht="15" customHeight="1" x14ac:dyDescent="0.3">
      <c r="D13" s="302" t="s">
        <v>171</v>
      </c>
      <c r="E13" s="297">
        <v>5.7</v>
      </c>
      <c r="F13" s="297">
        <v>7.1</v>
      </c>
      <c r="G13" s="297">
        <v>9.1999999999999993</v>
      </c>
      <c r="H13" s="297">
        <v>13.2</v>
      </c>
      <c r="I13" s="297">
        <v>82.7</v>
      </c>
      <c r="J13" s="141"/>
      <c r="L13" s="4"/>
      <c r="M13" s="7">
        <f>(F13-E13)/E13</f>
        <v>0.24561403508771901</v>
      </c>
      <c r="N13" s="7">
        <f>(G13-F13)/F13</f>
        <v>0.29577464788732399</v>
      </c>
      <c r="O13" s="7">
        <f>(H13-G13)/G13</f>
        <v>0.434782608695652</v>
      </c>
      <c r="P13" s="7">
        <f>(I13-H13)/H13</f>
        <v>5.26515151515152</v>
      </c>
    </row>
    <row r="14" spans="4:16" ht="13.5" customHeight="1" x14ac:dyDescent="0.3">
      <c r="D14" s="299" t="s">
        <v>190</v>
      </c>
      <c r="E14" s="234"/>
      <c r="F14" s="235"/>
      <c r="G14" s="235"/>
      <c r="H14" s="235"/>
      <c r="I14" s="236"/>
      <c r="L14" s="4"/>
      <c r="M14" s="7"/>
      <c r="N14" s="7"/>
      <c r="O14" s="7"/>
      <c r="P14" s="7"/>
    </row>
    <row r="15" spans="4:16" ht="15" customHeight="1" x14ac:dyDescent="0.3">
      <c r="D15" s="302" t="s">
        <v>275</v>
      </c>
      <c r="E15" s="297">
        <v>667.5</v>
      </c>
      <c r="F15" s="297">
        <v>0</v>
      </c>
      <c r="G15" s="297">
        <v>0</v>
      </c>
      <c r="H15" s="297">
        <v>0</v>
      </c>
      <c r="I15" s="297">
        <v>0</v>
      </c>
      <c r="J15" s="141"/>
      <c r="L15" s="4"/>
      <c r="M15" s="7"/>
      <c r="N15" s="7"/>
      <c r="O15" s="7"/>
      <c r="P15" s="7"/>
    </row>
    <row r="16" spans="4:16" ht="15" customHeight="1" x14ac:dyDescent="0.3">
      <c r="D16" s="300" t="s">
        <v>276</v>
      </c>
      <c r="E16" s="295">
        <v>10.5</v>
      </c>
      <c r="F16" s="295">
        <v>14.7</v>
      </c>
      <c r="G16" s="295">
        <v>18.7</v>
      </c>
      <c r="H16" s="295">
        <v>31.9</v>
      </c>
      <c r="I16" s="295">
        <v>47.5</v>
      </c>
      <c r="J16" s="141"/>
      <c r="L16" s="4"/>
      <c r="M16" s="7">
        <f t="shared" ref="M16:P17" si="2">(F16-E16)/E16</f>
        <v>0.4</v>
      </c>
      <c r="N16" s="7">
        <f t="shared" si="2"/>
        <v>0.27210884353741499</v>
      </c>
      <c r="O16" s="7">
        <f t="shared" si="2"/>
        <v>0.70588235294117596</v>
      </c>
      <c r="P16" s="7">
        <f t="shared" si="2"/>
        <v>0.48902821316614398</v>
      </c>
    </row>
    <row r="17" spans="4:16" ht="15" customHeight="1" x14ac:dyDescent="0.3">
      <c r="D17" s="302" t="s">
        <v>191</v>
      </c>
      <c r="E17" s="297">
        <v>52.7</v>
      </c>
      <c r="F17" s="297">
        <v>1364.6</v>
      </c>
      <c r="G17" s="297">
        <v>1759</v>
      </c>
      <c r="H17" s="297">
        <v>1901</v>
      </c>
      <c r="I17" s="297">
        <v>3235.6</v>
      </c>
      <c r="J17" s="141"/>
      <c r="L17" s="4"/>
      <c r="M17" s="7">
        <f t="shared" si="2"/>
        <v>24.893738140417501</v>
      </c>
      <c r="N17" s="7">
        <f t="shared" si="2"/>
        <v>0.28902242415359802</v>
      </c>
      <c r="O17" s="7">
        <f t="shared" si="2"/>
        <v>8.0727686185332603E-2</v>
      </c>
      <c r="P17" s="7">
        <f t="shared" si="2"/>
        <v>0.70205155181483403</v>
      </c>
    </row>
    <row r="18" spans="4:16" ht="15" customHeight="1" x14ac:dyDescent="0.3">
      <c r="D18" s="300" t="s">
        <v>192</v>
      </c>
      <c r="E18" s="295">
        <v>0</v>
      </c>
      <c r="F18" s="295">
        <v>35</v>
      </c>
      <c r="G18" s="295">
        <v>15.7</v>
      </c>
      <c r="H18" s="295">
        <v>19.7</v>
      </c>
      <c r="I18" s="295">
        <v>21.5</v>
      </c>
      <c r="J18" s="141"/>
      <c r="L18" s="4"/>
      <c r="M18" s="7"/>
      <c r="N18" s="7">
        <f t="shared" ref="N18:P19" si="3">(G18-F18)/F18</f>
        <v>-0.55142857142857105</v>
      </c>
      <c r="O18" s="7">
        <f t="shared" si="3"/>
        <v>0.25477707006369399</v>
      </c>
      <c r="P18" s="7">
        <f t="shared" si="3"/>
        <v>9.1370558375634597E-2</v>
      </c>
    </row>
    <row r="19" spans="4:16" ht="15" customHeight="1" x14ac:dyDescent="0.3">
      <c r="D19" s="301" t="s">
        <v>193</v>
      </c>
      <c r="E19" s="296">
        <f>E15+E16+E17+E18</f>
        <v>730.7</v>
      </c>
      <c r="F19" s="296">
        <f>F15+F16+F17+F18</f>
        <v>1414.3</v>
      </c>
      <c r="G19" s="296">
        <f>G15+G16+G17+G18</f>
        <v>1793.4</v>
      </c>
      <c r="H19" s="296">
        <f>H15+H16+H17+H18</f>
        <v>1952.6</v>
      </c>
      <c r="I19" s="296">
        <f>I15+I16+I17+I18</f>
        <v>3304.6</v>
      </c>
      <c r="J19" s="141"/>
      <c r="L19" s="4"/>
      <c r="M19" s="7">
        <f>(F19-E19)/E19</f>
        <v>0.93554126180374997</v>
      </c>
      <c r="N19" s="7">
        <f t="shared" si="3"/>
        <v>0.26804779749699498</v>
      </c>
      <c r="O19" s="7">
        <f t="shared" si="3"/>
        <v>8.8769934203189502E-2</v>
      </c>
      <c r="P19" s="7">
        <f t="shared" si="3"/>
        <v>0.69241011984021295</v>
      </c>
    </row>
    <row r="20" spans="4:16" ht="13.5" customHeight="1" x14ac:dyDescent="0.3">
      <c r="D20" s="299" t="s">
        <v>194</v>
      </c>
      <c r="E20" s="234"/>
      <c r="F20" s="235"/>
      <c r="G20" s="235"/>
      <c r="H20" s="235"/>
      <c r="I20" s="236"/>
      <c r="L20" s="4"/>
      <c r="M20" s="7"/>
      <c r="N20" s="7"/>
      <c r="O20" s="7"/>
      <c r="P20" s="7"/>
    </row>
    <row r="21" spans="4:16" ht="15" customHeight="1" x14ac:dyDescent="0.3">
      <c r="D21" s="302" t="s">
        <v>277</v>
      </c>
      <c r="E21" s="297">
        <v>168</v>
      </c>
      <c r="F21" s="297">
        <v>125.3</v>
      </c>
      <c r="G21" s="297">
        <v>40.700000000000003</v>
      </c>
      <c r="H21" s="297">
        <v>2.2999999999999998</v>
      </c>
      <c r="I21" s="297">
        <v>0</v>
      </c>
      <c r="J21" s="141"/>
      <c r="L21" s="4"/>
      <c r="M21" s="7">
        <f t="shared" ref="M21:P26" si="4">(F21-E21)/E21</f>
        <v>-0.25416666666666698</v>
      </c>
      <c r="N21" s="7">
        <f t="shared" si="4"/>
        <v>-0.67517956903431797</v>
      </c>
      <c r="O21" s="7">
        <f t="shared" si="4"/>
        <v>-0.94348894348894397</v>
      </c>
      <c r="P21" s="7">
        <f t="shared" si="4"/>
        <v>-1</v>
      </c>
    </row>
    <row r="22" spans="4:16" ht="15" customHeight="1" x14ac:dyDescent="0.3">
      <c r="D22" s="300" t="s">
        <v>195</v>
      </c>
      <c r="E22" s="295">
        <v>802.8</v>
      </c>
      <c r="F22" s="295">
        <v>1293.8</v>
      </c>
      <c r="G22" s="295">
        <v>1493.9</v>
      </c>
      <c r="H22" s="295">
        <v>1549.9</v>
      </c>
      <c r="I22" s="295">
        <v>2061</v>
      </c>
      <c r="J22" s="141"/>
      <c r="L22" s="4"/>
      <c r="M22" s="7">
        <f t="shared" si="4"/>
        <v>0.61160936721474801</v>
      </c>
      <c r="N22" s="7">
        <f t="shared" si="4"/>
        <v>0.15466068944195399</v>
      </c>
      <c r="O22" s="7">
        <f t="shared" si="4"/>
        <v>3.7485775486980399E-2</v>
      </c>
      <c r="P22" s="7">
        <f t="shared" si="4"/>
        <v>0.32976321052971203</v>
      </c>
    </row>
    <row r="23" spans="4:16" ht="15" customHeight="1" x14ac:dyDescent="0.3">
      <c r="D23" s="302" t="s">
        <v>196</v>
      </c>
      <c r="E23" s="297">
        <v>1560.1</v>
      </c>
      <c r="F23" s="297">
        <v>3250.1</v>
      </c>
      <c r="G23" s="297">
        <v>3360</v>
      </c>
      <c r="H23" s="297">
        <v>3444.6</v>
      </c>
      <c r="I23" s="297">
        <v>6548.6</v>
      </c>
      <c r="J23" s="141"/>
      <c r="L23" s="4"/>
      <c r="M23" s="7">
        <f t="shared" si="4"/>
        <v>1.0832638933401699</v>
      </c>
      <c r="N23" s="7">
        <f t="shared" si="4"/>
        <v>3.3814344174025401E-2</v>
      </c>
      <c r="O23" s="7">
        <f t="shared" si="4"/>
        <v>2.5178571428571401E-2</v>
      </c>
      <c r="P23" s="7">
        <f t="shared" si="4"/>
        <v>0.90112059455379401</v>
      </c>
    </row>
    <row r="24" spans="4:16" ht="15" customHeight="1" x14ac:dyDescent="0.3">
      <c r="D24" s="300" t="s">
        <v>197</v>
      </c>
      <c r="E24" s="295">
        <v>387.4</v>
      </c>
      <c r="F24" s="295">
        <v>813.4</v>
      </c>
      <c r="G24" s="295">
        <v>848.6</v>
      </c>
      <c r="H24" s="295">
        <v>969.1</v>
      </c>
      <c r="I24" s="295">
        <v>1174.0999999999999</v>
      </c>
      <c r="J24" s="141"/>
      <c r="L24" s="4"/>
      <c r="M24" s="7">
        <f t="shared" si="4"/>
        <v>1.0996386164171399</v>
      </c>
      <c r="N24" s="7">
        <f t="shared" si="4"/>
        <v>4.3275141381854003E-2</v>
      </c>
      <c r="O24" s="7">
        <f t="shared" si="4"/>
        <v>0.14199858590619799</v>
      </c>
      <c r="P24" s="7">
        <f t="shared" si="4"/>
        <v>0.21153647714374099</v>
      </c>
    </row>
    <row r="25" spans="4:16" ht="15" customHeight="1" x14ac:dyDescent="0.3">
      <c r="D25" s="301" t="s">
        <v>198</v>
      </c>
      <c r="E25" s="296">
        <f>E21+E22+E23+E24</f>
        <v>2918.3</v>
      </c>
      <c r="F25" s="296">
        <f>F21+F22+F23+F24</f>
        <v>5482.6</v>
      </c>
      <c r="G25" s="296">
        <f>G21+G22+G23+G24</f>
        <v>5743.2</v>
      </c>
      <c r="H25" s="296">
        <f>H21+H22+H23+H24</f>
        <v>5965.9</v>
      </c>
      <c r="I25" s="296">
        <f>I21+I22+I23+I24</f>
        <v>9783.7000000000007</v>
      </c>
      <c r="J25" s="141"/>
      <c r="L25" s="4"/>
      <c r="M25" s="7">
        <f t="shared" si="4"/>
        <v>0.87869650138779398</v>
      </c>
      <c r="N25" s="7">
        <f t="shared" si="4"/>
        <v>4.7532192755262298E-2</v>
      </c>
      <c r="O25" s="7">
        <f t="shared" si="4"/>
        <v>3.87762919626689E-2</v>
      </c>
      <c r="P25" s="7">
        <f t="shared" si="4"/>
        <v>0.63993697514205705</v>
      </c>
    </row>
    <row r="26" spans="4:16" ht="15" customHeight="1" x14ac:dyDescent="0.3">
      <c r="D26" s="301" t="s">
        <v>199</v>
      </c>
      <c r="E26" s="296">
        <f>E11+E12+E13+E19+E25</f>
        <v>12469.3</v>
      </c>
      <c r="F26" s="296">
        <f>F11+F12+F13+F19+F25</f>
        <v>23496.1</v>
      </c>
      <c r="G26" s="296">
        <f>G11+G12+G13+G19+G25</f>
        <v>27563</v>
      </c>
      <c r="H26" s="296">
        <f>H11+H12+H13+H19+H25</f>
        <v>30630</v>
      </c>
      <c r="I26" s="296">
        <f>I11+I12+I13+I19+I25</f>
        <v>37196</v>
      </c>
      <c r="J26" s="141"/>
      <c r="L26" s="4"/>
      <c r="M26" s="7">
        <f t="shared" si="4"/>
        <v>0.88431587980078996</v>
      </c>
      <c r="N26" s="7">
        <f t="shared" si="4"/>
        <v>0.17308829976038601</v>
      </c>
      <c r="O26" s="7">
        <f t="shared" si="4"/>
        <v>0.111272357871059</v>
      </c>
      <c r="P26" s="7">
        <f t="shared" si="4"/>
        <v>0.214365001632387</v>
      </c>
    </row>
    <row r="27" spans="4:16" ht="15.75" customHeight="1" x14ac:dyDescent="0.3">
      <c r="D27" s="253" t="s">
        <v>200</v>
      </c>
      <c r="E27" s="234"/>
      <c r="F27" s="235"/>
      <c r="G27" s="235"/>
      <c r="H27" s="235"/>
      <c r="I27" s="236"/>
      <c r="L27" s="4"/>
      <c r="M27" s="7"/>
      <c r="N27" s="7"/>
      <c r="O27" s="7"/>
      <c r="P27" s="7"/>
    </row>
    <row r="28" spans="4:16" ht="13.5" customHeight="1" x14ac:dyDescent="0.3">
      <c r="D28" s="299" t="s">
        <v>201</v>
      </c>
      <c r="E28" s="234"/>
      <c r="F28" s="235"/>
      <c r="G28" s="235"/>
      <c r="H28" s="235"/>
      <c r="I28" s="236"/>
      <c r="L28" s="4"/>
      <c r="M28" s="7"/>
      <c r="N28" s="7"/>
      <c r="O28" s="7"/>
      <c r="P28" s="7"/>
    </row>
    <row r="29" spans="4:16" ht="15" customHeight="1" x14ac:dyDescent="0.3">
      <c r="D29" s="302" t="s">
        <v>202</v>
      </c>
      <c r="E29" s="297">
        <v>1135.9000000000001</v>
      </c>
      <c r="F29" s="297">
        <v>2223.6</v>
      </c>
      <c r="G29" s="297">
        <v>3556.8</v>
      </c>
      <c r="H29" s="297">
        <v>3963.1</v>
      </c>
      <c r="I29" s="297">
        <v>4175.6000000000004</v>
      </c>
      <c r="J29" s="141"/>
      <c r="L29" s="4"/>
      <c r="M29" s="7">
        <f t="shared" ref="M29:P35" si="5">(F29-E29)/E29</f>
        <v>0.95756668720838101</v>
      </c>
      <c r="N29" s="7">
        <f t="shared" si="5"/>
        <v>0.59956826767404203</v>
      </c>
      <c r="O29" s="7">
        <f t="shared" si="5"/>
        <v>0.114231893837157</v>
      </c>
      <c r="P29" s="7">
        <f t="shared" si="5"/>
        <v>5.3619641189977703E-2</v>
      </c>
    </row>
    <row r="30" spans="4:16" ht="15" customHeight="1" x14ac:dyDescent="0.3">
      <c r="D30" s="300" t="s">
        <v>203</v>
      </c>
      <c r="E30" s="295">
        <v>271.8</v>
      </c>
      <c r="F30" s="295">
        <v>266.3</v>
      </c>
      <c r="G30" s="295">
        <v>231.3</v>
      </c>
      <c r="H30" s="295">
        <v>118</v>
      </c>
      <c r="I30" s="295">
        <v>162.9</v>
      </c>
      <c r="J30" s="141"/>
      <c r="L30" s="4"/>
      <c r="M30" s="7">
        <f t="shared" si="5"/>
        <v>-2.0235467255334798E-2</v>
      </c>
      <c r="N30" s="7">
        <f t="shared" si="5"/>
        <v>-0.13143071723620001</v>
      </c>
      <c r="O30" s="7">
        <f t="shared" si="5"/>
        <v>-0.489840034587116</v>
      </c>
      <c r="P30" s="7">
        <f t="shared" si="5"/>
        <v>0.38050847457627102</v>
      </c>
    </row>
    <row r="31" spans="4:16" ht="15" customHeight="1" x14ac:dyDescent="0.3">
      <c r="D31" s="302" t="s">
        <v>204</v>
      </c>
      <c r="E31" s="297">
        <v>437.4</v>
      </c>
      <c r="F31" s="297">
        <v>812.6</v>
      </c>
      <c r="G31" s="297">
        <v>466.9</v>
      </c>
      <c r="H31" s="297">
        <v>581.79999999999995</v>
      </c>
      <c r="I31" s="297">
        <v>917.1</v>
      </c>
      <c r="J31" s="141"/>
      <c r="L31" s="4"/>
      <c r="M31" s="7">
        <f t="shared" si="5"/>
        <v>0.85779606767261096</v>
      </c>
      <c r="N31" s="7">
        <f t="shared" si="5"/>
        <v>-0.42542456313069199</v>
      </c>
      <c r="O31" s="7">
        <f t="shared" si="5"/>
        <v>0.24609124009423899</v>
      </c>
      <c r="P31" s="7">
        <f t="shared" si="5"/>
        <v>0.57631488484015103</v>
      </c>
    </row>
    <row r="32" spans="4:16" ht="15" customHeight="1" x14ac:dyDescent="0.3">
      <c r="D32" s="300" t="s">
        <v>205</v>
      </c>
      <c r="E32" s="295">
        <v>43.9</v>
      </c>
      <c r="F32" s="295">
        <v>89.7</v>
      </c>
      <c r="G32" s="295">
        <v>83.8</v>
      </c>
      <c r="H32" s="295">
        <v>99.6</v>
      </c>
      <c r="I32" s="295">
        <v>0</v>
      </c>
      <c r="J32" s="141"/>
      <c r="L32" s="4"/>
      <c r="M32" s="7">
        <f t="shared" si="5"/>
        <v>1.0432801822323501</v>
      </c>
      <c r="N32" s="7">
        <f t="shared" si="5"/>
        <v>-6.5774804905239806E-2</v>
      </c>
      <c r="O32" s="7">
        <f t="shared" si="5"/>
        <v>0.18854415274462999</v>
      </c>
      <c r="P32" s="7">
        <f t="shared" si="5"/>
        <v>-1</v>
      </c>
    </row>
    <row r="33" spans="4:16" ht="15" customHeight="1" x14ac:dyDescent="0.3">
      <c r="D33" s="301" t="s">
        <v>206</v>
      </c>
      <c r="E33" s="296">
        <f>E29+E30+E31+E32</f>
        <v>1889</v>
      </c>
      <c r="F33" s="296">
        <f>F29+F30+F31+F32</f>
        <v>3392.2</v>
      </c>
      <c r="G33" s="296">
        <f>G29+G30+G31+G32</f>
        <v>4338.8</v>
      </c>
      <c r="H33" s="296">
        <f>H29+H30+H31+H32</f>
        <v>4762.5</v>
      </c>
      <c r="I33" s="296">
        <f>I29+I30+I31+I32</f>
        <v>5255.6</v>
      </c>
      <c r="J33" s="141"/>
      <c r="L33" s="4"/>
      <c r="M33" s="7">
        <f t="shared" si="5"/>
        <v>0.79576495500264699</v>
      </c>
      <c r="N33" s="7">
        <f t="shared" si="5"/>
        <v>0.27905194269205802</v>
      </c>
      <c r="O33" s="7">
        <f t="shared" si="5"/>
        <v>9.7653729141698106E-2</v>
      </c>
      <c r="P33" s="7">
        <f t="shared" si="5"/>
        <v>0.10353805774278201</v>
      </c>
    </row>
    <row r="34" spans="4:16" ht="15" customHeight="1" x14ac:dyDescent="0.3">
      <c r="D34" s="300" t="s">
        <v>207</v>
      </c>
      <c r="E34" s="295">
        <v>345.4</v>
      </c>
      <c r="F34" s="295">
        <v>716.5</v>
      </c>
      <c r="G34" s="295">
        <v>1990.2</v>
      </c>
      <c r="H34" s="295">
        <v>2470.6</v>
      </c>
      <c r="I34" s="295">
        <v>532.20000000000005</v>
      </c>
      <c r="J34" s="141"/>
      <c r="L34" s="4"/>
      <c r="M34" s="7">
        <f t="shared" si="5"/>
        <v>1.0744064852345101</v>
      </c>
      <c r="N34" s="7">
        <f t="shared" si="5"/>
        <v>1.77766922540126</v>
      </c>
      <c r="O34" s="7">
        <f t="shared" si="5"/>
        <v>0.241382775600442</v>
      </c>
      <c r="P34" s="7">
        <f t="shared" si="5"/>
        <v>-0.784586740063143</v>
      </c>
    </row>
    <row r="35" spans="4:16" ht="15" customHeight="1" x14ac:dyDescent="0.3">
      <c r="D35" s="302" t="s">
        <v>208</v>
      </c>
      <c r="E35" s="297">
        <v>54.9</v>
      </c>
      <c r="F35" s="297">
        <v>380.9</v>
      </c>
      <c r="G35" s="297">
        <v>225</v>
      </c>
      <c r="H35" s="297">
        <v>222</v>
      </c>
      <c r="I35" s="297">
        <v>951.8</v>
      </c>
      <c r="J35" s="141"/>
      <c r="L35" s="4"/>
      <c r="M35" s="7">
        <f t="shared" si="5"/>
        <v>5.9380692167577402</v>
      </c>
      <c r="N35" s="7">
        <f t="shared" si="5"/>
        <v>-0.40929377789445998</v>
      </c>
      <c r="O35" s="7">
        <f t="shared" si="5"/>
        <v>-1.3333333333333299E-2</v>
      </c>
      <c r="P35" s="7">
        <f t="shared" si="5"/>
        <v>3.28738738738739</v>
      </c>
    </row>
    <row r="36" spans="4:16" ht="15" customHeight="1" x14ac:dyDescent="0.3">
      <c r="D36" s="300" t="s">
        <v>209</v>
      </c>
      <c r="E36" s="295">
        <v>0</v>
      </c>
      <c r="F36" s="295">
        <v>0</v>
      </c>
      <c r="G36" s="295">
        <v>0</v>
      </c>
      <c r="H36" s="295">
        <v>0</v>
      </c>
      <c r="I36" s="295">
        <v>0</v>
      </c>
      <c r="J36" s="141"/>
      <c r="L36" s="4"/>
      <c r="M36" s="7"/>
      <c r="N36" s="7"/>
      <c r="O36" s="7"/>
      <c r="P36" s="7"/>
    </row>
    <row r="37" spans="4:16" ht="15" customHeight="1" x14ac:dyDescent="0.3">
      <c r="D37" s="302" t="s">
        <v>210</v>
      </c>
      <c r="E37" s="297">
        <v>624.4</v>
      </c>
      <c r="F37" s="297">
        <v>631.5</v>
      </c>
      <c r="G37" s="297">
        <v>969.9</v>
      </c>
      <c r="H37" s="297">
        <v>1033.4000000000001</v>
      </c>
      <c r="I37" s="297">
        <v>1466.9</v>
      </c>
      <c r="J37" s="141"/>
      <c r="L37" s="4"/>
      <c r="M37" s="7">
        <f t="shared" ref="M37:P38" si="6">(F37-E37)/E37</f>
        <v>1.13709160794363E-2</v>
      </c>
      <c r="N37" s="7">
        <f t="shared" si="6"/>
        <v>0.53586698337292205</v>
      </c>
      <c r="O37" s="7">
        <f t="shared" si="6"/>
        <v>6.5470667079080405E-2</v>
      </c>
      <c r="P37" s="7">
        <f t="shared" si="6"/>
        <v>0.41948906522159901</v>
      </c>
    </row>
    <row r="38" spans="4:16" ht="15" customHeight="1" x14ac:dyDescent="0.3">
      <c r="D38" s="301" t="s">
        <v>211</v>
      </c>
      <c r="E38" s="296">
        <v>3603.7</v>
      </c>
      <c r="F38" s="296">
        <v>6310.3</v>
      </c>
      <c r="G38" s="296">
        <v>8716.6</v>
      </c>
      <c r="H38" s="296">
        <v>9692.1</v>
      </c>
      <c r="I38" s="296">
        <v>9498.7999999999993</v>
      </c>
      <c r="J38" s="141"/>
      <c r="L38" s="4"/>
      <c r="M38" s="7">
        <f t="shared" si="6"/>
        <v>0.75106140910730701</v>
      </c>
      <c r="N38" s="7">
        <f t="shared" si="6"/>
        <v>0.38132893840229498</v>
      </c>
      <c r="O38" s="7">
        <f t="shared" si="6"/>
        <v>0.111912901819517</v>
      </c>
      <c r="P38" s="7">
        <f t="shared" si="6"/>
        <v>-1.99440781667545E-2</v>
      </c>
    </row>
    <row r="39" spans="4:16" ht="13.5" customHeight="1" x14ac:dyDescent="0.3">
      <c r="D39" s="299" t="s">
        <v>212</v>
      </c>
      <c r="E39" s="234"/>
      <c r="F39" s="235"/>
      <c r="G39" s="235"/>
      <c r="H39" s="235"/>
      <c r="I39" s="236"/>
      <c r="L39" s="4"/>
      <c r="M39" s="7"/>
      <c r="N39" s="7"/>
      <c r="O39" s="7"/>
      <c r="P39" s="7"/>
    </row>
    <row r="40" spans="4:16" ht="15" customHeight="1" x14ac:dyDescent="0.3">
      <c r="D40" s="300" t="s">
        <v>213</v>
      </c>
      <c r="E40" s="295">
        <v>3136.6</v>
      </c>
      <c r="F40" s="295">
        <v>4741.8</v>
      </c>
      <c r="G40" s="295">
        <v>6753.4</v>
      </c>
      <c r="H40" s="295">
        <v>7374</v>
      </c>
      <c r="I40" s="295">
        <v>12035.5</v>
      </c>
      <c r="J40" s="141"/>
      <c r="L40" s="4"/>
      <c r="M40" s="7">
        <f>(F40-E40)/E40</f>
        <v>0.51176433080405503</v>
      </c>
      <c r="N40" s="7">
        <f>(G40-F40)/F40</f>
        <v>0.42422708676030202</v>
      </c>
      <c r="O40" s="7">
        <f>(H40-G40)/G40</f>
        <v>9.1894453164332104E-2</v>
      </c>
      <c r="P40" s="7">
        <f>(I40-H40)/H40</f>
        <v>0.63215351234065598</v>
      </c>
    </row>
    <row r="41" spans="4:16" ht="15" customHeight="1" x14ac:dyDescent="0.3">
      <c r="D41" s="302" t="s">
        <v>214</v>
      </c>
      <c r="E41" s="297">
        <v>0</v>
      </c>
      <c r="F41" s="297">
        <v>3.3</v>
      </c>
      <c r="G41" s="297">
        <v>3</v>
      </c>
      <c r="H41" s="297">
        <v>2.8</v>
      </c>
      <c r="I41" s="297">
        <v>3.3</v>
      </c>
      <c r="J41" s="141"/>
      <c r="L41" s="4"/>
      <c r="M41" s="7"/>
      <c r="N41" s="7">
        <f t="shared" ref="N41:P43" si="7">(G41-F41)/F41</f>
        <v>-9.0909090909090898E-2</v>
      </c>
      <c r="O41" s="7">
        <f t="shared" si="7"/>
        <v>-6.6666666666666693E-2</v>
      </c>
      <c r="P41" s="7">
        <f t="shared" si="7"/>
        <v>0.17857142857142899</v>
      </c>
    </row>
    <row r="42" spans="4:16" ht="15" customHeight="1" x14ac:dyDescent="0.3">
      <c r="D42" s="300" t="s">
        <v>215</v>
      </c>
      <c r="E42" s="295">
        <v>2833.5</v>
      </c>
      <c r="F42" s="295">
        <v>5623.4</v>
      </c>
      <c r="G42" s="295">
        <v>5706</v>
      </c>
      <c r="H42" s="295">
        <v>5867.6</v>
      </c>
      <c r="I42" s="295">
        <v>7424.8</v>
      </c>
      <c r="J42" s="141"/>
      <c r="L42" s="4"/>
      <c r="M42" s="7">
        <f>(F42-E42)/E42</f>
        <v>0.98461266984295004</v>
      </c>
      <c r="N42" s="7">
        <f t="shared" si="7"/>
        <v>1.4688622541523E-2</v>
      </c>
      <c r="O42" s="7">
        <f t="shared" si="7"/>
        <v>2.8321065545040401E-2</v>
      </c>
      <c r="P42" s="7">
        <f t="shared" si="7"/>
        <v>0.26538959710955101</v>
      </c>
    </row>
    <row r="43" spans="4:16" ht="15" customHeight="1" x14ac:dyDescent="0.3">
      <c r="D43" s="302" t="s">
        <v>216</v>
      </c>
      <c r="E43" s="297">
        <v>777.3</v>
      </c>
      <c r="F43" s="297">
        <v>2932</v>
      </c>
      <c r="G43" s="297">
        <v>2816</v>
      </c>
      <c r="H43" s="297">
        <v>3588.2</v>
      </c>
      <c r="I43" s="297">
        <v>2812.4</v>
      </c>
      <c r="J43" s="141"/>
      <c r="L43" s="4"/>
      <c r="M43" s="7">
        <f>(F43-E43)/E43</f>
        <v>2.7720313907114398</v>
      </c>
      <c r="N43" s="7">
        <f t="shared" si="7"/>
        <v>-3.95634379263302E-2</v>
      </c>
      <c r="O43" s="7">
        <f t="shared" si="7"/>
        <v>0.27421875000000001</v>
      </c>
      <c r="P43" s="7">
        <f t="shared" si="7"/>
        <v>-0.216208684019843</v>
      </c>
    </row>
    <row r="44" spans="4:16" ht="15" customHeight="1" x14ac:dyDescent="0.3">
      <c r="D44" s="300" t="s">
        <v>217</v>
      </c>
      <c r="E44" s="295">
        <v>0</v>
      </c>
      <c r="F44" s="295">
        <v>0</v>
      </c>
      <c r="G44" s="295">
        <v>0</v>
      </c>
      <c r="H44" s="295">
        <v>0</v>
      </c>
      <c r="I44" s="295">
        <v>0</v>
      </c>
      <c r="J44" s="141"/>
      <c r="L44" s="4"/>
      <c r="M44" s="7"/>
      <c r="N44" s="7"/>
      <c r="O44" s="7"/>
      <c r="P44" s="7"/>
    </row>
    <row r="45" spans="4:16" ht="15" customHeight="1" x14ac:dyDescent="0.3">
      <c r="D45" s="302" t="s">
        <v>218</v>
      </c>
      <c r="E45" s="297">
        <v>2118.1999999999998</v>
      </c>
      <c r="F45" s="297">
        <v>3885.3</v>
      </c>
      <c r="G45" s="297">
        <v>3568</v>
      </c>
      <c r="H45" s="297">
        <v>4105.3</v>
      </c>
      <c r="I45" s="297">
        <v>5421.2</v>
      </c>
      <c r="J45" s="141"/>
      <c r="L45" s="4"/>
      <c r="M45" s="7">
        <f t="shared" ref="M45:P47" si="8">(F45-E45)/E45</f>
        <v>0.83424605797375195</v>
      </c>
      <c r="N45" s="7">
        <f t="shared" si="8"/>
        <v>-8.1666795356857905E-2</v>
      </c>
      <c r="O45" s="7">
        <f t="shared" si="8"/>
        <v>0.15058856502242199</v>
      </c>
      <c r="P45" s="7">
        <f t="shared" si="8"/>
        <v>0.32053686697683498</v>
      </c>
    </row>
    <row r="46" spans="4:16" ht="15" customHeight="1" x14ac:dyDescent="0.3">
      <c r="D46" s="301" t="s">
        <v>219</v>
      </c>
      <c r="E46" s="296">
        <f>E40+E41+E42+E43+E44+E45</f>
        <v>8865.6</v>
      </c>
      <c r="F46" s="296">
        <f>F40+F41+F42+F43+F44+F45</f>
        <v>17185.8</v>
      </c>
      <c r="G46" s="296">
        <f>G40+G41+G42+G43+G44+G45</f>
        <v>18846.400000000001</v>
      </c>
      <c r="H46" s="296">
        <f>H40+H41+H42+H43+H44+H45</f>
        <v>20937.900000000001</v>
      </c>
      <c r="I46" s="296">
        <f>I40+I41+I42+I43+I44+I45</f>
        <v>27697.200000000001</v>
      </c>
      <c r="J46" s="141"/>
      <c r="L46" s="4"/>
      <c r="M46" s="7">
        <f t="shared" si="8"/>
        <v>0.93848132106117998</v>
      </c>
      <c r="N46" s="7">
        <f t="shared" si="8"/>
        <v>9.6626284490684305E-2</v>
      </c>
      <c r="O46" s="7">
        <f t="shared" si="8"/>
        <v>0.110976101536633</v>
      </c>
      <c r="P46" s="7">
        <f t="shared" si="8"/>
        <v>0.32282607138251701</v>
      </c>
    </row>
    <row r="47" spans="4:16" ht="15" customHeight="1" x14ac:dyDescent="0.3">
      <c r="D47" s="301" t="s">
        <v>220</v>
      </c>
      <c r="E47" s="296">
        <f>E38+E46</f>
        <v>12469.3</v>
      </c>
      <c r="F47" s="296">
        <f>F38+F46</f>
        <v>23496.1</v>
      </c>
      <c r="G47" s="296">
        <f>G38+G46</f>
        <v>27563</v>
      </c>
      <c r="H47" s="296">
        <f>H38+H46</f>
        <v>30630</v>
      </c>
      <c r="I47" s="296">
        <f>I38+I46</f>
        <v>37196</v>
      </c>
      <c r="J47" s="141"/>
      <c r="L47" s="4"/>
      <c r="M47" s="7">
        <f t="shared" si="8"/>
        <v>0.88431587980079096</v>
      </c>
      <c r="N47" s="7">
        <f t="shared" si="8"/>
        <v>0.17308829976038601</v>
      </c>
      <c r="O47" s="7">
        <f t="shared" si="8"/>
        <v>0.111272357871059</v>
      </c>
      <c r="P47" s="7">
        <f t="shared" si="8"/>
        <v>0.214365001632387</v>
      </c>
    </row>
    <row r="48" spans="4:16" ht="15.75" customHeight="1" x14ac:dyDescent="0.3">
      <c r="D48" s="253" t="s">
        <v>221</v>
      </c>
      <c r="E48" s="234"/>
      <c r="F48" s="235"/>
      <c r="G48" s="235"/>
      <c r="H48" s="235"/>
      <c r="I48" s="236"/>
      <c r="L48" s="4"/>
      <c r="M48" s="7"/>
      <c r="N48" s="7"/>
      <c r="O48" s="7"/>
      <c r="P48" s="7"/>
    </row>
    <row r="49" spans="4:16" ht="13.5" customHeight="1" x14ac:dyDescent="0.3">
      <c r="D49" s="299" t="s">
        <v>222</v>
      </c>
      <c r="E49" s="234"/>
      <c r="F49" s="235"/>
      <c r="G49" s="235"/>
      <c r="H49" s="235"/>
      <c r="I49" s="236"/>
      <c r="L49" s="4"/>
      <c r="M49" s="7"/>
      <c r="N49" s="7"/>
      <c r="O49" s="7"/>
      <c r="P49" s="7"/>
    </row>
    <row r="50" spans="4:16" ht="15" customHeight="1" x14ac:dyDescent="0.3">
      <c r="D50" s="300" t="s">
        <v>223</v>
      </c>
      <c r="E50" s="295">
        <v>708.7</v>
      </c>
      <c r="F50" s="295">
        <v>517.9</v>
      </c>
      <c r="G50" s="295">
        <v>1218.4000000000001</v>
      </c>
      <c r="H50" s="295">
        <v>2746.4</v>
      </c>
      <c r="I50" s="298">
        <v>0</v>
      </c>
      <c r="J50" s="141"/>
      <c r="L50" s="4"/>
      <c r="M50" s="7">
        <f>(F50-E50)/E50</f>
        <v>-0.26922534217581501</v>
      </c>
      <c r="N50" s="7">
        <f>(G50-F50)/F50</f>
        <v>1.35257771770612</v>
      </c>
      <c r="O50" s="7">
        <f>(H50-G50)/G50</f>
        <v>1.25410374261326</v>
      </c>
      <c r="P50" s="7">
        <f>(I50-H50)/H50</f>
        <v>-1</v>
      </c>
    </row>
    <row r="51" spans="4:16" ht="13.5" customHeight="1" x14ac:dyDescent="0.3">
      <c r="D51" s="299" t="s">
        <v>232</v>
      </c>
      <c r="E51" s="234"/>
      <c r="F51" s="235"/>
      <c r="G51" s="235"/>
      <c r="H51" s="235"/>
      <c r="I51" s="236"/>
      <c r="L51" s="4"/>
      <c r="M51" s="7"/>
      <c r="N51" s="7"/>
      <c r="O51" s="7"/>
      <c r="P51" s="7"/>
    </row>
    <row r="52" spans="4:16" ht="13.5" customHeight="1" x14ac:dyDescent="0.3">
      <c r="D52" s="299" t="s">
        <v>234</v>
      </c>
      <c r="E52" s="234"/>
      <c r="F52" s="235"/>
      <c r="G52" s="235"/>
      <c r="H52" s="235"/>
      <c r="I52" s="236"/>
      <c r="L52" s="4"/>
      <c r="M52" s="7"/>
      <c r="N52" s="7"/>
      <c r="O52" s="7"/>
      <c r="P52" s="7"/>
    </row>
    <row r="53" spans="4:16" ht="15" customHeight="1" x14ac:dyDescent="0.3">
      <c r="D53" s="302" t="s">
        <v>235</v>
      </c>
      <c r="E53" s="297">
        <v>0</v>
      </c>
      <c r="F53" s="297">
        <v>574.1</v>
      </c>
      <c r="G53" s="297">
        <v>1801.2</v>
      </c>
      <c r="H53" s="297">
        <v>2193.8000000000002</v>
      </c>
      <c r="I53" s="298">
        <v>0</v>
      </c>
      <c r="J53" s="141"/>
      <c r="L53" s="4"/>
      <c r="M53" s="7"/>
      <c r="N53" s="7">
        <f t="shared" ref="N53:P54" si="9">(G53-F53)/F53</f>
        <v>2.1374325030482502</v>
      </c>
      <c r="O53" s="7">
        <f t="shared" si="9"/>
        <v>0.21796580057739301</v>
      </c>
      <c r="P53" s="7">
        <f t="shared" si="9"/>
        <v>-1</v>
      </c>
    </row>
    <row r="54" spans="4:16" ht="15" customHeight="1" x14ac:dyDescent="0.3">
      <c r="D54" s="300" t="s">
        <v>236</v>
      </c>
      <c r="E54" s="295">
        <v>142.30000000000001</v>
      </c>
      <c r="F54" s="295">
        <v>132.5</v>
      </c>
      <c r="G54" s="295">
        <v>228.6</v>
      </c>
      <c r="H54" s="295">
        <v>348.5</v>
      </c>
      <c r="I54" s="298">
        <v>0</v>
      </c>
      <c r="J54" s="141"/>
      <c r="L54" s="4"/>
      <c r="M54" s="7">
        <f>(F54-E54)/E54</f>
        <v>-6.8868587491215799E-2</v>
      </c>
      <c r="N54" s="7">
        <f t="shared" si="9"/>
        <v>0.72528301886792401</v>
      </c>
      <c r="O54" s="7">
        <f t="shared" si="9"/>
        <v>0.52449693788276497</v>
      </c>
      <c r="P54" s="7">
        <f t="shared" si="9"/>
        <v>-1</v>
      </c>
    </row>
    <row r="55" spans="4:16" ht="13.5" customHeight="1" x14ac:dyDescent="0.3">
      <c r="D55" s="299" t="s">
        <v>237</v>
      </c>
      <c r="E55" s="234"/>
      <c r="F55" s="235"/>
      <c r="G55" s="235"/>
      <c r="H55" s="235"/>
      <c r="I55" s="236"/>
      <c r="L55" s="4"/>
      <c r="M55" s="7"/>
      <c r="N55" s="7"/>
      <c r="O55" s="7"/>
      <c r="P55" s="7"/>
    </row>
    <row r="56" spans="4:16" ht="15" customHeight="1" x14ac:dyDescent="0.3">
      <c r="D56" s="300" t="s">
        <v>238</v>
      </c>
      <c r="E56" s="295">
        <v>2856.6</v>
      </c>
      <c r="F56" s="295">
        <v>3858.2</v>
      </c>
      <c r="G56" s="295">
        <v>6295.1</v>
      </c>
      <c r="H56" s="295">
        <v>6815.1</v>
      </c>
      <c r="I56" s="295">
        <v>0</v>
      </c>
      <c r="J56" s="141"/>
      <c r="L56" s="4"/>
      <c r="M56" s="7">
        <f t="shared" ref="M56:P57" si="10">(F56-E56)/E56</f>
        <v>0.35062661905762099</v>
      </c>
      <c r="N56" s="7">
        <f t="shared" si="10"/>
        <v>0.63161577937898505</v>
      </c>
      <c r="O56" s="7">
        <f t="shared" si="10"/>
        <v>8.2603930040825405E-2</v>
      </c>
      <c r="P56" s="7">
        <f t="shared" si="10"/>
        <v>-1</v>
      </c>
    </row>
    <row r="57" spans="4:16" ht="15" customHeight="1" x14ac:dyDescent="0.3">
      <c r="D57" s="302" t="s">
        <v>239</v>
      </c>
      <c r="E57" s="297">
        <v>280</v>
      </c>
      <c r="F57" s="297">
        <v>884.6</v>
      </c>
      <c r="G57" s="297">
        <v>421</v>
      </c>
      <c r="H57" s="297">
        <v>516.70000000000005</v>
      </c>
      <c r="I57" s="297">
        <v>0</v>
      </c>
      <c r="J57" s="141"/>
      <c r="L57" s="4"/>
      <c r="M57" s="7">
        <f t="shared" si="10"/>
        <v>2.1592857142857098</v>
      </c>
      <c r="N57" s="7">
        <f t="shared" si="10"/>
        <v>-0.52407867962921095</v>
      </c>
      <c r="O57" s="7">
        <f t="shared" si="10"/>
        <v>0.22731591448931099</v>
      </c>
      <c r="P57" s="7">
        <f t="shared" si="10"/>
        <v>-1</v>
      </c>
    </row>
  </sheetData>
  <mergeCells count="1">
    <mergeCell ref="D1:I1"/>
  </mergeCells>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
  <sheetViews>
    <sheetView showGridLines="0" workbookViewId="0">
      <selection activeCell="A5" sqref="A5"/>
    </sheetView>
  </sheetViews>
  <sheetFormatPr defaultColWidth="8.6640625" defaultRowHeight="14.4" x14ac:dyDescent="0.3"/>
  <cols>
    <col min="1" max="1" width="40.33203125" style="1" customWidth="1"/>
    <col min="2" max="5" width="9" style="1" customWidth="1"/>
  </cols>
  <sheetData>
    <row r="1" spans="1:9" x14ac:dyDescent="0.3">
      <c r="A1" s="275" t="s">
        <v>278</v>
      </c>
      <c r="B1" s="276">
        <v>44621</v>
      </c>
      <c r="C1" s="276">
        <v>44986</v>
      </c>
      <c r="D1" s="276">
        <v>45352</v>
      </c>
      <c r="E1" s="277">
        <v>45717</v>
      </c>
      <c r="F1" s="278">
        <v>46082</v>
      </c>
    </row>
    <row r="2" spans="1:9" x14ac:dyDescent="0.3">
      <c r="A2" s="41" t="s">
        <v>279</v>
      </c>
      <c r="B2" s="54"/>
      <c r="C2" s="54">
        <f>B6</f>
        <v>1889</v>
      </c>
      <c r="D2" s="54">
        <f>C6</f>
        <v>3392.2</v>
      </c>
      <c r="E2" s="135">
        <f>D6</f>
        <v>4338.8</v>
      </c>
      <c r="F2" s="136">
        <f>E6</f>
        <v>4762.5</v>
      </c>
    </row>
    <row r="3" spans="1:9" x14ac:dyDescent="0.3">
      <c r="A3" s="40" t="s">
        <v>280</v>
      </c>
      <c r="B3" s="98"/>
      <c r="C3" s="98">
        <f>C6-C2+C5</f>
        <v>2225.9</v>
      </c>
      <c r="D3" s="98">
        <f>D6-D2+D5</f>
        <v>1765.5</v>
      </c>
      <c r="E3" s="98">
        <f>E6-E2+E5</f>
        <v>1415.2</v>
      </c>
      <c r="F3" s="98">
        <f>F6-F2+F5</f>
        <v>1547.2</v>
      </c>
    </row>
    <row r="4" spans="1:9" x14ac:dyDescent="0.3">
      <c r="A4" s="40" t="s">
        <v>281</v>
      </c>
      <c r="B4" s="54">
        <f>B5+B6</f>
        <v>2243.9</v>
      </c>
      <c r="C4" s="54">
        <f>C5+C6</f>
        <v>4114.8999999999996</v>
      </c>
      <c r="D4" s="54">
        <f>D5+D6</f>
        <v>5157.7</v>
      </c>
      <c r="E4" s="54">
        <f>E5+E6</f>
        <v>5754</v>
      </c>
      <c r="F4" s="54">
        <f>F5+F6</f>
        <v>6309.7</v>
      </c>
    </row>
    <row r="5" spans="1:9" x14ac:dyDescent="0.3">
      <c r="A5" s="40" t="s">
        <v>282</v>
      </c>
      <c r="B5" s="98">
        <f>'Consolidated P&amp;L'!F14</f>
        <v>354.9</v>
      </c>
      <c r="C5" s="98">
        <f>'Consolidated P&amp;L'!G14</f>
        <v>722.7</v>
      </c>
      <c r="D5" s="98">
        <f>'Consolidated P&amp;L'!H14</f>
        <v>818.9</v>
      </c>
      <c r="E5" s="98">
        <f>'Consolidated P&amp;L'!I14</f>
        <v>991.5</v>
      </c>
      <c r="F5" s="98">
        <f>'Consolidated P&amp;L'!J14</f>
        <v>1054.0999999999999</v>
      </c>
      <c r="I5" s="137"/>
    </row>
    <row r="6" spans="1:9" x14ac:dyDescent="0.3">
      <c r="A6" s="41" t="s">
        <v>283</v>
      </c>
      <c r="B6" s="54">
        <f>'Consolidated Balance sheet'!E33</f>
        <v>1889</v>
      </c>
      <c r="C6" s="54">
        <f>'Consolidated Balance sheet'!F33</f>
        <v>3392.2</v>
      </c>
      <c r="D6" s="54">
        <f>'Consolidated Balance sheet'!G33</f>
        <v>4338.8</v>
      </c>
      <c r="E6" s="54">
        <f>'Consolidated Balance sheet'!H33</f>
        <v>4762.5</v>
      </c>
      <c r="F6" s="54">
        <f>'Consolidated Balance sheet'!I33</f>
        <v>5255.6</v>
      </c>
    </row>
    <row r="7" spans="1:9" x14ac:dyDescent="0.3">
      <c r="A7" s="71"/>
      <c r="B7" s="71"/>
      <c r="C7" s="71"/>
      <c r="D7" s="71"/>
      <c r="E7" s="71"/>
    </row>
    <row r="8" spans="1:9" x14ac:dyDescent="0.3">
      <c r="A8" s="40" t="s">
        <v>284</v>
      </c>
      <c r="B8" s="98"/>
      <c r="C8" s="98">
        <f>C3-C5</f>
        <v>1503.2</v>
      </c>
      <c r="D8" s="98">
        <f>D3-D5</f>
        <v>946.6</v>
      </c>
      <c r="E8" s="98">
        <f>E3-E5</f>
        <v>423.7</v>
      </c>
      <c r="F8" s="98">
        <f>F3-F5</f>
        <v>493.1</v>
      </c>
    </row>
    <row r="9" spans="1:9" x14ac:dyDescent="0.3">
      <c r="A9" s="41" t="s">
        <v>285</v>
      </c>
      <c r="B9" s="100"/>
      <c r="C9" s="100">
        <f>C8/'Consolidated P&amp;L'!G7</f>
        <v>4.5300304372720999E-2</v>
      </c>
      <c r="D9" s="100">
        <f>D8/'Consolidated P&amp;L'!H7</f>
        <v>2.6652025790466501E-2</v>
      </c>
      <c r="E9" s="100">
        <f>E8/'Consolidated P&amp;L'!I7</f>
        <v>1.11476237959803E-2</v>
      </c>
      <c r="F9" s="100">
        <f>F8/'Consolidated P&amp;L'!J7</f>
        <v>1.16551163384357E-2</v>
      </c>
    </row>
    <row r="10" spans="1:9" x14ac:dyDescent="0.3">
      <c r="A10" s="71"/>
      <c r="B10" s="71"/>
      <c r="C10" s="71"/>
      <c r="D10" s="71"/>
      <c r="E10" s="71"/>
    </row>
    <row r="11" spans="1:9" x14ac:dyDescent="0.3">
      <c r="A11" s="41" t="s">
        <v>286</v>
      </c>
      <c r="B11" s="71"/>
      <c r="C11" s="100">
        <f>MEDIAN(C9:F9)</f>
        <v>1.9153571064451098E-2</v>
      </c>
      <c r="D11" s="71"/>
      <c r="E11" s="71"/>
    </row>
    <row r="12" spans="1:9" x14ac:dyDescent="0.3">
      <c r="A12" s="41" t="s">
        <v>287</v>
      </c>
      <c r="B12" s="71"/>
      <c r="C12" s="100">
        <f>AVERAGE(C9:F9)</f>
        <v>2.3688767574400901E-2</v>
      </c>
      <c r="D12" s="71"/>
      <c r="E12" s="71"/>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showGridLines="0" workbookViewId="0">
      <selection sqref="A1:F1"/>
    </sheetView>
  </sheetViews>
  <sheetFormatPr defaultColWidth="8.6640625" defaultRowHeight="14.4" x14ac:dyDescent="0.3"/>
  <cols>
    <col min="1" max="1" width="46" style="1" customWidth="1"/>
  </cols>
  <sheetData>
    <row r="1" spans="1:6" x14ac:dyDescent="0.3">
      <c r="A1" s="275" t="s">
        <v>278</v>
      </c>
      <c r="B1" s="276">
        <v>44621</v>
      </c>
      <c r="C1" s="276">
        <v>44986</v>
      </c>
      <c r="D1" s="276">
        <v>45352</v>
      </c>
      <c r="E1" s="277">
        <v>45717</v>
      </c>
      <c r="F1" s="278">
        <v>46082</v>
      </c>
    </row>
    <row r="2" spans="1:6" x14ac:dyDescent="0.3">
      <c r="A2" s="41" t="s">
        <v>288</v>
      </c>
      <c r="B2" s="54">
        <f>'Merge data sheet'!B41</f>
        <v>0</v>
      </c>
      <c r="C2" s="54">
        <f>'Merge data sheet'!C41</f>
        <v>3.3</v>
      </c>
      <c r="D2" s="54">
        <f>'Merge data sheet'!D41</f>
        <v>3</v>
      </c>
      <c r="E2" s="54">
        <f>'Merge data sheet'!E41</f>
        <v>2.8</v>
      </c>
      <c r="F2" s="54">
        <f>'Merge data sheet'!F41</f>
        <v>3.3</v>
      </c>
    </row>
    <row r="3" spans="1:6" x14ac:dyDescent="0.3">
      <c r="A3" s="41" t="s">
        <v>289</v>
      </c>
      <c r="B3" s="54">
        <f>'Merge data sheet'!B42</f>
        <v>2833.5</v>
      </c>
      <c r="C3" s="54">
        <f>'Merge data sheet'!C42</f>
        <v>5623.4</v>
      </c>
      <c r="D3" s="54">
        <f>'Merge data sheet'!D42</f>
        <v>5706</v>
      </c>
      <c r="E3" s="54">
        <f>'Merge data sheet'!E42</f>
        <v>5867.6</v>
      </c>
      <c r="F3" s="54">
        <f>'Merge data sheet'!F42</f>
        <v>7424.8</v>
      </c>
    </row>
    <row r="4" spans="1:6" x14ac:dyDescent="0.3">
      <c r="A4" s="41" t="s">
        <v>290</v>
      </c>
      <c r="B4" s="54">
        <f>'Merge data sheet'!B22</f>
        <v>802.8</v>
      </c>
      <c r="C4" s="54">
        <f>'Merge data sheet'!C22</f>
        <v>1293.8</v>
      </c>
      <c r="D4" s="54">
        <f>'Merge data sheet'!D22</f>
        <v>1493.9</v>
      </c>
      <c r="E4" s="54">
        <f>'Merge data sheet'!E22</f>
        <v>1549.9</v>
      </c>
      <c r="F4" s="54">
        <f>'Merge data sheet'!F22</f>
        <v>2061</v>
      </c>
    </row>
    <row r="5" spans="1:6" x14ac:dyDescent="0.3">
      <c r="A5" s="41" t="s">
        <v>291</v>
      </c>
      <c r="B5" s="54">
        <f>B2+B3-B4</f>
        <v>2030.7</v>
      </c>
      <c r="C5" s="54">
        <f>C2+C3-C4</f>
        <v>4332.8999999999996</v>
      </c>
      <c r="D5" s="54">
        <f>D2+D3-D4</f>
        <v>4215.1000000000004</v>
      </c>
      <c r="E5" s="54">
        <f>E2+E3-E4</f>
        <v>4320.5</v>
      </c>
      <c r="F5" s="54">
        <f>F2+F3-F4</f>
        <v>5367.1</v>
      </c>
    </row>
    <row r="6" spans="1:6" x14ac:dyDescent="0.3">
      <c r="A6" s="40" t="s">
        <v>292</v>
      </c>
      <c r="B6" s="54"/>
      <c r="C6" s="54">
        <f>C5-B5</f>
        <v>2302.1999999999998</v>
      </c>
      <c r="D6" s="54">
        <f>D5-C5</f>
        <v>-117.799999999999</v>
      </c>
      <c r="E6" s="54">
        <f>E5-D5</f>
        <v>105.4</v>
      </c>
      <c r="F6" s="54">
        <f>F5-E5</f>
        <v>1046.5999999999999</v>
      </c>
    </row>
    <row r="7" spans="1:6" x14ac:dyDescent="0.3">
      <c r="A7" s="41" t="s">
        <v>293</v>
      </c>
      <c r="B7" s="100"/>
      <c r="C7" s="100">
        <f>C6/'Merge data sheet'!B64</f>
        <v>0.14692986654923501</v>
      </c>
      <c r="D7" s="100">
        <f>D6/'Merge data sheet'!C64</f>
        <v>-3.5500105475695198E-3</v>
      </c>
      <c r="E7" s="100">
        <f>E6/'Merge data sheet'!D64</f>
        <v>2.9675929836416302E-3</v>
      </c>
      <c r="F7" s="100">
        <f>F6/'Merge data sheet'!E64</f>
        <v>2.7536235697127699E-2</v>
      </c>
    </row>
    <row r="8" spans="1:6" x14ac:dyDescent="0.3">
      <c r="A8" s="71"/>
      <c r="B8" s="71"/>
      <c r="C8" s="71"/>
      <c r="D8" s="71"/>
      <c r="E8" s="71"/>
    </row>
    <row r="9" spans="1:6" x14ac:dyDescent="0.3">
      <c r="A9" s="41" t="s">
        <v>294</v>
      </c>
      <c r="B9" s="71"/>
      <c r="C9" s="100">
        <f>MEDIAN(C7:F7)</f>
        <v>1.52519143403847E-2</v>
      </c>
      <c r="D9" s="71"/>
      <c r="E9" s="71"/>
    </row>
    <row r="10" spans="1:6" x14ac:dyDescent="0.3">
      <c r="A10" s="41" t="s">
        <v>295</v>
      </c>
      <c r="B10" s="71"/>
      <c r="C10" s="100">
        <f>AVERAGE(C7:F7)</f>
        <v>4.3470921170608703E-2</v>
      </c>
      <c r="D10" s="71"/>
      <c r="E10" s="71"/>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2:R44"/>
  <sheetViews>
    <sheetView showGridLines="0" topLeftCell="A9" workbookViewId="0">
      <selection activeCell="C20" sqref="C20"/>
    </sheetView>
  </sheetViews>
  <sheetFormatPr defaultColWidth="8.6640625" defaultRowHeight="14.4" x14ac:dyDescent="0.3"/>
  <cols>
    <col min="5" max="5" width="16.109375" style="1" customWidth="1"/>
    <col min="7" max="7" width="9.6640625" style="1" customWidth="1"/>
    <col min="8" max="8" width="10.44140625" style="1" customWidth="1"/>
    <col min="9" max="9" width="9" style="1" customWidth="1"/>
    <col min="11" max="11" width="10.33203125" style="1" customWidth="1"/>
    <col min="12" max="12" width="18.88671875" style="1" customWidth="1"/>
    <col min="13" max="13" width="9.88671875" style="1" customWidth="1"/>
    <col min="14" max="14" width="10.88671875" style="1" customWidth="1"/>
  </cols>
  <sheetData>
    <row r="2" spans="4:18" ht="15" customHeight="1" x14ac:dyDescent="0.3"/>
    <row r="3" spans="4:18" ht="14.25" customHeight="1" x14ac:dyDescent="0.3">
      <c r="D3" s="206" t="s">
        <v>296</v>
      </c>
      <c r="E3" s="208" t="s">
        <v>297</v>
      </c>
      <c r="F3" s="208"/>
      <c r="G3" s="208"/>
      <c r="H3" s="208"/>
      <c r="I3" s="208"/>
      <c r="J3" s="208"/>
      <c r="K3" s="208"/>
      <c r="L3" s="208"/>
      <c r="M3" s="208"/>
      <c r="N3" s="208"/>
      <c r="O3" s="208"/>
      <c r="P3" s="208"/>
      <c r="Q3" s="208"/>
      <c r="R3" s="208"/>
    </row>
    <row r="4" spans="4:18" ht="14.25" customHeight="1" x14ac:dyDescent="0.3">
      <c r="D4" s="206"/>
      <c r="E4" s="208"/>
      <c r="F4" s="208"/>
      <c r="G4" s="208"/>
      <c r="H4" s="208"/>
      <c r="I4" s="208"/>
      <c r="J4" s="208"/>
      <c r="K4" s="208"/>
      <c r="L4" s="208"/>
      <c r="M4" s="208"/>
      <c r="N4" s="208"/>
      <c r="O4" s="208"/>
      <c r="P4" s="208"/>
      <c r="Q4" s="208"/>
      <c r="R4" s="208"/>
    </row>
    <row r="5" spans="4:18" ht="45.75" customHeight="1" x14ac:dyDescent="0.3">
      <c r="D5" s="206"/>
      <c r="E5" s="208"/>
      <c r="F5" s="208"/>
      <c r="G5" s="208"/>
      <c r="H5" s="208"/>
      <c r="I5" s="208"/>
      <c r="J5" s="208"/>
      <c r="K5" s="208"/>
      <c r="L5" s="208"/>
      <c r="M5" s="208"/>
      <c r="N5" s="208"/>
      <c r="O5" s="208"/>
      <c r="P5" s="208"/>
      <c r="Q5" s="208"/>
      <c r="R5" s="208"/>
    </row>
    <row r="6" spans="4:18" ht="15" customHeight="1" x14ac:dyDescent="0.3"/>
    <row r="7" spans="4:18" ht="14.25" customHeight="1" x14ac:dyDescent="0.3">
      <c r="D7" s="206" t="s">
        <v>298</v>
      </c>
      <c r="E7" s="209" t="s">
        <v>299</v>
      </c>
      <c r="F7" s="209"/>
      <c r="G7" s="209"/>
      <c r="H7" s="209"/>
      <c r="I7" s="209"/>
      <c r="J7" s="209"/>
      <c r="K7" s="209"/>
      <c r="L7" s="209"/>
      <c r="M7" s="209"/>
      <c r="N7" s="209"/>
      <c r="O7" s="209"/>
      <c r="P7" s="209"/>
      <c r="Q7" s="209"/>
      <c r="R7" s="209"/>
    </row>
    <row r="8" spans="4:18" ht="14.25" customHeight="1" x14ac:dyDescent="0.3">
      <c r="D8" s="206"/>
      <c r="E8" s="209"/>
      <c r="F8" s="209"/>
      <c r="G8" s="209"/>
      <c r="H8" s="209"/>
      <c r="I8" s="209"/>
      <c r="J8" s="209"/>
      <c r="K8" s="209"/>
      <c r="L8" s="209"/>
      <c r="M8" s="209"/>
      <c r="N8" s="209"/>
      <c r="O8" s="209"/>
      <c r="P8" s="209"/>
      <c r="Q8" s="209"/>
      <c r="R8" s="209"/>
    </row>
    <row r="9" spans="4:18" ht="15" customHeight="1" x14ac:dyDescent="0.3">
      <c r="D9" s="206"/>
      <c r="E9" s="209"/>
      <c r="F9" s="209"/>
      <c r="G9" s="209"/>
      <c r="H9" s="209"/>
      <c r="I9" s="209"/>
      <c r="J9" s="209"/>
      <c r="K9" s="209"/>
      <c r="L9" s="209"/>
      <c r="M9" s="209"/>
      <c r="N9" s="209"/>
      <c r="O9" s="209"/>
      <c r="P9" s="209"/>
      <c r="Q9" s="209"/>
      <c r="R9" s="209"/>
    </row>
    <row r="10" spans="4:18" ht="15" customHeight="1" x14ac:dyDescent="0.3"/>
    <row r="11" spans="4:18" ht="14.25" customHeight="1" x14ac:dyDescent="0.3">
      <c r="D11" s="206" t="s">
        <v>300</v>
      </c>
      <c r="E11" s="210" t="s">
        <v>301</v>
      </c>
      <c r="F11" s="210"/>
      <c r="G11" s="210"/>
      <c r="H11" s="210"/>
      <c r="I11" s="210"/>
      <c r="J11" s="210"/>
      <c r="K11" s="210"/>
      <c r="L11" s="210"/>
      <c r="M11" s="210"/>
      <c r="N11" s="210"/>
      <c r="O11" s="210"/>
      <c r="P11" s="210"/>
      <c r="Q11" s="210"/>
      <c r="R11" s="210"/>
    </row>
    <row r="12" spans="4:18" ht="14.25" customHeight="1" x14ac:dyDescent="0.3">
      <c r="D12" s="206"/>
      <c r="E12" s="210"/>
      <c r="F12" s="210"/>
      <c r="G12" s="210"/>
      <c r="H12" s="210"/>
      <c r="I12" s="210"/>
      <c r="J12" s="210"/>
      <c r="K12" s="210"/>
      <c r="L12" s="210"/>
      <c r="M12" s="210"/>
      <c r="N12" s="210"/>
      <c r="O12" s="210"/>
      <c r="P12" s="210"/>
      <c r="Q12" s="210"/>
      <c r="R12" s="210"/>
    </row>
    <row r="13" spans="4:18" ht="87" customHeight="1" x14ac:dyDescent="0.3">
      <c r="D13" s="206"/>
      <c r="E13" s="210"/>
      <c r="F13" s="210"/>
      <c r="G13" s="210"/>
      <c r="H13" s="210"/>
      <c r="I13" s="210"/>
      <c r="J13" s="210"/>
      <c r="K13" s="210"/>
      <c r="L13" s="210"/>
      <c r="M13" s="210"/>
      <c r="N13" s="210"/>
      <c r="O13" s="210"/>
      <c r="P13" s="210"/>
      <c r="Q13" s="210"/>
      <c r="R13" s="210"/>
    </row>
    <row r="14" spans="4:18" ht="15" customHeight="1" x14ac:dyDescent="0.3"/>
    <row r="15" spans="4:18" ht="14.25" customHeight="1" x14ac:dyDescent="0.3">
      <c r="D15" s="206" t="s">
        <v>302</v>
      </c>
      <c r="E15" s="207" t="s">
        <v>303</v>
      </c>
      <c r="F15" s="207"/>
      <c r="G15" s="207"/>
      <c r="H15" s="207"/>
      <c r="I15" s="207"/>
      <c r="J15" s="207"/>
      <c r="K15" s="207"/>
      <c r="L15" s="207"/>
      <c r="M15" s="207"/>
      <c r="N15" s="207"/>
      <c r="O15" s="207"/>
      <c r="P15" s="207"/>
      <c r="Q15" s="207"/>
      <c r="R15" s="207"/>
    </row>
    <row r="16" spans="4:18" ht="14.25" customHeight="1" x14ac:dyDescent="0.3">
      <c r="D16" s="206"/>
      <c r="E16" s="207"/>
      <c r="F16" s="207"/>
      <c r="G16" s="207"/>
      <c r="H16" s="207"/>
      <c r="I16" s="207"/>
      <c r="J16" s="207"/>
      <c r="K16" s="207"/>
      <c r="L16" s="207"/>
      <c r="M16" s="207"/>
      <c r="N16" s="207"/>
      <c r="O16" s="207"/>
      <c r="P16" s="207"/>
      <c r="Q16" s="207"/>
      <c r="R16" s="207"/>
    </row>
    <row r="17" spans="4:18" ht="15" customHeight="1" x14ac:dyDescent="0.3">
      <c r="D17" s="206"/>
      <c r="E17" s="207"/>
      <c r="F17" s="207"/>
      <c r="G17" s="207"/>
      <c r="H17" s="207"/>
      <c r="I17" s="207"/>
      <c r="J17" s="207"/>
      <c r="K17" s="207"/>
      <c r="L17" s="207"/>
      <c r="M17" s="207"/>
      <c r="N17" s="207"/>
      <c r="O17" s="207"/>
      <c r="P17" s="207"/>
      <c r="Q17" s="207"/>
      <c r="R17" s="207"/>
    </row>
    <row r="19" spans="4:18" ht="15" customHeight="1" x14ac:dyDescent="0.3"/>
    <row r="20" spans="4:18" ht="57" customHeight="1" x14ac:dyDescent="0.3">
      <c r="E20" s="112" t="s">
        <v>304</v>
      </c>
      <c r="F20" s="113" t="s">
        <v>305</v>
      </c>
      <c r="G20" s="113" t="s">
        <v>306</v>
      </c>
      <c r="H20" s="113" t="s">
        <v>307</v>
      </c>
      <c r="I20" s="113" t="s">
        <v>308</v>
      </c>
      <c r="J20" s="113" t="s">
        <v>309</v>
      </c>
      <c r="K20" s="113" t="s">
        <v>310</v>
      </c>
      <c r="L20" s="113" t="s">
        <v>311</v>
      </c>
      <c r="M20" s="113" t="s">
        <v>312</v>
      </c>
      <c r="N20" s="114" t="s">
        <v>313</v>
      </c>
    </row>
    <row r="21" spans="4:18" ht="14.25" customHeight="1" x14ac:dyDescent="0.3">
      <c r="E21" s="115" t="s">
        <v>296</v>
      </c>
      <c r="F21" s="116">
        <v>5124.5</v>
      </c>
      <c r="G21" s="117"/>
      <c r="H21" s="116">
        <v>38008</v>
      </c>
      <c r="I21" s="116">
        <v>4602</v>
      </c>
      <c r="J21" s="116">
        <v>29</v>
      </c>
      <c r="K21" s="117">
        <v>0.17080000000000001</v>
      </c>
      <c r="L21" s="117">
        <v>0.12089999999999999</v>
      </c>
      <c r="M21" s="116">
        <v>155.22</v>
      </c>
      <c r="N21" s="118">
        <v>184.49</v>
      </c>
    </row>
    <row r="22" spans="4:18" ht="14.25" customHeight="1" x14ac:dyDescent="0.3">
      <c r="E22" s="119" t="s">
        <v>298</v>
      </c>
      <c r="F22" s="120">
        <v>2583.6</v>
      </c>
      <c r="G22" s="121">
        <v>-21.32</v>
      </c>
      <c r="H22" s="120">
        <v>255324</v>
      </c>
      <c r="I22" s="120">
        <v>48553</v>
      </c>
      <c r="J22" s="120">
        <v>362</v>
      </c>
      <c r="K22" s="121">
        <v>0.26400000000000001</v>
      </c>
      <c r="L22" s="121">
        <v>0.19009999999999999</v>
      </c>
      <c r="M22" s="120">
        <v>134.13</v>
      </c>
      <c r="N22" s="122">
        <v>159.25</v>
      </c>
    </row>
    <row r="23" spans="4:18" ht="14.25" customHeight="1" x14ac:dyDescent="0.3">
      <c r="E23" s="119" t="s">
        <v>314</v>
      </c>
      <c r="F23" s="120">
        <v>1323.3</v>
      </c>
      <c r="G23" s="121">
        <v>-9.5399999999999991</v>
      </c>
      <c r="H23" s="120">
        <v>160879</v>
      </c>
      <c r="I23" s="120">
        <v>26248</v>
      </c>
      <c r="J23" s="120">
        <v>2090</v>
      </c>
      <c r="K23" s="121">
        <v>0.23699999999999999</v>
      </c>
      <c r="L23" s="121">
        <v>0.1638</v>
      </c>
      <c r="M23" s="120">
        <v>63.02</v>
      </c>
      <c r="N23" s="122">
        <v>72.88</v>
      </c>
    </row>
    <row r="24" spans="4:18" ht="15" customHeight="1" x14ac:dyDescent="0.3">
      <c r="E24" s="123" t="s">
        <v>315</v>
      </c>
      <c r="F24" s="124">
        <v>1458</v>
      </c>
      <c r="G24" s="125"/>
      <c r="H24" s="124">
        <v>116647</v>
      </c>
      <c r="I24" s="124">
        <v>17327</v>
      </c>
      <c r="J24" s="124">
        <v>542</v>
      </c>
      <c r="K24" s="125">
        <v>0.21779999999999999</v>
      </c>
      <c r="L24" s="125">
        <v>0.14849999999999999</v>
      </c>
      <c r="M24" s="124">
        <v>63.94</v>
      </c>
      <c r="N24" s="126">
        <v>79</v>
      </c>
    </row>
    <row r="26" spans="4:18" ht="15" customHeight="1" x14ac:dyDescent="0.3"/>
    <row r="27" spans="4:18" ht="14.25" customHeight="1" x14ac:dyDescent="0.3">
      <c r="E27" s="205" t="s">
        <v>296</v>
      </c>
      <c r="F27" s="205"/>
      <c r="G27" s="205"/>
      <c r="H27" s="205"/>
      <c r="L27" s="205" t="s">
        <v>298</v>
      </c>
      <c r="M27" s="205"/>
      <c r="N27" s="205"/>
      <c r="O27" s="205"/>
    </row>
    <row r="28" spans="4:18" ht="14.25" customHeight="1" x14ac:dyDescent="0.3">
      <c r="E28" s="127" t="s">
        <v>316</v>
      </c>
      <c r="F28" s="128">
        <v>44986</v>
      </c>
      <c r="G28" s="128">
        <v>45352</v>
      </c>
      <c r="H28" s="129">
        <v>45717</v>
      </c>
      <c r="L28" s="127" t="s">
        <v>316</v>
      </c>
      <c r="M28" s="128">
        <v>44986</v>
      </c>
      <c r="N28" s="128">
        <v>45352</v>
      </c>
      <c r="O28" s="129">
        <v>45717</v>
      </c>
    </row>
    <row r="29" spans="4:18" ht="14.25" customHeight="1" x14ac:dyDescent="0.3">
      <c r="E29" s="127" t="s">
        <v>317</v>
      </c>
      <c r="F29" s="130">
        <v>46.5</v>
      </c>
      <c r="G29" s="130">
        <v>58.2</v>
      </c>
      <c r="H29" s="131">
        <v>55.6</v>
      </c>
      <c r="L29" s="127" t="s">
        <v>317</v>
      </c>
      <c r="M29" s="130">
        <v>68</v>
      </c>
      <c r="N29" s="130">
        <v>78.5</v>
      </c>
      <c r="O29" s="131">
        <v>80.599999999999994</v>
      </c>
    </row>
    <row r="30" spans="4:18" ht="14.25" customHeight="1" x14ac:dyDescent="0.3">
      <c r="E30" s="127" t="s">
        <v>318</v>
      </c>
      <c r="F30" s="130">
        <v>0</v>
      </c>
      <c r="G30" s="130">
        <v>0</v>
      </c>
      <c r="H30" s="131">
        <v>0</v>
      </c>
      <c r="L30" s="127" t="s">
        <v>318</v>
      </c>
      <c r="M30" s="130">
        <v>0</v>
      </c>
      <c r="N30" s="130">
        <v>0</v>
      </c>
      <c r="O30" s="131">
        <v>0</v>
      </c>
    </row>
    <row r="31" spans="4:18" ht="14.25" customHeight="1" x14ac:dyDescent="0.3">
      <c r="E31" s="127" t="s">
        <v>319</v>
      </c>
      <c r="F31" s="130">
        <v>26.7</v>
      </c>
      <c r="G31" s="130">
        <v>47.4</v>
      </c>
      <c r="H31" s="131">
        <v>40.5</v>
      </c>
      <c r="L31" s="127" t="s">
        <v>319</v>
      </c>
      <c r="M31" s="130">
        <v>50.4</v>
      </c>
      <c r="N31" s="130">
        <v>58.5</v>
      </c>
      <c r="O31" s="131">
        <v>63.9</v>
      </c>
    </row>
    <row r="32" spans="4:18" ht="28.5" customHeight="1" x14ac:dyDescent="0.3">
      <c r="E32" s="127" t="s">
        <v>320</v>
      </c>
      <c r="F32" s="130">
        <v>19.8</v>
      </c>
      <c r="G32" s="130">
        <v>10.8</v>
      </c>
      <c r="H32" s="131">
        <v>15.1</v>
      </c>
      <c r="L32" s="127" t="s">
        <v>320</v>
      </c>
      <c r="M32" s="130">
        <v>17.600000000000001</v>
      </c>
      <c r="N32" s="130">
        <v>20</v>
      </c>
      <c r="O32" s="131">
        <v>16.7</v>
      </c>
    </row>
    <row r="33" spans="5:15" ht="28.5" customHeight="1" x14ac:dyDescent="0.3">
      <c r="E33" s="127" t="s">
        <v>321</v>
      </c>
      <c r="F33" s="130">
        <v>19.78</v>
      </c>
      <c r="G33" s="130">
        <v>10.77</v>
      </c>
      <c r="H33" s="131">
        <v>15.11</v>
      </c>
      <c r="L33" s="127" t="s">
        <v>321</v>
      </c>
      <c r="M33" s="130">
        <v>17.559999999999999</v>
      </c>
      <c r="N33" s="130">
        <v>20.04</v>
      </c>
      <c r="O33" s="131">
        <v>16.68</v>
      </c>
    </row>
    <row r="34" spans="5:15" ht="15" customHeight="1" x14ac:dyDescent="0.3">
      <c r="E34" s="132" t="s">
        <v>322</v>
      </c>
      <c r="F34" s="133">
        <v>0.36599999999999999</v>
      </c>
      <c r="G34" s="133">
        <v>0.32029999999999997</v>
      </c>
      <c r="H34" s="134">
        <v>0.28599999999999998</v>
      </c>
      <c r="L34" s="132" t="s">
        <v>322</v>
      </c>
      <c r="M34" s="133">
        <v>0.63790000000000002</v>
      </c>
      <c r="N34" s="133">
        <v>0.70430000000000004</v>
      </c>
      <c r="O34" s="134">
        <v>0.69779999999999998</v>
      </c>
    </row>
    <row r="36" spans="5:15" ht="15" customHeight="1" x14ac:dyDescent="0.3"/>
    <row r="37" spans="5:15" ht="14.25" customHeight="1" x14ac:dyDescent="0.3">
      <c r="E37" s="205" t="s">
        <v>314</v>
      </c>
      <c r="F37" s="205"/>
      <c r="G37" s="205"/>
      <c r="H37" s="205"/>
      <c r="L37" s="205" t="s">
        <v>315</v>
      </c>
      <c r="M37" s="205"/>
      <c r="N37" s="205"/>
      <c r="O37" s="205"/>
    </row>
    <row r="38" spans="5:15" ht="14.25" customHeight="1" x14ac:dyDescent="0.3">
      <c r="E38" s="127" t="s">
        <v>316</v>
      </c>
      <c r="F38" s="128">
        <v>44986</v>
      </c>
      <c r="G38" s="128">
        <v>45352</v>
      </c>
      <c r="H38" s="129">
        <v>45717</v>
      </c>
      <c r="L38" s="127" t="s">
        <v>316</v>
      </c>
      <c r="M38" s="128">
        <v>44986</v>
      </c>
      <c r="N38" s="128">
        <v>45352</v>
      </c>
      <c r="O38" s="129">
        <v>45717</v>
      </c>
    </row>
    <row r="39" spans="5:15" ht="14.25" customHeight="1" x14ac:dyDescent="0.3">
      <c r="E39" s="127" t="s">
        <v>317</v>
      </c>
      <c r="F39" s="130">
        <v>59.8</v>
      </c>
      <c r="G39" s="130">
        <v>66</v>
      </c>
      <c r="H39" s="131">
        <v>68.7</v>
      </c>
      <c r="L39" s="127" t="s">
        <v>317</v>
      </c>
      <c r="M39" s="130">
        <v>83.1</v>
      </c>
      <c r="N39" s="130">
        <v>84.7</v>
      </c>
      <c r="O39" s="131">
        <v>80</v>
      </c>
    </row>
    <row r="40" spans="5:15" ht="14.25" customHeight="1" x14ac:dyDescent="0.3">
      <c r="E40" s="127" t="s">
        <v>318</v>
      </c>
      <c r="F40" s="130">
        <v>0</v>
      </c>
      <c r="G40" s="130">
        <v>0</v>
      </c>
      <c r="H40" s="131">
        <v>0</v>
      </c>
      <c r="L40" s="127" t="s">
        <v>318</v>
      </c>
      <c r="M40" s="130">
        <v>0</v>
      </c>
      <c r="N40" s="130">
        <v>0</v>
      </c>
      <c r="O40" s="131">
        <v>0</v>
      </c>
    </row>
    <row r="41" spans="5:15" ht="14.25" customHeight="1" x14ac:dyDescent="0.3">
      <c r="E41" s="127" t="s">
        <v>319</v>
      </c>
      <c r="F41" s="130">
        <v>86.8</v>
      </c>
      <c r="G41" s="130">
        <v>71.400000000000006</v>
      </c>
      <c r="H41" s="131">
        <v>57.8</v>
      </c>
      <c r="L41" s="127" t="s">
        <v>319</v>
      </c>
      <c r="M41" s="130">
        <v>20.3</v>
      </c>
      <c r="N41" s="130">
        <v>23.2</v>
      </c>
      <c r="O41" s="131">
        <v>27.4</v>
      </c>
    </row>
    <row r="42" spans="5:15" ht="28.5" customHeight="1" x14ac:dyDescent="0.3">
      <c r="E42" s="127" t="s">
        <v>320</v>
      </c>
      <c r="F42" s="130">
        <v>-27</v>
      </c>
      <c r="G42" s="130">
        <v>-5.4</v>
      </c>
      <c r="H42" s="131">
        <v>10.9</v>
      </c>
      <c r="L42" s="127" t="s">
        <v>320</v>
      </c>
      <c r="M42" s="130">
        <v>62.8</v>
      </c>
      <c r="N42" s="130">
        <v>61.5</v>
      </c>
      <c r="O42" s="131">
        <v>52.6</v>
      </c>
    </row>
    <row r="43" spans="5:15" ht="28.5" customHeight="1" x14ac:dyDescent="0.3">
      <c r="E43" s="127" t="s">
        <v>321</v>
      </c>
      <c r="F43" s="130">
        <v>-27.05</v>
      </c>
      <c r="G43" s="130">
        <v>-5.44</v>
      </c>
      <c r="H43" s="131">
        <v>10.95</v>
      </c>
      <c r="L43" s="127" t="s">
        <v>321</v>
      </c>
      <c r="M43" s="130">
        <v>62.78</v>
      </c>
      <c r="N43" s="130">
        <v>61.5</v>
      </c>
      <c r="O43" s="131">
        <v>52.56</v>
      </c>
    </row>
    <row r="44" spans="5:15" ht="15" customHeight="1" x14ac:dyDescent="0.3">
      <c r="E44" s="132" t="s">
        <v>322</v>
      </c>
      <c r="F44" s="133">
        <v>0.45090000000000002</v>
      </c>
      <c r="G44" s="133">
        <v>0.41370000000000001</v>
      </c>
      <c r="H44" s="134">
        <v>0.39679999999999999</v>
      </c>
      <c r="L44" s="132" t="s">
        <v>322</v>
      </c>
      <c r="M44" s="133">
        <v>0.29320000000000002</v>
      </c>
      <c r="N44" s="133">
        <v>0.30480000000000002</v>
      </c>
      <c r="O44" s="134">
        <v>0.3322</v>
      </c>
    </row>
  </sheetData>
  <mergeCells count="12">
    <mergeCell ref="E27:H27"/>
    <mergeCell ref="L27:O27"/>
    <mergeCell ref="E37:H37"/>
    <mergeCell ref="L37:O37"/>
    <mergeCell ref="D3:D5"/>
    <mergeCell ref="D7:D9"/>
    <mergeCell ref="D11:D13"/>
    <mergeCell ref="D15:D17"/>
    <mergeCell ref="E15:R17"/>
    <mergeCell ref="E3:R5"/>
    <mergeCell ref="E7:R9"/>
    <mergeCell ref="E11:R13"/>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22:N45"/>
  <sheetViews>
    <sheetView showGridLines="0" topLeftCell="A19" workbookViewId="0">
      <selection activeCell="D39" sqref="D39"/>
    </sheetView>
  </sheetViews>
  <sheetFormatPr defaultColWidth="8.6640625" defaultRowHeight="14.4" x14ac:dyDescent="0.3"/>
  <cols>
    <col min="3" max="3" width="12.6640625" style="1" customWidth="1"/>
    <col min="4" max="4" width="17.5546875" style="1" customWidth="1"/>
    <col min="5" max="5" width="11.44140625" style="1" customWidth="1"/>
    <col min="6" max="6" width="10.44140625" style="1" customWidth="1"/>
    <col min="7" max="7" width="9" style="1" customWidth="1"/>
    <col min="11" max="11" width="10.21875" style="1" customWidth="1"/>
    <col min="14" max="14" width="8.88671875" style="1" customWidth="1"/>
  </cols>
  <sheetData>
    <row r="22" spans="3:14" ht="57" customHeight="1" x14ac:dyDescent="0.3">
      <c r="C22" s="279" t="s">
        <v>316</v>
      </c>
      <c r="D22" s="279" t="s">
        <v>323</v>
      </c>
      <c r="F22" s="280" t="s">
        <v>324</v>
      </c>
      <c r="G22" s="279" t="s">
        <v>325</v>
      </c>
      <c r="H22" s="279" t="s">
        <v>326</v>
      </c>
      <c r="I22" s="279" t="s">
        <v>327</v>
      </c>
      <c r="J22" s="279" t="s">
        <v>328</v>
      </c>
      <c r="K22" s="279" t="s">
        <v>329</v>
      </c>
      <c r="L22" s="281" t="s">
        <v>330</v>
      </c>
      <c r="M22" s="111"/>
    </row>
    <row r="23" spans="3:14" ht="14.25" customHeight="1" x14ac:dyDescent="0.3">
      <c r="C23" s="282" t="s">
        <v>331</v>
      </c>
      <c r="D23" s="283">
        <v>138154</v>
      </c>
      <c r="F23" s="288" t="s">
        <v>332</v>
      </c>
      <c r="G23" s="289">
        <v>38008.1</v>
      </c>
      <c r="H23" s="290">
        <v>4602</v>
      </c>
      <c r="I23" s="291">
        <f>((G23-G24)/G24)</f>
        <v>7.0138243657966601E-2</v>
      </c>
      <c r="J23" s="292">
        <f>(H23-H24)/H24</f>
        <v>3.7953147493782701E-3</v>
      </c>
      <c r="K23" s="293">
        <f>(L23-L24)/L24</f>
        <v>7.6503493719268303E-2</v>
      </c>
      <c r="L23" s="294">
        <v>24334.2</v>
      </c>
    </row>
    <row r="24" spans="3:14" ht="14.25" customHeight="1" x14ac:dyDescent="0.3">
      <c r="C24" s="282" t="s">
        <v>333</v>
      </c>
      <c r="D24" s="284">
        <v>4662.3</v>
      </c>
      <c r="F24" s="288" t="s">
        <v>334</v>
      </c>
      <c r="G24" s="290">
        <v>35517</v>
      </c>
      <c r="H24" s="289">
        <v>4584.6000000000004</v>
      </c>
      <c r="I24" s="291">
        <f>((G24-G25)/G25)</f>
        <v>7.0337220866106095E-2</v>
      </c>
      <c r="J24" s="292">
        <f>(H24-H25)/H25</f>
        <v>3.95211210121761E-2</v>
      </c>
      <c r="K24" s="293">
        <f>(L24-L25)/L25</f>
        <v>0.25130639357874301</v>
      </c>
      <c r="L24" s="294">
        <v>22604.85</v>
      </c>
    </row>
    <row r="25" spans="3:14" ht="14.25" customHeight="1" x14ac:dyDescent="0.3">
      <c r="C25" s="282" t="s">
        <v>335</v>
      </c>
      <c r="D25" s="283" t="s">
        <v>336</v>
      </c>
      <c r="F25" s="288" t="s">
        <v>337</v>
      </c>
      <c r="G25" s="290">
        <v>33183</v>
      </c>
      <c r="H25" s="289">
        <v>4410.3</v>
      </c>
      <c r="I25" s="291">
        <f>((G25-G26)/G26)</f>
        <v>1.1177889678148201</v>
      </c>
      <c r="J25" s="292">
        <f>(H25-H26)/H26</f>
        <v>0.91877311289971697</v>
      </c>
      <c r="K25" s="293">
        <f>(L25-L26)/L26</f>
        <v>5.6275233810162903E-2</v>
      </c>
      <c r="L25" s="294">
        <v>18065</v>
      </c>
    </row>
    <row r="26" spans="3:14" ht="14.25" customHeight="1" x14ac:dyDescent="0.3">
      <c r="C26" s="282" t="s">
        <v>338</v>
      </c>
      <c r="D26" s="283">
        <v>29.04</v>
      </c>
      <c r="F26" s="288" t="s">
        <v>339</v>
      </c>
      <c r="G26" s="289">
        <v>15668.7</v>
      </c>
      <c r="H26" s="289">
        <v>2298.5</v>
      </c>
      <c r="I26" s="291">
        <f>((G26-G27)/G27)</f>
        <v>0.26668984138789598</v>
      </c>
      <c r="J26" s="292">
        <f>(H26-H27)/H27</f>
        <v>0.18589412857290299</v>
      </c>
      <c r="K26" s="293">
        <f>(L26-L27)/L27</f>
        <v>0.16891757967616899</v>
      </c>
      <c r="L26" s="294">
        <v>17102.55</v>
      </c>
    </row>
    <row r="27" spans="3:14" ht="14.25" customHeight="1" x14ac:dyDescent="0.3">
      <c r="C27" s="282" t="s">
        <v>340</v>
      </c>
      <c r="D27" s="284">
        <v>821.7</v>
      </c>
      <c r="F27" s="288" t="s">
        <v>341</v>
      </c>
      <c r="G27" s="289">
        <v>12369.8</v>
      </c>
      <c r="H27" s="289">
        <v>1938.2</v>
      </c>
      <c r="I27" s="291"/>
      <c r="J27" s="292"/>
      <c r="K27" s="293"/>
      <c r="L27" s="294">
        <v>14631.1</v>
      </c>
    </row>
    <row r="28" spans="3:14" ht="28.5" customHeight="1" x14ac:dyDescent="0.3">
      <c r="C28" s="282" t="s">
        <v>342</v>
      </c>
      <c r="D28" s="285">
        <v>1.4</v>
      </c>
    </row>
    <row r="29" spans="3:14" ht="15" customHeight="1" x14ac:dyDescent="0.3">
      <c r="C29" s="282" t="s">
        <v>343</v>
      </c>
      <c r="D29" s="286">
        <v>0.26340000000000002</v>
      </c>
    </row>
    <row r="30" spans="3:14" ht="14.25" customHeight="1" x14ac:dyDescent="0.3">
      <c r="C30" s="282" t="s">
        <v>344</v>
      </c>
      <c r="D30" s="286">
        <v>0.2036</v>
      </c>
      <c r="F30" s="199" t="s">
        <v>345</v>
      </c>
      <c r="G30" s="199"/>
      <c r="H30" s="199"/>
      <c r="I30" s="199"/>
      <c r="J30" s="199"/>
      <c r="K30" s="199"/>
      <c r="L30" s="199"/>
      <c r="M30" s="199"/>
      <c r="N30" s="199"/>
    </row>
    <row r="31" spans="3:14" ht="14.25" customHeight="1" x14ac:dyDescent="0.3">
      <c r="C31" s="282" t="s">
        <v>346</v>
      </c>
      <c r="D31" s="287">
        <v>1</v>
      </c>
      <c r="F31" s="199"/>
      <c r="G31" s="199"/>
      <c r="H31" s="199"/>
      <c r="I31" s="199"/>
      <c r="J31" s="199"/>
      <c r="K31" s="199"/>
      <c r="L31" s="199"/>
      <c r="M31" s="199"/>
      <c r="N31" s="199"/>
    </row>
    <row r="32" spans="3:14" ht="14.25" customHeight="1" x14ac:dyDescent="0.3">
      <c r="F32" s="199"/>
      <c r="G32" s="199"/>
      <c r="H32" s="199"/>
      <c r="I32" s="199"/>
      <c r="J32" s="199"/>
      <c r="K32" s="199"/>
      <c r="L32" s="199"/>
      <c r="M32" s="199"/>
      <c r="N32" s="199"/>
    </row>
    <row r="33" spans="6:14" ht="14.25" customHeight="1" x14ac:dyDescent="0.3">
      <c r="F33" s="199"/>
      <c r="G33" s="199"/>
      <c r="H33" s="199"/>
      <c r="I33" s="199"/>
      <c r="J33" s="199"/>
      <c r="K33" s="199"/>
      <c r="L33" s="199"/>
      <c r="M33" s="199"/>
      <c r="N33" s="199"/>
    </row>
    <row r="34" spans="6:14" ht="14.25" customHeight="1" x14ac:dyDescent="0.3">
      <c r="F34" s="199"/>
      <c r="G34" s="199"/>
      <c r="H34" s="199"/>
      <c r="I34" s="199"/>
      <c r="J34" s="199"/>
      <c r="K34" s="199"/>
      <c r="L34" s="199"/>
      <c r="M34" s="199"/>
      <c r="N34" s="199"/>
    </row>
    <row r="35" spans="6:14" ht="14.25" customHeight="1" x14ac:dyDescent="0.3">
      <c r="F35" s="199"/>
      <c r="G35" s="199"/>
      <c r="H35" s="199"/>
      <c r="I35" s="199"/>
      <c r="J35" s="199"/>
      <c r="K35" s="199"/>
      <c r="L35" s="199"/>
      <c r="M35" s="199"/>
      <c r="N35" s="199"/>
    </row>
    <row r="36" spans="6:14" ht="14.25" customHeight="1" x14ac:dyDescent="0.3">
      <c r="F36" s="199"/>
      <c r="G36" s="199"/>
      <c r="H36" s="199"/>
      <c r="I36" s="199"/>
      <c r="J36" s="199"/>
      <c r="K36" s="199"/>
      <c r="L36" s="199"/>
      <c r="M36" s="199"/>
      <c r="N36" s="199"/>
    </row>
    <row r="37" spans="6:14" ht="15" customHeight="1" x14ac:dyDescent="0.3">
      <c r="F37" s="199"/>
      <c r="G37" s="199"/>
      <c r="H37" s="199"/>
      <c r="I37" s="199"/>
      <c r="J37" s="199"/>
      <c r="K37" s="199"/>
      <c r="L37" s="199"/>
      <c r="M37" s="199"/>
      <c r="N37" s="199"/>
    </row>
    <row r="38" spans="6:14" ht="15" customHeight="1" x14ac:dyDescent="0.3"/>
    <row r="39" spans="6:14" ht="14.25" customHeight="1" x14ac:dyDescent="0.3">
      <c r="F39" s="199" t="s">
        <v>347</v>
      </c>
      <c r="G39" s="199"/>
      <c r="H39" s="199"/>
      <c r="I39" s="199"/>
      <c r="J39" s="199"/>
      <c r="K39" s="199"/>
      <c r="L39" s="199"/>
      <c r="M39" s="199"/>
      <c r="N39" s="199"/>
    </row>
    <row r="40" spans="6:14" ht="14.25" customHeight="1" x14ac:dyDescent="0.3">
      <c r="F40" s="199"/>
      <c r="G40" s="199"/>
      <c r="H40" s="199"/>
      <c r="I40" s="199"/>
      <c r="J40" s="199"/>
      <c r="K40" s="199"/>
      <c r="L40" s="199"/>
      <c r="M40" s="199"/>
      <c r="N40" s="199"/>
    </row>
    <row r="41" spans="6:14" ht="14.25" customHeight="1" x14ac:dyDescent="0.3">
      <c r="F41" s="199"/>
      <c r="G41" s="199"/>
      <c r="H41" s="199"/>
      <c r="I41" s="199"/>
      <c r="J41" s="199"/>
      <c r="K41" s="199"/>
      <c r="L41" s="199"/>
      <c r="M41" s="199"/>
      <c r="N41" s="199"/>
    </row>
    <row r="42" spans="6:14" ht="14.25" customHeight="1" x14ac:dyDescent="0.3">
      <c r="F42" s="199"/>
      <c r="G42" s="199"/>
      <c r="H42" s="199"/>
      <c r="I42" s="199"/>
      <c r="J42" s="199"/>
      <c r="K42" s="199"/>
      <c r="L42" s="199"/>
      <c r="M42" s="199"/>
      <c r="N42" s="199"/>
    </row>
    <row r="43" spans="6:14" ht="14.25" customHeight="1" x14ac:dyDescent="0.3">
      <c r="F43" s="199"/>
      <c r="G43" s="199"/>
      <c r="H43" s="199"/>
      <c r="I43" s="199"/>
      <c r="J43" s="199"/>
      <c r="K43" s="199"/>
      <c r="L43" s="199"/>
      <c r="M43" s="199"/>
      <c r="N43" s="199"/>
    </row>
    <row r="44" spans="6:14" ht="14.25" customHeight="1" x14ac:dyDescent="0.3">
      <c r="F44" s="199"/>
      <c r="G44" s="199"/>
      <c r="H44" s="199"/>
      <c r="I44" s="199"/>
      <c r="J44" s="199"/>
      <c r="K44" s="199"/>
      <c r="L44" s="199"/>
      <c r="M44" s="199"/>
      <c r="N44" s="199"/>
    </row>
    <row r="45" spans="6:14" ht="15" customHeight="1" x14ac:dyDescent="0.3">
      <c r="F45" s="199"/>
      <c r="G45" s="199"/>
      <c r="H45" s="199"/>
      <c r="I45" s="199"/>
      <c r="J45" s="199"/>
      <c r="K45" s="199"/>
      <c r="L45" s="199"/>
      <c r="M45" s="199"/>
      <c r="N45" s="199"/>
    </row>
  </sheetData>
  <mergeCells count="2">
    <mergeCell ref="F30:N37"/>
    <mergeCell ref="F39:N45"/>
  </mergeCells>
  <pageMargins left="0.7" right="0.7" top="0.75" bottom="0.75"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482"/>
  <sheetViews>
    <sheetView showGridLines="0" zoomScale="75" zoomScaleNormal="75" workbookViewId="0">
      <selection activeCell="B2" sqref="B2"/>
    </sheetView>
  </sheetViews>
  <sheetFormatPr defaultColWidth="8.6640625" defaultRowHeight="14.4" x14ac:dyDescent="0.3"/>
  <cols>
    <col min="1" max="1" width="10.33203125" style="1" customWidth="1"/>
    <col min="2" max="2" width="11.33203125" style="1" customWidth="1"/>
    <col min="3" max="4" width="10.33203125" style="1" customWidth="1"/>
    <col min="10" max="10" width="12" style="1" customWidth="1"/>
    <col min="12" max="12" width="17.44140625" style="1" customWidth="1"/>
    <col min="13" max="13" width="12" style="1" customWidth="1"/>
    <col min="14" max="14" width="13.44140625" style="1" customWidth="1"/>
    <col min="15" max="15" width="12" style="1" customWidth="1"/>
    <col min="17" max="17" width="12.6640625" style="1" customWidth="1"/>
    <col min="18" max="18" width="12" style="1" customWidth="1"/>
    <col min="19" max="19" width="12.6640625" style="1" customWidth="1"/>
    <col min="20" max="20" width="12.109375" style="1" customWidth="1"/>
  </cols>
  <sheetData>
    <row r="1" spans="1:12" ht="14.25" customHeight="1" x14ac:dyDescent="0.3">
      <c r="A1" s="108" t="s">
        <v>348</v>
      </c>
      <c r="B1" s="108" t="s">
        <v>349</v>
      </c>
      <c r="C1" s="108" t="s">
        <v>348</v>
      </c>
      <c r="D1" s="108" t="s">
        <v>350</v>
      </c>
      <c r="E1" s="271"/>
      <c r="F1" s="271"/>
      <c r="G1" s="4" t="s">
        <v>351</v>
      </c>
      <c r="H1" s="4" t="s">
        <v>352</v>
      </c>
      <c r="I1" s="4" t="s">
        <v>353</v>
      </c>
      <c r="J1" s="274" t="s">
        <v>571</v>
      </c>
    </row>
    <row r="2" spans="1:12" ht="14.25" customHeight="1" x14ac:dyDescent="0.3">
      <c r="A2" s="272">
        <v>43922</v>
      </c>
      <c r="B2" s="4">
        <v>8253.7999999999993</v>
      </c>
      <c r="C2" s="272">
        <v>43922</v>
      </c>
      <c r="D2" s="4">
        <v>1295.58</v>
      </c>
      <c r="E2" s="271"/>
      <c r="F2" s="271"/>
      <c r="G2" s="271"/>
      <c r="H2" s="271"/>
      <c r="I2" s="271"/>
      <c r="J2" s="4"/>
    </row>
    <row r="3" spans="1:12" ht="14.25" customHeight="1" x14ac:dyDescent="0.3">
      <c r="A3" s="272">
        <v>43924</v>
      </c>
      <c r="B3" s="4">
        <v>8083.8</v>
      </c>
      <c r="C3" s="272">
        <v>43924</v>
      </c>
      <c r="D3" s="4">
        <v>1260.1300000000001</v>
      </c>
      <c r="E3" s="271"/>
      <c r="F3" s="271"/>
      <c r="G3" s="273">
        <f>(B3-B2)/B2</f>
        <v>-2.059657369938684E-2</v>
      </c>
      <c r="H3" s="4">
        <f t="shared" ref="H3:H66" si="0">(D3-D2)/D2</f>
        <v>-2.7362262461600072E-2</v>
      </c>
      <c r="I3" s="4">
        <f>SLOPE(H3:H1482,G3:G1482)</f>
        <v>0.83831404136440602</v>
      </c>
      <c r="J3" s="4">
        <f>_xlfn.COVARIANCE.S(H3:H1482,G3:G1482)/_xlfn.VAR.S(G3:G1482)</f>
        <v>0.83831404136440546</v>
      </c>
    </row>
    <row r="4" spans="1:12" ht="14.25" customHeight="1" x14ac:dyDescent="0.3">
      <c r="A4" s="272">
        <v>43928</v>
      </c>
      <c r="B4" s="4">
        <v>8792.2000000000007</v>
      </c>
      <c r="C4" s="272">
        <v>43928</v>
      </c>
      <c r="D4" s="4">
        <v>1272.22</v>
      </c>
      <c r="E4" s="271"/>
      <c r="F4" s="271"/>
      <c r="G4" s="273">
        <f>(B4-B3)/B3</f>
        <v>8.7632054231920692E-2</v>
      </c>
      <c r="H4" s="4">
        <f t="shared" si="0"/>
        <v>9.5942482124859469E-3</v>
      </c>
      <c r="I4" s="271"/>
      <c r="J4" s="4"/>
    </row>
    <row r="5" spans="1:12" ht="14.25" customHeight="1" x14ac:dyDescent="0.3">
      <c r="A5" s="272">
        <v>43929</v>
      </c>
      <c r="B5" s="4">
        <v>8748.75</v>
      </c>
      <c r="C5" s="272">
        <v>43929</v>
      </c>
      <c r="D5" s="4">
        <v>1261.3800000000001</v>
      </c>
      <c r="E5" s="271"/>
      <c r="F5" s="271"/>
      <c r="G5" s="273">
        <f>(B5-B4)/B4</f>
        <v>-4.9418803029959192E-3</v>
      </c>
      <c r="H5" s="4">
        <f t="shared" si="0"/>
        <v>-8.5205389005045644E-3</v>
      </c>
      <c r="I5" s="271"/>
      <c r="J5" s="4"/>
    </row>
    <row r="6" spans="1:12" ht="14.25" customHeight="1" x14ac:dyDescent="0.3">
      <c r="A6" s="272">
        <v>43930</v>
      </c>
      <c r="B6" s="4">
        <v>9111.9</v>
      </c>
      <c r="C6" s="272">
        <v>43930</v>
      </c>
      <c r="D6" s="4">
        <v>1301.54</v>
      </c>
      <c r="E6" s="271"/>
      <c r="F6" s="271"/>
      <c r="G6" s="273">
        <f>(B6-B5)/B5</f>
        <v>4.1508786969567037E-2</v>
      </c>
      <c r="H6" s="4">
        <f t="shared" si="0"/>
        <v>3.1838145523157058E-2</v>
      </c>
      <c r="I6" s="271"/>
      <c r="J6" s="4"/>
    </row>
    <row r="7" spans="1:12" ht="14.25" customHeight="1" x14ac:dyDescent="0.3">
      <c r="A7" s="272">
        <v>43934</v>
      </c>
      <c r="B7" s="4">
        <v>8993.85</v>
      </c>
      <c r="C7" s="272">
        <v>43934</v>
      </c>
      <c r="D7" s="4">
        <v>1302.0899999999999</v>
      </c>
      <c r="E7" s="271"/>
      <c r="F7" s="271"/>
      <c r="G7" s="273">
        <f>(B7-B6)/B6</f>
        <v>-1.295558555295814E-2</v>
      </c>
      <c r="H7" s="4">
        <f t="shared" si="0"/>
        <v>4.2257633265205415E-4</v>
      </c>
      <c r="I7" s="271"/>
      <c r="J7" s="4"/>
    </row>
    <row r="8" spans="1:12" ht="14.25" customHeight="1" x14ac:dyDescent="0.3">
      <c r="A8" s="272">
        <v>43936</v>
      </c>
      <c r="B8" s="4">
        <v>8925.2999999999993</v>
      </c>
      <c r="C8" s="272">
        <v>43936</v>
      </c>
      <c r="D8" s="4">
        <v>1368.4</v>
      </c>
      <c r="E8" s="271"/>
      <c r="F8" s="271"/>
      <c r="G8" s="273">
        <f>(B8-B7)/B7</f>
        <v>-7.6218749478811727E-3</v>
      </c>
      <c r="H8" s="4">
        <f t="shared" si="0"/>
        <v>5.0925819259805528E-2</v>
      </c>
      <c r="I8" s="271"/>
      <c r="J8" s="4"/>
    </row>
    <row r="9" spans="1:12" ht="14.25" customHeight="1" x14ac:dyDescent="0.3">
      <c r="A9" s="272">
        <v>43937</v>
      </c>
      <c r="B9" s="4">
        <v>8992.7999999999993</v>
      </c>
      <c r="C9" s="272">
        <v>43937</v>
      </c>
      <c r="D9" s="4">
        <v>1365.93</v>
      </c>
      <c r="E9" s="271"/>
      <c r="F9" s="271"/>
      <c r="G9" s="273">
        <f>(B9-B8)/B8</f>
        <v>7.5627709992941421E-3</v>
      </c>
      <c r="H9" s="4">
        <f t="shared" si="0"/>
        <v>-1.8050277696580145E-3</v>
      </c>
      <c r="I9" s="271"/>
      <c r="J9" s="4"/>
    </row>
    <row r="10" spans="1:12" ht="14.25" customHeight="1" x14ac:dyDescent="0.3">
      <c r="A10" s="272">
        <v>43938</v>
      </c>
      <c r="B10" s="4">
        <v>9266.75</v>
      </c>
      <c r="C10" s="272">
        <v>43938</v>
      </c>
      <c r="D10" s="4">
        <v>1344.39</v>
      </c>
      <c r="E10" s="271"/>
      <c r="F10" s="271"/>
      <c r="G10" s="273">
        <f>(B10-B9)/B9</f>
        <v>3.0463259496486161E-2</v>
      </c>
      <c r="H10" s="4">
        <f t="shared" si="0"/>
        <v>-1.576947574180226E-2</v>
      </c>
      <c r="I10" s="271"/>
      <c r="J10" s="4"/>
    </row>
    <row r="11" spans="1:12" ht="14.25" customHeight="1" x14ac:dyDescent="0.3">
      <c r="A11" s="272">
        <v>43941</v>
      </c>
      <c r="B11" s="4">
        <v>9261.85</v>
      </c>
      <c r="C11" s="272">
        <v>43941</v>
      </c>
      <c r="D11" s="4">
        <v>1388.5</v>
      </c>
      <c r="E11" s="271"/>
      <c r="F11" s="271"/>
      <c r="G11" s="273">
        <f>(B11-B10)/B10</f>
        <v>-5.287722232713342E-4</v>
      </c>
      <c r="H11" s="4">
        <f t="shared" si="0"/>
        <v>3.2810419595504202E-2</v>
      </c>
      <c r="I11" s="271"/>
      <c r="J11" s="4"/>
    </row>
    <row r="12" spans="1:12" ht="14.25" customHeight="1" x14ac:dyDescent="0.3">
      <c r="A12" s="272">
        <v>43942</v>
      </c>
      <c r="B12" s="4">
        <v>8981.4500000000007</v>
      </c>
      <c r="C12" s="272">
        <v>43942</v>
      </c>
      <c r="D12" s="4">
        <v>1349.23</v>
      </c>
      <c r="E12" s="271"/>
      <c r="F12" s="271"/>
      <c r="G12" s="273">
        <f>(B12-B11)/B11</f>
        <v>-3.0274729130789164E-2</v>
      </c>
      <c r="H12" s="4">
        <f t="shared" si="0"/>
        <v>-2.8282319049333801E-2</v>
      </c>
      <c r="I12" s="271"/>
      <c r="J12" s="4"/>
    </row>
    <row r="13" spans="1:12" ht="14.25" customHeight="1" x14ac:dyDescent="0.3">
      <c r="A13" s="272">
        <v>43943</v>
      </c>
      <c r="B13" s="4">
        <v>9187.2999999999993</v>
      </c>
      <c r="C13" s="272">
        <v>43943</v>
      </c>
      <c r="D13" s="4">
        <v>1319.96</v>
      </c>
      <c r="E13" s="271"/>
      <c r="F13" s="271"/>
      <c r="G13" s="273">
        <f>(B13-B12)/B12</f>
        <v>2.2919461779556588E-2</v>
      </c>
      <c r="H13" s="4">
        <f t="shared" si="0"/>
        <v>-2.1693855013600338E-2</v>
      </c>
      <c r="I13" s="271"/>
      <c r="J13" s="4"/>
    </row>
    <row r="14" spans="1:12" ht="14.25" customHeight="1" x14ac:dyDescent="0.3">
      <c r="A14" s="272">
        <v>43944</v>
      </c>
      <c r="B14" s="4">
        <v>9313.9</v>
      </c>
      <c r="C14" s="272">
        <v>43944</v>
      </c>
      <c r="D14" s="4">
        <v>1357.84</v>
      </c>
      <c r="E14" s="271"/>
      <c r="F14" s="271"/>
      <c r="G14" s="273">
        <f>(B14-B13)/B13</f>
        <v>1.3779891807168631E-2</v>
      </c>
      <c r="H14" s="4">
        <f t="shared" si="0"/>
        <v>2.8697839328464408E-2</v>
      </c>
      <c r="I14" s="271"/>
      <c r="J14" s="4"/>
    </row>
    <row r="15" spans="1:12" ht="14.25" customHeight="1" x14ac:dyDescent="0.3">
      <c r="A15" s="272">
        <v>43945</v>
      </c>
      <c r="B15" s="4">
        <v>9154.4</v>
      </c>
      <c r="C15" s="272">
        <v>43945</v>
      </c>
      <c r="D15" s="4">
        <v>1334.25</v>
      </c>
      <c r="E15" s="271"/>
      <c r="F15" s="271"/>
      <c r="G15" s="273">
        <f>(B15-B14)/B14</f>
        <v>-1.7124942290554977E-2</v>
      </c>
      <c r="H15" s="4">
        <f t="shared" si="0"/>
        <v>-1.7373180934425206E-2</v>
      </c>
      <c r="I15" s="271"/>
      <c r="J15" s="4"/>
    </row>
    <row r="16" spans="1:12" ht="14.25" customHeight="1" x14ac:dyDescent="0.3">
      <c r="A16" s="272">
        <v>43948</v>
      </c>
      <c r="B16" s="4">
        <v>9282.2999999999993</v>
      </c>
      <c r="C16" s="272">
        <v>43948</v>
      </c>
      <c r="D16" s="4">
        <v>1349.93</v>
      </c>
      <c r="E16" s="271"/>
      <c r="F16" s="271"/>
      <c r="G16" s="273">
        <f>(B16-B15)/B15</f>
        <v>1.3971423577733073E-2</v>
      </c>
      <c r="H16" s="4">
        <f t="shared" si="0"/>
        <v>1.1751920554618748E-2</v>
      </c>
      <c r="I16" s="271"/>
      <c r="J16" s="4"/>
      <c r="L16" s="1" t="s">
        <v>354</v>
      </c>
    </row>
    <row r="17" spans="1:20" ht="15" customHeight="1" thickBot="1" x14ac:dyDescent="0.35">
      <c r="A17" s="272">
        <v>43949</v>
      </c>
      <c r="B17" s="4">
        <v>9380.9</v>
      </c>
      <c r="C17" s="272">
        <v>43949</v>
      </c>
      <c r="D17" s="4">
        <v>1364.07</v>
      </c>
      <c r="E17" s="271"/>
      <c r="F17" s="271"/>
      <c r="G17" s="273">
        <f>(B17-B16)/B16</f>
        <v>1.0622367301207716E-2</v>
      </c>
      <c r="H17" s="4">
        <f t="shared" si="0"/>
        <v>1.0474617202373361E-2</v>
      </c>
      <c r="I17" s="271"/>
      <c r="J17" s="4"/>
    </row>
    <row r="18" spans="1:20" ht="14.25" customHeight="1" x14ac:dyDescent="0.3">
      <c r="A18" s="272">
        <v>43950</v>
      </c>
      <c r="B18" s="4">
        <v>9553.35</v>
      </c>
      <c r="C18" s="272">
        <v>43950</v>
      </c>
      <c r="D18" s="4">
        <v>1363.33</v>
      </c>
      <c r="E18" s="271"/>
      <c r="F18" s="271"/>
      <c r="G18" s="273">
        <f>(B18-B17)/B17</f>
        <v>1.8383097570595652E-2</v>
      </c>
      <c r="H18" s="4">
        <f t="shared" si="0"/>
        <v>-5.4249415352585211E-4</v>
      </c>
      <c r="I18" s="271"/>
      <c r="J18" s="4"/>
      <c r="L18" s="211" t="s">
        <v>355</v>
      </c>
      <c r="M18" s="211"/>
    </row>
    <row r="19" spans="1:20" ht="14.25" customHeight="1" x14ac:dyDescent="0.3">
      <c r="A19" s="272">
        <v>43951</v>
      </c>
      <c r="B19" s="4">
        <v>9859.9</v>
      </c>
      <c r="C19" s="272">
        <v>43951</v>
      </c>
      <c r="D19" s="4">
        <v>1482.35</v>
      </c>
      <c r="E19" s="271"/>
      <c r="F19" s="271"/>
      <c r="G19" s="273">
        <f>(B19-B18)/B18</f>
        <v>3.2088220362490566E-2</v>
      </c>
      <c r="H19" s="4">
        <f t="shared" si="0"/>
        <v>8.7300946946080538E-2</v>
      </c>
      <c r="I19" s="271"/>
      <c r="J19" s="4"/>
      <c r="L19" s="1" t="s">
        <v>356</v>
      </c>
      <c r="M19" s="1">
        <v>0.399710738259064</v>
      </c>
    </row>
    <row r="20" spans="1:20" ht="14.25" customHeight="1" x14ac:dyDescent="0.3">
      <c r="A20" s="272">
        <v>43955</v>
      </c>
      <c r="B20" s="4">
        <v>9293.5</v>
      </c>
      <c r="C20" s="272">
        <v>43955</v>
      </c>
      <c r="D20" s="4">
        <v>1438.05</v>
      </c>
      <c r="E20" s="271"/>
      <c r="F20" s="271"/>
      <c r="G20" s="273">
        <f>(B20-B19)/B19</f>
        <v>-5.7444801671416509E-2</v>
      </c>
      <c r="H20" s="4">
        <f t="shared" si="0"/>
        <v>-2.9884979930515705E-2</v>
      </c>
      <c r="I20" s="271"/>
      <c r="J20" s="4"/>
      <c r="L20" s="1" t="s">
        <v>357</v>
      </c>
      <c r="M20" s="1">
        <v>0.159768674279606</v>
      </c>
    </row>
    <row r="21" spans="1:20" ht="14.25" customHeight="1" x14ac:dyDescent="0.3">
      <c r="A21" s="272">
        <v>43956</v>
      </c>
      <c r="B21" s="4">
        <v>9205.6</v>
      </c>
      <c r="C21" s="272">
        <v>43956</v>
      </c>
      <c r="D21" s="4">
        <v>1428.79</v>
      </c>
      <c r="E21" s="271"/>
      <c r="F21" s="271"/>
      <c r="G21" s="273">
        <f>(B21-B20)/B20</f>
        <v>-9.4582234895356585E-3</v>
      </c>
      <c r="H21" s="4">
        <f t="shared" si="0"/>
        <v>-6.4392754076701029E-3</v>
      </c>
      <c r="I21" s="271"/>
      <c r="J21" s="4"/>
      <c r="L21" s="1" t="s">
        <v>358</v>
      </c>
      <c r="M21" s="1">
        <v>0.159200182178307</v>
      </c>
    </row>
    <row r="22" spans="1:20" ht="14.25" customHeight="1" x14ac:dyDescent="0.3">
      <c r="A22" s="272">
        <v>43957</v>
      </c>
      <c r="B22" s="4">
        <v>9270.9</v>
      </c>
      <c r="C22" s="272">
        <v>43957</v>
      </c>
      <c r="D22" s="4">
        <v>1429.44</v>
      </c>
      <c r="E22" s="271"/>
      <c r="F22" s="271"/>
      <c r="G22" s="273">
        <f>(B22-B21)/B21</f>
        <v>7.0935082992960013E-3</v>
      </c>
      <c r="H22" s="4">
        <f t="shared" si="0"/>
        <v>4.5493039564952929E-4</v>
      </c>
      <c r="I22" s="271"/>
      <c r="J22" s="4"/>
      <c r="L22" s="1" t="s">
        <v>359</v>
      </c>
      <c r="M22" s="1">
        <v>1.8849085182757502E-2</v>
      </c>
    </row>
    <row r="23" spans="1:20" ht="15" customHeight="1" thickBot="1" x14ac:dyDescent="0.35">
      <c r="A23" s="272">
        <v>43958</v>
      </c>
      <c r="B23" s="4">
        <v>9199.0499999999993</v>
      </c>
      <c r="C23" s="272">
        <v>43958</v>
      </c>
      <c r="D23" s="4">
        <v>1482.62</v>
      </c>
      <c r="E23" s="271"/>
      <c r="F23" s="271"/>
      <c r="G23" s="273">
        <f>(B23-B22)/B22</f>
        <v>-7.7500566288063047E-3</v>
      </c>
      <c r="H23" s="4">
        <f t="shared" si="0"/>
        <v>3.7203380344750278E-2</v>
      </c>
      <c r="I23" s="271"/>
      <c r="J23" s="4"/>
      <c r="L23" s="110" t="s">
        <v>360</v>
      </c>
      <c r="M23" s="110">
        <v>1480</v>
      </c>
    </row>
    <row r="24" spans="1:20" ht="14.25" customHeight="1" x14ac:dyDescent="0.3">
      <c r="A24" s="272">
        <v>43959</v>
      </c>
      <c r="B24" s="4">
        <v>9251.5</v>
      </c>
      <c r="C24" s="272">
        <v>43959</v>
      </c>
      <c r="D24" s="4">
        <v>1474.62</v>
      </c>
      <c r="E24" s="271"/>
      <c r="F24" s="271"/>
      <c r="G24" s="273">
        <f>(B24-B23)/B23</f>
        <v>5.7016757165142852E-3</v>
      </c>
      <c r="H24" s="4">
        <f t="shared" si="0"/>
        <v>-5.3958532867491339E-3</v>
      </c>
      <c r="I24" s="271"/>
      <c r="J24" s="4"/>
    </row>
    <row r="25" spans="1:20" ht="15" customHeight="1" thickBot="1" x14ac:dyDescent="0.35">
      <c r="A25" s="272">
        <v>43962</v>
      </c>
      <c r="B25" s="4">
        <v>9239.2000000000007</v>
      </c>
      <c r="C25" s="272">
        <v>43962</v>
      </c>
      <c r="D25" s="4">
        <v>1502.12</v>
      </c>
      <c r="E25" s="271"/>
      <c r="F25" s="271"/>
      <c r="G25" s="273">
        <f>(B25-B24)/B24</f>
        <v>-1.329514132843244E-3</v>
      </c>
      <c r="H25" s="4">
        <f t="shared" si="0"/>
        <v>1.8648872251834373E-2</v>
      </c>
      <c r="I25" s="271"/>
      <c r="J25" s="4"/>
      <c r="L25" s="1" t="s">
        <v>361</v>
      </c>
    </row>
    <row r="26" spans="1:20" ht="14.25" customHeight="1" x14ac:dyDescent="0.3">
      <c r="A26" s="272">
        <v>43963</v>
      </c>
      <c r="B26" s="4">
        <v>9196.5499999999993</v>
      </c>
      <c r="C26" s="272">
        <v>43963</v>
      </c>
      <c r="D26" s="4">
        <v>1533.9</v>
      </c>
      <c r="E26" s="271"/>
      <c r="F26" s="271"/>
      <c r="G26" s="273">
        <f>(B26-B25)/B25</f>
        <v>-4.6162005368431741E-3</v>
      </c>
      <c r="H26" s="4">
        <f t="shared" si="0"/>
        <v>2.1156765105317953E-2</v>
      </c>
      <c r="I26" s="271"/>
      <c r="J26" s="4"/>
      <c r="L26" s="109"/>
      <c r="M26" s="109" t="s">
        <v>362</v>
      </c>
      <c r="N26" s="109" t="s">
        <v>363</v>
      </c>
      <c r="O26" s="109" t="s">
        <v>364</v>
      </c>
      <c r="P26" s="109" t="s">
        <v>365</v>
      </c>
      <c r="Q26" s="109" t="s">
        <v>366</v>
      </c>
    </row>
    <row r="27" spans="1:20" ht="14.25" customHeight="1" x14ac:dyDescent="0.3">
      <c r="A27" s="272">
        <v>43964</v>
      </c>
      <c r="B27" s="4">
        <v>9383.5499999999993</v>
      </c>
      <c r="C27" s="272">
        <v>43964</v>
      </c>
      <c r="D27" s="4">
        <v>1541.44</v>
      </c>
      <c r="E27" s="271"/>
      <c r="F27" s="271"/>
      <c r="G27" s="273">
        <f>(B27-B26)/B26</f>
        <v>2.03337120985587E-2</v>
      </c>
      <c r="H27" s="4">
        <f t="shared" si="0"/>
        <v>4.9155746789229827E-3</v>
      </c>
      <c r="I27" s="271"/>
      <c r="J27" s="4"/>
      <c r="L27" s="1" t="s">
        <v>367</v>
      </c>
      <c r="M27" s="1">
        <v>1</v>
      </c>
      <c r="N27" s="1">
        <v>9.9849926799656805E-2</v>
      </c>
      <c r="O27" s="1">
        <v>9.9849926799656805E-2</v>
      </c>
      <c r="P27">
        <v>281.03939160182898</v>
      </c>
      <c r="Q27" s="1">
        <v>6.9906566738489794E-58</v>
      </c>
    </row>
    <row r="28" spans="1:20" ht="14.25" customHeight="1" x14ac:dyDescent="0.3">
      <c r="A28" s="272">
        <v>43965</v>
      </c>
      <c r="B28" s="4">
        <v>9142.75</v>
      </c>
      <c r="C28" s="272">
        <v>43965</v>
      </c>
      <c r="D28" s="4">
        <v>1533.81</v>
      </c>
      <c r="E28" s="271"/>
      <c r="F28" s="271"/>
      <c r="G28" s="273">
        <f>(B28-B27)/B27</f>
        <v>-2.5661929653489277E-2</v>
      </c>
      <c r="H28" s="4">
        <f t="shared" si="0"/>
        <v>-4.9499169607640312E-3</v>
      </c>
      <c r="I28" s="271"/>
      <c r="J28" s="4"/>
      <c r="L28" s="1" t="s">
        <v>368</v>
      </c>
      <c r="M28" s="1">
        <v>1478</v>
      </c>
      <c r="N28" s="1">
        <v>0.52511568207128201</v>
      </c>
      <c r="O28" s="1">
        <v>3.5528801222684903E-4</v>
      </c>
    </row>
    <row r="29" spans="1:20" ht="15" customHeight="1" thickBot="1" x14ac:dyDescent="0.35">
      <c r="A29" s="272">
        <v>43966</v>
      </c>
      <c r="B29" s="4">
        <v>9136.85</v>
      </c>
      <c r="C29" s="272">
        <v>43966</v>
      </c>
      <c r="D29" s="4">
        <v>1531.53</v>
      </c>
      <c r="E29" s="271"/>
      <c r="F29" s="271"/>
      <c r="G29" s="273">
        <f>(B29-B28)/B28</f>
        <v>-6.4532006234444082E-4</v>
      </c>
      <c r="H29" s="4">
        <f t="shared" si="0"/>
        <v>-1.4864944158663543E-3</v>
      </c>
      <c r="I29" s="271"/>
      <c r="J29" s="4"/>
      <c r="L29" s="110" t="s">
        <v>52</v>
      </c>
      <c r="M29" s="110">
        <v>1479</v>
      </c>
      <c r="N29" s="110">
        <v>0.62496560887093899</v>
      </c>
      <c r="O29" s="110"/>
      <c r="P29" s="110"/>
      <c r="Q29" s="110"/>
    </row>
    <row r="30" spans="1:20" ht="15" customHeight="1" thickBot="1" x14ac:dyDescent="0.35">
      <c r="A30" s="272">
        <v>43969</v>
      </c>
      <c r="B30" s="4">
        <v>8823.25</v>
      </c>
      <c r="C30" s="272">
        <v>43969</v>
      </c>
      <c r="D30" s="4">
        <v>1531.39</v>
      </c>
      <c r="E30" s="271"/>
      <c r="F30" s="271"/>
      <c r="G30" s="273">
        <f>(B30-B29)/B29</f>
        <v>-3.4322550988579253E-2</v>
      </c>
      <c r="H30" s="4">
        <f t="shared" si="0"/>
        <v>-9.1411856117655334E-5</v>
      </c>
      <c r="I30" s="271"/>
      <c r="J30" s="4"/>
    </row>
    <row r="31" spans="1:20" ht="14.25" customHeight="1" x14ac:dyDescent="0.3">
      <c r="A31" s="272">
        <v>43970</v>
      </c>
      <c r="B31" s="4">
        <v>8879.1</v>
      </c>
      <c r="C31" s="272">
        <v>43970</v>
      </c>
      <c r="D31" s="4">
        <v>1554.19</v>
      </c>
      <c r="E31" s="271"/>
      <c r="F31" s="271"/>
      <c r="G31" s="273">
        <f>(B31-B30)/B30</f>
        <v>6.3298671124586026E-3</v>
      </c>
      <c r="H31" s="4">
        <f t="shared" si="0"/>
        <v>1.4888434690052797E-2</v>
      </c>
      <c r="I31" s="271"/>
      <c r="J31" s="4"/>
      <c r="L31" s="109"/>
      <c r="M31" s="109" t="s">
        <v>369</v>
      </c>
      <c r="N31" s="109" t="s">
        <v>359</v>
      </c>
      <c r="O31" s="109" t="s">
        <v>370</v>
      </c>
      <c r="P31" s="109" t="s">
        <v>371</v>
      </c>
      <c r="Q31" s="109" t="s">
        <v>372</v>
      </c>
      <c r="R31" s="109" t="s">
        <v>373</v>
      </c>
      <c r="S31" s="109" t="s">
        <v>374</v>
      </c>
      <c r="T31" s="109" t="s">
        <v>375</v>
      </c>
    </row>
    <row r="32" spans="1:20" ht="14.25" customHeight="1" x14ac:dyDescent="0.3">
      <c r="A32" s="272">
        <v>43971</v>
      </c>
      <c r="B32" s="4">
        <v>9066.5499999999993</v>
      </c>
      <c r="C32" s="272">
        <v>43971</v>
      </c>
      <c r="D32" s="4">
        <v>1660.13</v>
      </c>
      <c r="E32" s="271"/>
      <c r="F32" s="271"/>
      <c r="G32" s="273">
        <f>(B32-B31)/B31</f>
        <v>2.111137390050781E-2</v>
      </c>
      <c r="H32" s="4">
        <f t="shared" si="0"/>
        <v>6.8164124077493782E-2</v>
      </c>
      <c r="I32" s="271"/>
      <c r="J32" s="4"/>
      <c r="L32" s="1" t="s">
        <v>376</v>
      </c>
      <c r="M32" s="1">
        <v>3.7025713579786999E-4</v>
      </c>
      <c r="N32" s="1">
        <v>4.9128236249289703E-4</v>
      </c>
      <c r="O32" s="1">
        <v>0.75365444409420101</v>
      </c>
      <c r="P32">
        <v>0.45117678307239401</v>
      </c>
      <c r="Q32" s="1">
        <v>-5.9342777127901797E-4</v>
      </c>
      <c r="R32" s="1">
        <v>1.33394204287476E-3</v>
      </c>
      <c r="S32" s="1">
        <v>-5.9342777127901797E-4</v>
      </c>
      <c r="T32" s="1">
        <v>1.33394204287476E-3</v>
      </c>
    </row>
    <row r="33" spans="1:20" ht="15" customHeight="1" thickBot="1" x14ac:dyDescent="0.35">
      <c r="A33" s="272">
        <v>43972</v>
      </c>
      <c r="B33" s="4">
        <v>9106.25</v>
      </c>
      <c r="C33" s="272">
        <v>43972</v>
      </c>
      <c r="D33" s="4">
        <v>1660.97</v>
      </c>
      <c r="E33" s="271"/>
      <c r="F33" s="271"/>
      <c r="G33" s="273">
        <f>(B33-B32)/B32</f>
        <v>4.3787328145767392E-3</v>
      </c>
      <c r="H33" s="4">
        <f t="shared" si="0"/>
        <v>5.0598447109558779E-4</v>
      </c>
      <c r="I33" s="271"/>
      <c r="J33" s="4"/>
      <c r="L33" s="110" t="s">
        <v>377</v>
      </c>
      <c r="M33" s="110">
        <v>0.83831404136440801</v>
      </c>
      <c r="N33" s="110">
        <v>5.0006118089837501E-2</v>
      </c>
      <c r="O33" s="110">
        <v>16.7642295260422</v>
      </c>
      <c r="P33" s="110">
        <v>6.9906566738567602E-58</v>
      </c>
      <c r="Q33" s="110">
        <v>0.74022352368298505</v>
      </c>
      <c r="R33" s="110">
        <v>0.93640455904583197</v>
      </c>
      <c r="S33" s="110">
        <v>0.74022352368298505</v>
      </c>
      <c r="T33" s="110">
        <v>0.93640455904583197</v>
      </c>
    </row>
    <row r="34" spans="1:20" ht="14.25" customHeight="1" x14ac:dyDescent="0.3">
      <c r="A34" s="272">
        <v>43973</v>
      </c>
      <c r="B34" s="4">
        <v>9039.25</v>
      </c>
      <c r="C34" s="272">
        <v>43973</v>
      </c>
      <c r="D34" s="4">
        <v>1662.6</v>
      </c>
      <c r="E34" s="271"/>
      <c r="F34" s="271"/>
      <c r="G34" s="273">
        <f>(B34-B33)/B33</f>
        <v>-7.3575840768702813E-3</v>
      </c>
      <c r="H34" s="4">
        <f t="shared" si="0"/>
        <v>9.8135426889099848E-4</v>
      </c>
      <c r="I34" s="271"/>
      <c r="J34" s="4"/>
    </row>
    <row r="35" spans="1:20" ht="14.25" customHeight="1" x14ac:dyDescent="0.3">
      <c r="A35" s="272">
        <v>43977</v>
      </c>
      <c r="B35" s="4">
        <v>9029.0499999999993</v>
      </c>
      <c r="C35" s="272">
        <v>43977</v>
      </c>
      <c r="D35" s="4">
        <v>1663.15</v>
      </c>
      <c r="E35" s="271"/>
      <c r="F35" s="271"/>
      <c r="G35" s="273">
        <f>(B35-B34)/B34</f>
        <v>-1.1284122023398765E-3</v>
      </c>
      <c r="H35" s="4">
        <f t="shared" si="0"/>
        <v>3.3080716949367373E-4</v>
      </c>
      <c r="I35" s="271"/>
      <c r="J35" s="4"/>
    </row>
    <row r="36" spans="1:20" ht="14.25" customHeight="1" x14ac:dyDescent="0.3">
      <c r="A36" s="272">
        <v>43978</v>
      </c>
      <c r="B36" s="4">
        <v>9314.9500000000007</v>
      </c>
      <c r="C36" s="272">
        <v>43978</v>
      </c>
      <c r="D36" s="4">
        <v>1669.62</v>
      </c>
      <c r="E36" s="271"/>
      <c r="F36" s="271"/>
      <c r="G36" s="273">
        <f>(B36-B35)/B35</f>
        <v>3.1664460823674856E-2</v>
      </c>
      <c r="H36" s="4">
        <f t="shared" si="0"/>
        <v>3.8902083395964283E-3</v>
      </c>
      <c r="I36" s="271"/>
      <c r="J36" s="4"/>
    </row>
    <row r="37" spans="1:20" ht="14.25" customHeight="1" x14ac:dyDescent="0.3">
      <c r="A37" s="272">
        <v>43979</v>
      </c>
      <c r="B37" s="4">
        <v>9490.1</v>
      </c>
      <c r="C37" s="272">
        <v>43979</v>
      </c>
      <c r="D37" s="4">
        <v>1668.88</v>
      </c>
      <c r="E37" s="271"/>
      <c r="F37" s="271"/>
      <c r="G37" s="273">
        <f>(B37-B36)/B36</f>
        <v>1.8803106833638356E-2</v>
      </c>
      <c r="H37" s="4">
        <f t="shared" si="0"/>
        <v>-4.4321462368669624E-4</v>
      </c>
      <c r="I37" s="271"/>
      <c r="J37" s="4"/>
    </row>
    <row r="38" spans="1:20" ht="14.25" customHeight="1" x14ac:dyDescent="0.3">
      <c r="A38" s="272">
        <v>43980</v>
      </c>
      <c r="B38" s="4">
        <v>9580.2999999999993</v>
      </c>
      <c r="C38" s="272">
        <v>43980</v>
      </c>
      <c r="D38" s="4">
        <v>1673.95</v>
      </c>
      <c r="E38" s="271"/>
      <c r="F38" s="271"/>
      <c r="G38" s="273">
        <f>(B38-B37)/B37</f>
        <v>9.5046416792234963E-3</v>
      </c>
      <c r="H38" s="4">
        <f t="shared" si="0"/>
        <v>3.037965581707454E-3</v>
      </c>
      <c r="I38" s="271"/>
      <c r="J38" s="4"/>
    </row>
    <row r="39" spans="1:20" ht="14.25" customHeight="1" x14ac:dyDescent="0.3">
      <c r="A39" s="272">
        <v>43983</v>
      </c>
      <c r="B39" s="4">
        <v>9826.15</v>
      </c>
      <c r="C39" s="272">
        <v>43983</v>
      </c>
      <c r="D39" s="4">
        <v>1714.99</v>
      </c>
      <c r="E39" s="271"/>
      <c r="F39" s="271"/>
      <c r="G39" s="273">
        <f>(B39-B38)/B38</f>
        <v>2.5662035635627318E-2</v>
      </c>
      <c r="H39" s="4">
        <f t="shared" si="0"/>
        <v>2.4516861316048844E-2</v>
      </c>
      <c r="I39" s="271"/>
      <c r="J39" s="4"/>
    </row>
    <row r="40" spans="1:20" ht="14.25" customHeight="1" x14ac:dyDescent="0.3">
      <c r="A40" s="272">
        <v>43984</v>
      </c>
      <c r="B40" s="4">
        <v>9979.1</v>
      </c>
      <c r="C40" s="272">
        <v>43984</v>
      </c>
      <c r="D40" s="4">
        <v>1729.5</v>
      </c>
      <c r="E40" s="271"/>
      <c r="F40" s="271"/>
      <c r="G40" s="273">
        <f>(B40-B39)/B39</f>
        <v>1.5565608096762286E-2</v>
      </c>
      <c r="H40" s="4">
        <f t="shared" si="0"/>
        <v>8.4606907328905658E-3</v>
      </c>
      <c r="I40" s="271"/>
      <c r="J40" s="4"/>
    </row>
    <row r="41" spans="1:20" ht="14.25" customHeight="1" x14ac:dyDescent="0.3">
      <c r="A41" s="272">
        <v>43985</v>
      </c>
      <c r="B41" s="4">
        <v>10061.549999999999</v>
      </c>
      <c r="C41" s="272">
        <v>43985</v>
      </c>
      <c r="D41" s="4">
        <v>1720.01</v>
      </c>
      <c r="E41" s="271"/>
      <c r="F41" s="271"/>
      <c r="G41" s="273">
        <f>(B41-B40)/B40</f>
        <v>8.2622681404133543E-3</v>
      </c>
      <c r="H41" s="4">
        <f t="shared" si="0"/>
        <v>-5.4871350101185368E-3</v>
      </c>
      <c r="I41" s="271"/>
      <c r="J41" s="4"/>
    </row>
    <row r="42" spans="1:20" ht="14.25" customHeight="1" x14ac:dyDescent="0.3">
      <c r="A42" s="272">
        <v>43986</v>
      </c>
      <c r="B42" s="4">
        <v>10029.1</v>
      </c>
      <c r="C42" s="272">
        <v>43986</v>
      </c>
      <c r="D42" s="4">
        <v>1732.02</v>
      </c>
      <c r="E42" s="271"/>
      <c r="F42" s="271"/>
      <c r="G42" s="273">
        <f>(B42-B41)/B41</f>
        <v>-3.2251492066330645E-3</v>
      </c>
      <c r="H42" s="4">
        <f t="shared" si="0"/>
        <v>6.9825175435026489E-3</v>
      </c>
      <c r="I42" s="271"/>
      <c r="J42" s="4"/>
    </row>
    <row r="43" spans="1:20" ht="14.25" customHeight="1" x14ac:dyDescent="0.3">
      <c r="A43" s="272">
        <v>43987</v>
      </c>
      <c r="B43" s="4">
        <v>10142.15</v>
      </c>
      <c r="C43" s="272">
        <v>43987</v>
      </c>
      <c r="D43" s="4">
        <v>1728.29</v>
      </c>
      <c r="E43" s="271"/>
      <c r="F43" s="271"/>
      <c r="G43" s="273">
        <f>(B43-B42)/B42</f>
        <v>1.1272197904098998E-2</v>
      </c>
      <c r="H43" s="4">
        <f t="shared" si="0"/>
        <v>-2.1535548088359364E-3</v>
      </c>
      <c r="I43" s="271"/>
      <c r="J43" s="4"/>
    </row>
    <row r="44" spans="1:20" ht="14.25" customHeight="1" x14ac:dyDescent="0.3">
      <c r="A44" s="272">
        <v>43990</v>
      </c>
      <c r="B44" s="4">
        <v>10167.450000000001</v>
      </c>
      <c r="C44" s="272">
        <v>43990</v>
      </c>
      <c r="D44" s="4">
        <v>1740.16</v>
      </c>
      <c r="E44" s="271"/>
      <c r="F44" s="271"/>
      <c r="G44" s="273">
        <f>(B44-B43)/B43</f>
        <v>2.4945401123037119E-3</v>
      </c>
      <c r="H44" s="4">
        <f t="shared" si="0"/>
        <v>6.8680603370962733E-3</v>
      </c>
      <c r="I44" s="271"/>
      <c r="J44" s="4"/>
    </row>
    <row r="45" spans="1:20" ht="14.25" customHeight="1" x14ac:dyDescent="0.3">
      <c r="A45" s="272">
        <v>43991</v>
      </c>
      <c r="B45" s="4">
        <v>10046.65</v>
      </c>
      <c r="C45" s="272">
        <v>43991</v>
      </c>
      <c r="D45" s="4">
        <v>1754.49</v>
      </c>
      <c r="E45" s="271"/>
      <c r="F45" s="271"/>
      <c r="G45" s="273">
        <f>(B45-B44)/B44</f>
        <v>-1.1881051787813176E-2</v>
      </c>
      <c r="H45" s="4">
        <f t="shared" si="0"/>
        <v>8.2348749540271729E-3</v>
      </c>
      <c r="I45" s="271"/>
      <c r="J45" s="4"/>
    </row>
    <row r="46" spans="1:20" ht="14.25" customHeight="1" x14ac:dyDescent="0.3">
      <c r="A46" s="272">
        <v>43992</v>
      </c>
      <c r="B46" s="4">
        <v>10116.15</v>
      </c>
      <c r="C46" s="272">
        <v>43992</v>
      </c>
      <c r="D46" s="4">
        <v>1756.44</v>
      </c>
      <c r="E46" s="271"/>
      <c r="F46" s="271"/>
      <c r="G46" s="273">
        <f>(B46-B45)/B45</f>
        <v>6.9177287951705298E-3</v>
      </c>
      <c r="H46" s="4">
        <f t="shared" si="0"/>
        <v>1.1114340919583727E-3</v>
      </c>
      <c r="I46" s="271"/>
      <c r="J46" s="4"/>
    </row>
    <row r="47" spans="1:20" ht="14.25" customHeight="1" x14ac:dyDescent="0.3">
      <c r="A47" s="272">
        <v>43993</v>
      </c>
      <c r="B47" s="4">
        <v>9902</v>
      </c>
      <c r="C47" s="272">
        <v>43993</v>
      </c>
      <c r="D47" s="4">
        <v>1740.53</v>
      </c>
      <c r="E47" s="271"/>
      <c r="F47" s="271"/>
      <c r="G47" s="273">
        <f>(B47-B46)/B46</f>
        <v>-2.1169120663493489E-2</v>
      </c>
      <c r="H47" s="4">
        <f t="shared" si="0"/>
        <v>-9.0580947826285445E-3</v>
      </c>
      <c r="I47" s="271"/>
      <c r="J47" s="4"/>
    </row>
    <row r="48" spans="1:20" ht="14.25" customHeight="1" x14ac:dyDescent="0.3">
      <c r="A48" s="272">
        <v>43994</v>
      </c>
      <c r="B48" s="4">
        <v>9972.9</v>
      </c>
      <c r="C48" s="272">
        <v>43994</v>
      </c>
      <c r="D48" s="4">
        <v>1721.55</v>
      </c>
      <c r="E48" s="271"/>
      <c r="F48" s="271"/>
      <c r="G48" s="273">
        <f>(B48-B47)/B47</f>
        <v>7.1601696626943682E-3</v>
      </c>
      <c r="H48" s="4">
        <f t="shared" si="0"/>
        <v>-1.0904724423020585E-2</v>
      </c>
      <c r="I48" s="271"/>
      <c r="J48" s="4"/>
    </row>
    <row r="49" spans="1:10" ht="14.25" customHeight="1" x14ac:dyDescent="0.3">
      <c r="A49" s="272">
        <v>43997</v>
      </c>
      <c r="B49" s="4">
        <v>9813.7000000000007</v>
      </c>
      <c r="C49" s="272">
        <v>43997</v>
      </c>
      <c r="D49" s="4">
        <v>1731.23</v>
      </c>
      <c r="E49" s="271"/>
      <c r="F49" s="271"/>
      <c r="G49" s="273">
        <f>(B49-B48)/B48</f>
        <v>-1.5963260435780859E-2</v>
      </c>
      <c r="H49" s="4">
        <f t="shared" si="0"/>
        <v>5.6228398826639152E-3</v>
      </c>
      <c r="I49" s="271"/>
      <c r="J49" s="4"/>
    </row>
    <row r="50" spans="1:10" ht="14.25" customHeight="1" x14ac:dyDescent="0.3">
      <c r="A50" s="272">
        <v>43998</v>
      </c>
      <c r="B50" s="4">
        <v>9914</v>
      </c>
      <c r="C50" s="272">
        <v>43998</v>
      </c>
      <c r="D50" s="4">
        <v>1745.79</v>
      </c>
      <c r="E50" s="271"/>
      <c r="F50" s="271"/>
      <c r="G50" s="273">
        <f>(B50-B49)/B49</f>
        <v>1.022040616688907E-2</v>
      </c>
      <c r="H50" s="4">
        <f t="shared" si="0"/>
        <v>8.4102054608572781E-3</v>
      </c>
      <c r="I50" s="271"/>
      <c r="J50" s="4"/>
    </row>
    <row r="51" spans="1:10" ht="14.25" customHeight="1" x14ac:dyDescent="0.3">
      <c r="A51" s="272">
        <v>43999</v>
      </c>
      <c r="B51" s="4">
        <v>9881.15</v>
      </c>
      <c r="C51" s="272">
        <v>43999</v>
      </c>
      <c r="D51" s="4">
        <v>1751.7</v>
      </c>
      <c r="E51" s="271"/>
      <c r="F51" s="271"/>
      <c r="G51" s="273">
        <f>(B51-B50)/B50</f>
        <v>-3.3134960661690906E-3</v>
      </c>
      <c r="H51" s="4">
        <f t="shared" si="0"/>
        <v>3.3852868901758414E-3</v>
      </c>
      <c r="I51" s="271"/>
      <c r="J51" s="4"/>
    </row>
    <row r="52" spans="1:10" ht="14.25" customHeight="1" x14ac:dyDescent="0.3">
      <c r="A52" s="272">
        <v>44000</v>
      </c>
      <c r="B52" s="4">
        <v>10091.65</v>
      </c>
      <c r="C52" s="272">
        <v>44000</v>
      </c>
      <c r="D52" s="4">
        <v>1747.42</v>
      </c>
      <c r="E52" s="271"/>
      <c r="F52" s="271"/>
      <c r="G52" s="273">
        <f>(B52-B51)/B51</f>
        <v>2.1303188394063446E-2</v>
      </c>
      <c r="H52" s="4">
        <f t="shared" si="0"/>
        <v>-2.4433407546954229E-3</v>
      </c>
      <c r="I52" s="271"/>
      <c r="J52" s="4"/>
    </row>
    <row r="53" spans="1:10" ht="14.25" customHeight="1" x14ac:dyDescent="0.3">
      <c r="A53" s="272">
        <v>44001</v>
      </c>
      <c r="B53" s="4">
        <v>10244.4</v>
      </c>
      <c r="C53" s="272">
        <v>44001</v>
      </c>
      <c r="D53" s="4">
        <v>1740.02</v>
      </c>
      <c r="E53" s="271"/>
      <c r="F53" s="271"/>
      <c r="G53" s="273">
        <f>(B53-B52)/B52</f>
        <v>1.513627603018337E-2</v>
      </c>
      <c r="H53" s="4">
        <f t="shared" si="0"/>
        <v>-4.2348147554681134E-3</v>
      </c>
      <c r="I53" s="271"/>
      <c r="J53" s="4"/>
    </row>
    <row r="54" spans="1:10" ht="14.25" customHeight="1" x14ac:dyDescent="0.3">
      <c r="A54" s="272">
        <v>44004</v>
      </c>
      <c r="B54" s="4">
        <v>10311.200000000001</v>
      </c>
      <c r="C54" s="272">
        <v>44004</v>
      </c>
      <c r="D54" s="4">
        <v>1747.14</v>
      </c>
      <c r="E54" s="271"/>
      <c r="F54" s="271"/>
      <c r="G54" s="273">
        <f>(B54-B53)/B53</f>
        <v>6.5206356643630762E-3</v>
      </c>
      <c r="H54" s="4">
        <f t="shared" si="0"/>
        <v>4.0919069895749005E-3</v>
      </c>
      <c r="I54" s="271"/>
      <c r="J54" s="4"/>
    </row>
    <row r="55" spans="1:10" ht="14.25" customHeight="1" x14ac:dyDescent="0.3">
      <c r="A55" s="272">
        <v>44005</v>
      </c>
      <c r="B55" s="4">
        <v>10471</v>
      </c>
      <c r="C55" s="272">
        <v>44005</v>
      </c>
      <c r="D55" s="4">
        <v>1754.4</v>
      </c>
      <c r="E55" s="271"/>
      <c r="F55" s="271"/>
      <c r="G55" s="273">
        <f>(B55-B54)/B54</f>
        <v>1.5497711226627285E-2</v>
      </c>
      <c r="H55" s="4">
        <f t="shared" si="0"/>
        <v>4.1553624781070723E-3</v>
      </c>
      <c r="I55" s="271"/>
      <c r="J55" s="4"/>
    </row>
    <row r="56" spans="1:10" ht="14.25" customHeight="1" x14ac:dyDescent="0.3">
      <c r="A56" s="272">
        <v>44006</v>
      </c>
      <c r="B56" s="4">
        <v>10305.299999999999</v>
      </c>
      <c r="C56" s="272">
        <v>44006</v>
      </c>
      <c r="D56" s="4">
        <v>1792.64</v>
      </c>
      <c r="E56" s="271"/>
      <c r="F56" s="271"/>
      <c r="G56" s="273">
        <f>(B56-B55)/B55</f>
        <v>-1.5824658580842397E-2</v>
      </c>
      <c r="H56" s="4">
        <f t="shared" si="0"/>
        <v>2.1796625626994987E-2</v>
      </c>
      <c r="I56" s="271"/>
      <c r="J56" s="4"/>
    </row>
    <row r="57" spans="1:10" ht="14.25" customHeight="1" x14ac:dyDescent="0.3">
      <c r="A57" s="272">
        <v>44007</v>
      </c>
      <c r="B57" s="4">
        <v>10288.9</v>
      </c>
      <c r="C57" s="272">
        <v>44007</v>
      </c>
      <c r="D57" s="4">
        <v>1761.38</v>
      </c>
      <c r="E57" s="271"/>
      <c r="F57" s="271"/>
      <c r="G57" s="273">
        <f>(B57-B56)/B56</f>
        <v>-1.5914141267114627E-3</v>
      </c>
      <c r="H57" s="4">
        <f t="shared" si="0"/>
        <v>-1.7437968582649049E-2</v>
      </c>
      <c r="I57" s="271"/>
      <c r="J57" s="4"/>
    </row>
    <row r="58" spans="1:10" ht="14.25" customHeight="1" x14ac:dyDescent="0.3">
      <c r="A58" s="272">
        <v>44008</v>
      </c>
      <c r="B58" s="4">
        <v>10383</v>
      </c>
      <c r="C58" s="272">
        <v>44008</v>
      </c>
      <c r="D58" s="4">
        <v>1794.78</v>
      </c>
      <c r="E58" s="271"/>
      <c r="F58" s="271"/>
      <c r="G58" s="273">
        <f>(B58-B57)/B57</f>
        <v>9.1457784602824756E-3</v>
      </c>
      <c r="H58" s="4">
        <f t="shared" si="0"/>
        <v>1.8962404478306702E-2</v>
      </c>
      <c r="I58" s="271"/>
      <c r="J58" s="4"/>
    </row>
    <row r="59" spans="1:10" ht="14.25" customHeight="1" x14ac:dyDescent="0.3">
      <c r="A59" s="272">
        <v>44011</v>
      </c>
      <c r="B59" s="4">
        <v>10312.4</v>
      </c>
      <c r="C59" s="272">
        <v>44011</v>
      </c>
      <c r="D59" s="4">
        <v>1802</v>
      </c>
      <c r="E59" s="271"/>
      <c r="F59" s="271"/>
      <c r="G59" s="273">
        <f>(B59-B58)/B58</f>
        <v>-6.7995762303766118E-3</v>
      </c>
      <c r="H59" s="4">
        <f t="shared" si="0"/>
        <v>4.0227771648893053E-3</v>
      </c>
      <c r="I59" s="271"/>
      <c r="J59" s="4"/>
    </row>
    <row r="60" spans="1:10" ht="14.25" customHeight="1" x14ac:dyDescent="0.3">
      <c r="A60" s="272">
        <v>44012</v>
      </c>
      <c r="B60" s="4">
        <v>10302.1</v>
      </c>
      <c r="C60" s="272">
        <v>44012</v>
      </c>
      <c r="D60" s="4">
        <v>1821.96</v>
      </c>
      <c r="E60" s="271"/>
      <c r="F60" s="271"/>
      <c r="G60" s="273">
        <f>(B60-B59)/B59</f>
        <v>-9.987975640975207E-4</v>
      </c>
      <c r="H60" s="4">
        <f t="shared" si="0"/>
        <v>1.1076581576026657E-2</v>
      </c>
      <c r="I60" s="271"/>
      <c r="J60" s="4"/>
    </row>
    <row r="61" spans="1:10" ht="14.25" customHeight="1" x14ac:dyDescent="0.3">
      <c r="A61" s="272">
        <v>44013</v>
      </c>
      <c r="B61" s="4">
        <v>10430.049999999999</v>
      </c>
      <c r="C61" s="272">
        <v>44013</v>
      </c>
      <c r="D61" s="4">
        <v>1802.88</v>
      </c>
      <c r="E61" s="271"/>
      <c r="F61" s="271"/>
      <c r="G61" s="273">
        <f>(B61-B60)/B60</f>
        <v>1.2419797905281341E-2</v>
      </c>
      <c r="H61" s="4">
        <f t="shared" si="0"/>
        <v>-1.0472238688006282E-2</v>
      </c>
      <c r="I61" s="271"/>
      <c r="J61" s="4"/>
    </row>
    <row r="62" spans="1:10" ht="14.25" customHeight="1" x14ac:dyDescent="0.3">
      <c r="A62" s="272">
        <v>44014</v>
      </c>
      <c r="B62" s="4">
        <v>10551.7</v>
      </c>
      <c r="C62" s="272">
        <v>44014</v>
      </c>
      <c r="D62" s="4">
        <v>1826.47</v>
      </c>
      <c r="E62" s="271"/>
      <c r="F62" s="271"/>
      <c r="G62" s="273">
        <f>(B62-B61)/B61</f>
        <v>1.1663414844607789E-2</v>
      </c>
      <c r="H62" s="4">
        <f t="shared" si="0"/>
        <v>1.3084620163294239E-2</v>
      </c>
      <c r="I62" s="271"/>
      <c r="J62" s="4"/>
    </row>
    <row r="63" spans="1:10" ht="14.25" customHeight="1" x14ac:dyDescent="0.3">
      <c r="A63" s="272">
        <v>44015</v>
      </c>
      <c r="B63" s="4">
        <v>10607.35</v>
      </c>
      <c r="C63" s="272">
        <v>44015</v>
      </c>
      <c r="D63" s="4">
        <v>1840.89</v>
      </c>
      <c r="E63" s="271"/>
      <c r="F63" s="271"/>
      <c r="G63" s="273">
        <f>(B63-B62)/B62</f>
        <v>5.2740316726214388E-3</v>
      </c>
      <c r="H63" s="4">
        <f t="shared" si="0"/>
        <v>7.89501059420635E-3</v>
      </c>
      <c r="I63" s="271"/>
      <c r="J63" s="4"/>
    </row>
    <row r="64" spans="1:10" ht="14.25" customHeight="1" x14ac:dyDescent="0.3">
      <c r="A64" s="272">
        <v>44018</v>
      </c>
      <c r="B64" s="4">
        <v>10763.65</v>
      </c>
      <c r="C64" s="272">
        <v>44018</v>
      </c>
      <c r="D64" s="4">
        <v>1861.55</v>
      </c>
      <c r="E64" s="271"/>
      <c r="F64" s="271"/>
      <c r="G64" s="273">
        <f>(B64-B63)/B63</f>
        <v>1.4735065779860123E-2</v>
      </c>
      <c r="H64" s="4">
        <f t="shared" si="0"/>
        <v>1.1222832434311585E-2</v>
      </c>
      <c r="I64" s="271"/>
      <c r="J64" s="4"/>
    </row>
    <row r="65" spans="1:10" ht="14.25" customHeight="1" x14ac:dyDescent="0.3">
      <c r="A65" s="272">
        <v>44019</v>
      </c>
      <c r="B65" s="4">
        <v>10799.65</v>
      </c>
      <c r="C65" s="272">
        <v>44019</v>
      </c>
      <c r="D65" s="4">
        <v>1869.6</v>
      </c>
      <c r="E65" s="271"/>
      <c r="F65" s="271"/>
      <c r="G65" s="273">
        <f>(B65-B64)/B64</f>
        <v>3.3445903573601893E-3</v>
      </c>
      <c r="H65" s="4">
        <f t="shared" si="0"/>
        <v>4.3243533614460827E-3</v>
      </c>
      <c r="I65" s="271"/>
      <c r="J65" s="4"/>
    </row>
    <row r="66" spans="1:10" ht="14.25" customHeight="1" x14ac:dyDescent="0.3">
      <c r="A66" s="272">
        <v>44020</v>
      </c>
      <c r="B66" s="4">
        <v>10705.75</v>
      </c>
      <c r="C66" s="272">
        <v>44020</v>
      </c>
      <c r="D66" s="4">
        <v>1911.15</v>
      </c>
      <c r="E66" s="271"/>
      <c r="F66" s="271"/>
      <c r="G66" s="273">
        <f>(B66-B65)/B65</f>
        <v>-8.6947262179792525E-3</v>
      </c>
      <c r="H66" s="4">
        <f t="shared" si="0"/>
        <v>2.222400513478829E-2</v>
      </c>
      <c r="I66" s="271"/>
      <c r="J66" s="4"/>
    </row>
    <row r="67" spans="1:10" ht="14.25" customHeight="1" x14ac:dyDescent="0.3">
      <c r="A67" s="272">
        <v>44021</v>
      </c>
      <c r="B67" s="4">
        <v>10813.45</v>
      </c>
      <c r="C67" s="272">
        <v>44021</v>
      </c>
      <c r="D67" s="4">
        <v>1952.17</v>
      </c>
      <c r="E67" s="271"/>
      <c r="F67" s="271"/>
      <c r="G67" s="273">
        <f>(B67-B66)/B66</f>
        <v>1.0060014478201035E-2</v>
      </c>
      <c r="H67" s="4">
        <f t="shared" ref="H67:H130" si="1">(D67-D66)/D66</f>
        <v>2.1463516730764191E-2</v>
      </c>
      <c r="I67" s="271"/>
      <c r="J67" s="4"/>
    </row>
    <row r="68" spans="1:10" ht="14.25" customHeight="1" x14ac:dyDescent="0.3">
      <c r="A68" s="272">
        <v>44022</v>
      </c>
      <c r="B68" s="4">
        <v>10768.05</v>
      </c>
      <c r="C68" s="272">
        <v>44022</v>
      </c>
      <c r="D68" s="4">
        <v>1978.1</v>
      </c>
      <c r="E68" s="271"/>
      <c r="F68" s="271"/>
      <c r="G68" s="273">
        <f>(B68-B67)/B67</f>
        <v>-4.1984750472792171E-3</v>
      </c>
      <c r="H68" s="4">
        <f t="shared" si="1"/>
        <v>1.3282654686835592E-2</v>
      </c>
      <c r="I68" s="271"/>
      <c r="J68" s="4"/>
    </row>
    <row r="69" spans="1:10" ht="14.25" customHeight="1" x14ac:dyDescent="0.3">
      <c r="A69" s="272">
        <v>44025</v>
      </c>
      <c r="B69" s="4">
        <v>10802.7</v>
      </c>
      <c r="C69" s="272">
        <v>44025</v>
      </c>
      <c r="D69" s="4">
        <v>2059.11</v>
      </c>
      <c r="E69" s="271"/>
      <c r="F69" s="271"/>
      <c r="G69" s="273">
        <f>(B69-B68)/B68</f>
        <v>3.2178528145765909E-3</v>
      </c>
      <c r="H69" s="4">
        <f t="shared" si="1"/>
        <v>4.0953440169860078E-2</v>
      </c>
      <c r="I69" s="271"/>
      <c r="J69" s="4"/>
    </row>
    <row r="70" spans="1:10" ht="14.25" customHeight="1" x14ac:dyDescent="0.3">
      <c r="A70" s="272">
        <v>44026</v>
      </c>
      <c r="B70" s="4">
        <v>10607.35</v>
      </c>
      <c r="C70" s="272">
        <v>44026</v>
      </c>
      <c r="D70" s="4">
        <v>2100.88</v>
      </c>
      <c r="E70" s="271"/>
      <c r="F70" s="271"/>
      <c r="G70" s="273">
        <f>(B70-B69)/B69</f>
        <v>-1.8083442102437387E-2</v>
      </c>
      <c r="H70" s="4">
        <f t="shared" si="1"/>
        <v>2.0285463136986356E-2</v>
      </c>
      <c r="I70" s="271"/>
      <c r="J70" s="4"/>
    </row>
    <row r="71" spans="1:10" ht="14.25" customHeight="1" x14ac:dyDescent="0.3">
      <c r="A71" s="272">
        <v>44027</v>
      </c>
      <c r="B71" s="4">
        <v>10618.2</v>
      </c>
      <c r="C71" s="272">
        <v>44027</v>
      </c>
      <c r="D71" s="4">
        <v>2054.19</v>
      </c>
      <c r="E71" s="271"/>
      <c r="F71" s="271"/>
      <c r="G71" s="273">
        <f>(B71-B70)/B70</f>
        <v>1.0228756475463112E-3</v>
      </c>
      <c r="H71" s="4">
        <f t="shared" si="1"/>
        <v>-2.2224020410494674E-2</v>
      </c>
      <c r="I71" s="271"/>
      <c r="J71" s="4"/>
    </row>
    <row r="72" spans="1:10" ht="14.25" customHeight="1" x14ac:dyDescent="0.3">
      <c r="A72" s="272">
        <v>44028</v>
      </c>
      <c r="B72" s="4">
        <v>10739.95</v>
      </c>
      <c r="C72" s="272">
        <v>44028</v>
      </c>
      <c r="D72" s="4">
        <v>2148.33</v>
      </c>
      <c r="E72" s="271"/>
      <c r="F72" s="271"/>
      <c r="G72" s="273">
        <f>(B72-B71)/B71</f>
        <v>1.1466161873010491E-2</v>
      </c>
      <c r="H72" s="4">
        <f t="shared" si="1"/>
        <v>4.5828282680764616E-2</v>
      </c>
      <c r="I72" s="271"/>
      <c r="J72" s="4"/>
    </row>
    <row r="73" spans="1:10" ht="14.25" customHeight="1" x14ac:dyDescent="0.3">
      <c r="A73" s="272">
        <v>44029</v>
      </c>
      <c r="B73" s="4">
        <v>10901.7</v>
      </c>
      <c r="C73" s="272">
        <v>44029</v>
      </c>
      <c r="D73" s="4">
        <v>2122.8200000000002</v>
      </c>
      <c r="E73" s="271"/>
      <c r="F73" s="271"/>
      <c r="G73" s="273">
        <f>(B73-B72)/B72</f>
        <v>1.5060591529755724E-2</v>
      </c>
      <c r="H73" s="4">
        <f t="shared" si="1"/>
        <v>-1.1874339603319678E-2</v>
      </c>
      <c r="I73" s="271"/>
      <c r="J73" s="4"/>
    </row>
    <row r="74" spans="1:10" ht="14.25" customHeight="1" x14ac:dyDescent="0.3">
      <c r="A74" s="272">
        <v>44032</v>
      </c>
      <c r="B74" s="4">
        <v>11022.2</v>
      </c>
      <c r="C74" s="272">
        <v>44032</v>
      </c>
      <c r="D74" s="4">
        <v>2109.42</v>
      </c>
      <c r="E74" s="271"/>
      <c r="F74" s="271"/>
      <c r="G74" s="273">
        <f>(B74-B73)/B73</f>
        <v>1.1053321958960529E-2</v>
      </c>
      <c r="H74" s="4">
        <f t="shared" si="1"/>
        <v>-6.312358089710899E-3</v>
      </c>
      <c r="I74" s="271"/>
      <c r="J74" s="4"/>
    </row>
    <row r="75" spans="1:10" ht="14.25" customHeight="1" x14ac:dyDescent="0.3">
      <c r="A75" s="272">
        <v>44033</v>
      </c>
      <c r="B75" s="4">
        <v>11162.25</v>
      </c>
      <c r="C75" s="272">
        <v>44033</v>
      </c>
      <c r="D75" s="4">
        <v>2137.5</v>
      </c>
      <c r="E75" s="271"/>
      <c r="F75" s="271"/>
      <c r="G75" s="273">
        <f>(B75-B74)/B74</f>
        <v>1.2706174810836246E-2</v>
      </c>
      <c r="H75" s="4">
        <f t="shared" si="1"/>
        <v>1.3311716016724942E-2</v>
      </c>
      <c r="I75" s="271"/>
      <c r="J75" s="4"/>
    </row>
    <row r="76" spans="1:10" ht="14.25" customHeight="1" x14ac:dyDescent="0.3">
      <c r="A76" s="272">
        <v>44034</v>
      </c>
      <c r="B76" s="4">
        <v>11132.6</v>
      </c>
      <c r="C76" s="272">
        <v>44034</v>
      </c>
      <c r="D76" s="4">
        <v>2185.3200000000002</v>
      </c>
      <c r="E76" s="271"/>
      <c r="F76" s="271"/>
      <c r="G76" s="273">
        <f>(B76-B75)/B75</f>
        <v>-2.6562744966292314E-3</v>
      </c>
      <c r="H76" s="4">
        <f t="shared" si="1"/>
        <v>2.237192982456148E-2</v>
      </c>
      <c r="I76" s="271"/>
      <c r="J76" s="4"/>
    </row>
    <row r="77" spans="1:10" ht="14.25" customHeight="1" x14ac:dyDescent="0.3">
      <c r="A77" s="272">
        <v>44035</v>
      </c>
      <c r="B77" s="4">
        <v>11215.45</v>
      </c>
      <c r="C77" s="272">
        <v>44035</v>
      </c>
      <c r="D77" s="4">
        <v>2120.9</v>
      </c>
      <c r="E77" s="271"/>
      <c r="F77" s="271"/>
      <c r="G77" s="273">
        <f>(B77-B76)/B76</f>
        <v>7.4421069651294724E-3</v>
      </c>
      <c r="H77" s="4">
        <f t="shared" si="1"/>
        <v>-2.9478520308238641E-2</v>
      </c>
      <c r="I77" s="271"/>
      <c r="J77" s="4"/>
    </row>
    <row r="78" spans="1:10" ht="14.25" customHeight="1" x14ac:dyDescent="0.3">
      <c r="A78" s="272">
        <v>44036</v>
      </c>
      <c r="B78" s="4">
        <v>11194.15</v>
      </c>
      <c r="C78" s="272">
        <v>44036</v>
      </c>
      <c r="D78" s="4">
        <v>2132.5700000000002</v>
      </c>
      <c r="E78" s="271"/>
      <c r="F78" s="271"/>
      <c r="G78" s="273">
        <f>(B78-B77)/B77</f>
        <v>-1.8991658827778725E-3</v>
      </c>
      <c r="H78" s="4">
        <f t="shared" si="1"/>
        <v>5.5023810646424032E-3</v>
      </c>
      <c r="I78" s="271"/>
      <c r="J78" s="4"/>
    </row>
    <row r="79" spans="1:10" ht="14.25" customHeight="1" x14ac:dyDescent="0.3">
      <c r="A79" s="272">
        <v>44039</v>
      </c>
      <c r="B79" s="4">
        <v>11131.8</v>
      </c>
      <c r="C79" s="272">
        <v>44039</v>
      </c>
      <c r="D79" s="4">
        <v>2275.66</v>
      </c>
      <c r="E79" s="271"/>
      <c r="F79" s="271"/>
      <c r="G79" s="273">
        <f>(B79-B78)/B78</f>
        <v>-5.5698735500239287E-3</v>
      </c>
      <c r="H79" s="4">
        <f t="shared" si="1"/>
        <v>6.7097445804826891E-2</v>
      </c>
      <c r="I79" s="271"/>
      <c r="J79" s="4"/>
    </row>
    <row r="80" spans="1:10" ht="14.25" customHeight="1" x14ac:dyDescent="0.3">
      <c r="A80" s="272">
        <v>44040</v>
      </c>
      <c r="B80" s="4">
        <v>11300.55</v>
      </c>
      <c r="C80" s="272">
        <v>44040</v>
      </c>
      <c r="D80" s="4">
        <v>2265.06</v>
      </c>
      <c r="E80" s="271"/>
      <c r="F80" s="271"/>
      <c r="G80" s="273">
        <f>(B80-B79)/B79</f>
        <v>1.5159273432868001E-2</v>
      </c>
      <c r="H80" s="4">
        <f t="shared" si="1"/>
        <v>-4.6579893305677958E-3</v>
      </c>
      <c r="I80" s="271"/>
      <c r="J80" s="4"/>
    </row>
    <row r="81" spans="1:10" ht="14.25" customHeight="1" x14ac:dyDescent="0.3">
      <c r="A81" s="272">
        <v>44041</v>
      </c>
      <c r="B81" s="4">
        <v>11202.85</v>
      </c>
      <c r="C81" s="272">
        <v>44041</v>
      </c>
      <c r="D81" s="4">
        <v>2250.7600000000002</v>
      </c>
      <c r="E81" s="271"/>
      <c r="F81" s="271"/>
      <c r="G81" s="273">
        <f>(B81-B80)/B80</f>
        <v>-8.6455968957262173E-3</v>
      </c>
      <c r="H81" s="4">
        <f t="shared" si="1"/>
        <v>-6.3132985439678102E-3</v>
      </c>
      <c r="I81" s="271"/>
      <c r="J81" s="4"/>
    </row>
    <row r="82" spans="1:10" ht="14.25" customHeight="1" x14ac:dyDescent="0.3">
      <c r="A82" s="272">
        <v>44042</v>
      </c>
      <c r="B82" s="4">
        <v>11102.15</v>
      </c>
      <c r="C82" s="272">
        <v>44042</v>
      </c>
      <c r="D82" s="4">
        <v>2237.69</v>
      </c>
      <c r="E82" s="271"/>
      <c r="F82" s="271"/>
      <c r="G82" s="273">
        <f>(B82-B81)/B81</f>
        <v>-8.9887841040450171E-3</v>
      </c>
      <c r="H82" s="4">
        <f t="shared" si="1"/>
        <v>-5.8069274378432893E-3</v>
      </c>
      <c r="I82" s="271"/>
      <c r="J82" s="4"/>
    </row>
    <row r="83" spans="1:10" ht="14.25" customHeight="1" x14ac:dyDescent="0.3">
      <c r="A83" s="272">
        <v>44043</v>
      </c>
      <c r="B83" s="4">
        <v>11073.45</v>
      </c>
      <c r="C83" s="272">
        <v>44043</v>
      </c>
      <c r="D83" s="4">
        <v>2266.1</v>
      </c>
      <c r="E83" s="271"/>
      <c r="F83" s="271"/>
      <c r="G83" s="273">
        <f>(B83-B82)/B82</f>
        <v>-2.5850848709483218E-3</v>
      </c>
      <c r="H83" s="4">
        <f t="shared" si="1"/>
        <v>1.2696128596901203E-2</v>
      </c>
      <c r="I83" s="271"/>
      <c r="J83" s="4"/>
    </row>
    <row r="84" spans="1:10" ht="14.25" customHeight="1" x14ac:dyDescent="0.3">
      <c r="A84" s="272">
        <v>44046</v>
      </c>
      <c r="B84" s="4">
        <v>10891.6</v>
      </c>
      <c r="C84" s="272">
        <v>44046</v>
      </c>
      <c r="D84" s="4">
        <v>2335.39</v>
      </c>
      <c r="E84" s="271"/>
      <c r="F84" s="271"/>
      <c r="G84" s="273">
        <f>(B84-B83)/B83</f>
        <v>-1.6422162921221513E-2</v>
      </c>
      <c r="H84" s="4">
        <f t="shared" si="1"/>
        <v>3.0576761837518188E-2</v>
      </c>
      <c r="I84" s="271"/>
      <c r="J84" s="4"/>
    </row>
    <row r="85" spans="1:10" ht="14.25" customHeight="1" x14ac:dyDescent="0.3">
      <c r="A85" s="272">
        <v>44047</v>
      </c>
      <c r="B85" s="4">
        <v>11095.25</v>
      </c>
      <c r="C85" s="272">
        <v>44047</v>
      </c>
      <c r="D85" s="4">
        <v>2295.87</v>
      </c>
      <c r="E85" s="271"/>
      <c r="F85" s="271"/>
      <c r="G85" s="273">
        <f>(B85-B84)/B84</f>
        <v>1.8697895625986966E-2</v>
      </c>
      <c r="H85" s="4">
        <f t="shared" si="1"/>
        <v>-1.6922227122664731E-2</v>
      </c>
      <c r="I85" s="271"/>
      <c r="J85" s="4"/>
    </row>
    <row r="86" spans="1:10" ht="14.25" customHeight="1" x14ac:dyDescent="0.3">
      <c r="A86" s="272">
        <v>44048</v>
      </c>
      <c r="B86" s="4">
        <v>11101.65</v>
      </c>
      <c r="C86" s="272">
        <v>44048</v>
      </c>
      <c r="D86" s="4">
        <v>2343.92</v>
      </c>
      <c r="E86" s="271"/>
      <c r="F86" s="271"/>
      <c r="G86" s="273">
        <f>(B86-B85)/B85</f>
        <v>5.7682341542548716E-4</v>
      </c>
      <c r="H86" s="4">
        <f t="shared" si="1"/>
        <v>2.092888534629582E-2</v>
      </c>
      <c r="I86" s="271"/>
      <c r="J86" s="4"/>
    </row>
    <row r="87" spans="1:10" ht="14.25" customHeight="1" x14ac:dyDescent="0.3">
      <c r="A87" s="272">
        <v>44049</v>
      </c>
      <c r="B87" s="4">
        <v>11200.15</v>
      </c>
      <c r="C87" s="272">
        <v>44049</v>
      </c>
      <c r="D87" s="4">
        <v>2314.9899999999998</v>
      </c>
      <c r="E87" s="271"/>
      <c r="F87" s="271"/>
      <c r="G87" s="273">
        <f>(B87-B86)/B86</f>
        <v>8.8725549805659526E-3</v>
      </c>
      <c r="H87" s="4">
        <f t="shared" si="1"/>
        <v>-1.2342571418819878E-2</v>
      </c>
      <c r="I87" s="271"/>
      <c r="J87" s="4"/>
    </row>
    <row r="88" spans="1:10" ht="14.25" customHeight="1" x14ac:dyDescent="0.3">
      <c r="A88" s="272">
        <v>44050</v>
      </c>
      <c r="B88" s="4">
        <v>11214.05</v>
      </c>
      <c r="C88" s="272">
        <v>44050</v>
      </c>
      <c r="D88" s="4">
        <v>2313.73</v>
      </c>
      <c r="E88" s="271"/>
      <c r="F88" s="271"/>
      <c r="G88" s="273">
        <f>(B88-B87)/B87</f>
        <v>1.2410548073016555E-3</v>
      </c>
      <c r="H88" s="4">
        <f t="shared" si="1"/>
        <v>-5.4427880897963429E-4</v>
      </c>
      <c r="I88" s="271"/>
      <c r="J88" s="4"/>
    </row>
    <row r="89" spans="1:10" ht="14.25" customHeight="1" x14ac:dyDescent="0.3">
      <c r="A89" s="272">
        <v>44053</v>
      </c>
      <c r="B89" s="4">
        <v>11270.15</v>
      </c>
      <c r="C89" s="272">
        <v>44053</v>
      </c>
      <c r="D89" s="4">
        <v>2362.1999999999998</v>
      </c>
      <c r="E89" s="271"/>
      <c r="F89" s="271"/>
      <c r="G89" s="273">
        <f>(B89-B88)/B88</f>
        <v>5.0026529220041256E-3</v>
      </c>
      <c r="H89" s="4">
        <f t="shared" si="1"/>
        <v>2.0948857472565856E-2</v>
      </c>
      <c r="I89" s="271"/>
      <c r="J89" s="4"/>
    </row>
    <row r="90" spans="1:10" ht="14.25" customHeight="1" x14ac:dyDescent="0.3">
      <c r="A90" s="272">
        <v>44054</v>
      </c>
      <c r="B90" s="4">
        <v>11322.5</v>
      </c>
      <c r="C90" s="272">
        <v>44054</v>
      </c>
      <c r="D90" s="4">
        <v>2359.5300000000002</v>
      </c>
      <c r="E90" s="271"/>
      <c r="F90" s="271"/>
      <c r="G90" s="273">
        <f>(B90-B89)/B89</f>
        <v>4.6450135978669642E-3</v>
      </c>
      <c r="H90" s="4">
        <f t="shared" si="1"/>
        <v>-1.1303022606043596E-3</v>
      </c>
      <c r="I90" s="271"/>
      <c r="J90" s="4"/>
    </row>
    <row r="91" spans="1:10" ht="14.25" customHeight="1" x14ac:dyDescent="0.3">
      <c r="A91" s="272">
        <v>44055</v>
      </c>
      <c r="B91" s="4">
        <v>11308.4</v>
      </c>
      <c r="C91" s="272">
        <v>44055</v>
      </c>
      <c r="D91" s="4">
        <v>2340.9699999999998</v>
      </c>
      <c r="E91" s="271"/>
      <c r="F91" s="271"/>
      <c r="G91" s="273">
        <f>(B91-B90)/B90</f>
        <v>-1.2453080150143841E-3</v>
      </c>
      <c r="H91" s="4">
        <f t="shared" si="1"/>
        <v>-7.8659733082437604E-3</v>
      </c>
      <c r="I91" s="271"/>
      <c r="J91" s="4"/>
    </row>
    <row r="92" spans="1:10" ht="14.25" customHeight="1" x14ac:dyDescent="0.3">
      <c r="A92" s="272">
        <v>44056</v>
      </c>
      <c r="B92" s="4">
        <v>11300.45</v>
      </c>
      <c r="C92" s="272">
        <v>44056</v>
      </c>
      <c r="D92" s="4">
        <v>2317.71</v>
      </c>
      <c r="E92" s="271"/>
      <c r="F92" s="271"/>
      <c r="G92" s="273">
        <f>(B92-B91)/B91</f>
        <v>-7.0301722613268973E-4</v>
      </c>
      <c r="H92" s="4">
        <f t="shared" si="1"/>
        <v>-9.9360521493226158E-3</v>
      </c>
      <c r="I92" s="271"/>
      <c r="J92" s="4"/>
    </row>
    <row r="93" spans="1:10" ht="14.25" customHeight="1" x14ac:dyDescent="0.3">
      <c r="A93" s="272">
        <v>44057</v>
      </c>
      <c r="B93" s="4">
        <v>11178.4</v>
      </c>
      <c r="C93" s="272">
        <v>44057</v>
      </c>
      <c r="D93" s="4">
        <v>2287.85</v>
      </c>
      <c r="E93" s="271"/>
      <c r="F93" s="271"/>
      <c r="G93" s="273">
        <f>(B93-B92)/B92</f>
        <v>-1.0800454849143272E-2</v>
      </c>
      <c r="H93" s="4">
        <f t="shared" si="1"/>
        <v>-1.2883406465865069E-2</v>
      </c>
      <c r="I93" s="271"/>
      <c r="J93" s="4"/>
    </row>
    <row r="94" spans="1:10" ht="14.25" customHeight="1" x14ac:dyDescent="0.3">
      <c r="A94" s="272">
        <v>44060</v>
      </c>
      <c r="B94" s="4">
        <v>11247.1</v>
      </c>
      <c r="C94" s="272">
        <v>44060</v>
      </c>
      <c r="D94" s="4">
        <v>2288.69</v>
      </c>
      <c r="E94" s="271"/>
      <c r="F94" s="271"/>
      <c r="G94" s="273">
        <f>(B94-B93)/B93</f>
        <v>6.1457811493595442E-3</v>
      </c>
      <c r="H94" s="4">
        <f t="shared" si="1"/>
        <v>3.6715693773636625E-4</v>
      </c>
      <c r="I94" s="271"/>
      <c r="J94" s="4"/>
    </row>
    <row r="95" spans="1:10" ht="14.25" customHeight="1" x14ac:dyDescent="0.3">
      <c r="A95" s="272">
        <v>44061</v>
      </c>
      <c r="B95" s="4">
        <v>11385.35</v>
      </c>
      <c r="C95" s="272">
        <v>44061</v>
      </c>
      <c r="D95" s="4">
        <v>2271.11</v>
      </c>
      <c r="E95" s="271"/>
      <c r="F95" s="271"/>
      <c r="G95" s="273">
        <f>(B95-B94)/B94</f>
        <v>1.2292057508157659E-2</v>
      </c>
      <c r="H95" s="4">
        <f t="shared" si="1"/>
        <v>-7.6812499726917702E-3</v>
      </c>
      <c r="I95" s="271"/>
      <c r="J95" s="4"/>
    </row>
    <row r="96" spans="1:10" ht="14.25" customHeight="1" x14ac:dyDescent="0.3">
      <c r="A96" s="272">
        <v>44062</v>
      </c>
      <c r="B96" s="4">
        <v>11408.4</v>
      </c>
      <c r="C96" s="272">
        <v>44062</v>
      </c>
      <c r="D96" s="4">
        <v>2236.56</v>
      </c>
      <c r="E96" s="271"/>
      <c r="F96" s="271"/>
      <c r="G96" s="273">
        <f>(B96-B95)/B95</f>
        <v>2.0245315251616572E-3</v>
      </c>
      <c r="H96" s="4">
        <f t="shared" si="1"/>
        <v>-1.5212825446587872E-2</v>
      </c>
      <c r="I96" s="271"/>
      <c r="J96" s="4"/>
    </row>
    <row r="97" spans="1:10" ht="14.25" customHeight="1" x14ac:dyDescent="0.3">
      <c r="A97" s="272">
        <v>44063</v>
      </c>
      <c r="B97" s="4">
        <v>11312.2</v>
      </c>
      <c r="C97" s="272">
        <v>44063</v>
      </c>
      <c r="D97" s="4">
        <v>2225.59</v>
      </c>
      <c r="E97" s="271"/>
      <c r="F97" s="271"/>
      <c r="G97" s="273">
        <f>(B97-B96)/B96</f>
        <v>-8.4323831562707219E-3</v>
      </c>
      <c r="H97" s="4">
        <f t="shared" si="1"/>
        <v>-4.9048538827484176E-3</v>
      </c>
      <c r="I97" s="271"/>
      <c r="J97" s="4"/>
    </row>
    <row r="98" spans="1:10" ht="14.25" customHeight="1" x14ac:dyDescent="0.3">
      <c r="A98" s="272">
        <v>44064</v>
      </c>
      <c r="B98" s="4">
        <v>11371.6</v>
      </c>
      <c r="C98" s="272">
        <v>44064</v>
      </c>
      <c r="D98" s="4">
        <v>2219.92</v>
      </c>
      <c r="E98" s="271"/>
      <c r="F98" s="271"/>
      <c r="G98" s="273">
        <f>(B98-B97)/B97</f>
        <v>5.2509679814712997E-3</v>
      </c>
      <c r="H98" s="4">
        <f t="shared" si="1"/>
        <v>-2.5476390530151881E-3</v>
      </c>
      <c r="I98" s="271"/>
      <c r="J98" s="4"/>
    </row>
    <row r="99" spans="1:10" ht="14.25" customHeight="1" x14ac:dyDescent="0.3">
      <c r="A99" s="272">
        <v>44067</v>
      </c>
      <c r="B99" s="4">
        <v>11466.45</v>
      </c>
      <c r="C99" s="272">
        <v>44067</v>
      </c>
      <c r="D99" s="4">
        <v>2194.46</v>
      </c>
      <c r="E99" s="271"/>
      <c r="F99" s="271"/>
      <c r="G99" s="273">
        <f>(B99-B98)/B98</f>
        <v>8.3409546589750215E-3</v>
      </c>
      <c r="H99" s="4">
        <f t="shared" si="1"/>
        <v>-1.1468881761504936E-2</v>
      </c>
      <c r="I99" s="271"/>
      <c r="J99" s="4"/>
    </row>
    <row r="100" spans="1:10" ht="14.25" customHeight="1" x14ac:dyDescent="0.3">
      <c r="A100" s="272">
        <v>44068</v>
      </c>
      <c r="B100" s="4">
        <v>11472.25</v>
      </c>
      <c r="C100" s="272">
        <v>44068</v>
      </c>
      <c r="D100" s="4">
        <v>2197.13</v>
      </c>
      <c r="E100" s="271"/>
      <c r="F100" s="271"/>
      <c r="G100" s="273">
        <f>(B100-B99)/B99</f>
        <v>5.0582351120000276E-4</v>
      </c>
      <c r="H100" s="4">
        <f t="shared" si="1"/>
        <v>1.2167002360489929E-3</v>
      </c>
      <c r="I100" s="271"/>
      <c r="J100" s="4"/>
    </row>
    <row r="101" spans="1:10" ht="14.25" customHeight="1" x14ac:dyDescent="0.3">
      <c r="A101" s="272">
        <v>44069</v>
      </c>
      <c r="B101" s="4">
        <v>11549.6</v>
      </c>
      <c r="C101" s="272">
        <v>44069</v>
      </c>
      <c r="D101" s="4">
        <v>2317.5300000000002</v>
      </c>
      <c r="E101" s="271"/>
      <c r="F101" s="271"/>
      <c r="G101" s="273">
        <f>(B101-B100)/B100</f>
        <v>6.7423565560374259E-3</v>
      </c>
      <c r="H101" s="4">
        <f t="shared" si="1"/>
        <v>5.4798760200807456E-2</v>
      </c>
      <c r="I101" s="271"/>
      <c r="J101" s="4"/>
    </row>
    <row r="102" spans="1:10" ht="14.25" customHeight="1" x14ac:dyDescent="0.3">
      <c r="A102" s="272">
        <v>44070</v>
      </c>
      <c r="B102" s="4">
        <v>11559.25</v>
      </c>
      <c r="C102" s="272">
        <v>44070</v>
      </c>
      <c r="D102" s="4">
        <v>2341.15</v>
      </c>
      <c r="E102" s="271"/>
      <c r="F102" s="271"/>
      <c r="G102" s="273">
        <f>(B102-B101)/B101</f>
        <v>8.3552677148989016E-4</v>
      </c>
      <c r="H102" s="4">
        <f t="shared" si="1"/>
        <v>1.0191885326187746E-2</v>
      </c>
      <c r="I102" s="271"/>
      <c r="J102" s="4"/>
    </row>
    <row r="103" spans="1:10" ht="14.25" customHeight="1" x14ac:dyDescent="0.3">
      <c r="A103" s="272">
        <v>44071</v>
      </c>
      <c r="B103" s="4">
        <v>11647.6</v>
      </c>
      <c r="C103" s="272">
        <v>44071</v>
      </c>
      <c r="D103" s="4">
        <v>2362.4899999999998</v>
      </c>
      <c r="E103" s="271"/>
      <c r="F103" s="271"/>
      <c r="G103" s="273">
        <f>(B103-B102)/B102</f>
        <v>7.6432294482773853E-3</v>
      </c>
      <c r="H103" s="4">
        <f t="shared" si="1"/>
        <v>9.1151784379470309E-3</v>
      </c>
      <c r="I103" s="271"/>
      <c r="J103" s="4"/>
    </row>
    <row r="104" spans="1:10" ht="14.25" customHeight="1" x14ac:dyDescent="0.3">
      <c r="A104" s="272">
        <v>44074</v>
      </c>
      <c r="B104" s="4">
        <v>11387.5</v>
      </c>
      <c r="C104" s="272">
        <v>44074</v>
      </c>
      <c r="D104" s="4">
        <v>2305.0500000000002</v>
      </c>
      <c r="E104" s="271"/>
      <c r="F104" s="271"/>
      <c r="G104" s="273">
        <f>(B104-B103)/B103</f>
        <v>-2.233078058999282E-2</v>
      </c>
      <c r="H104" s="4">
        <f t="shared" si="1"/>
        <v>-2.4313330426795291E-2</v>
      </c>
      <c r="I104" s="271"/>
      <c r="J104" s="4"/>
    </row>
    <row r="105" spans="1:10" ht="14.25" customHeight="1" x14ac:dyDescent="0.3">
      <c r="A105" s="272">
        <v>44075</v>
      </c>
      <c r="B105" s="4">
        <v>11470.25</v>
      </c>
      <c r="C105" s="272">
        <v>44075</v>
      </c>
      <c r="D105" s="4">
        <v>2317.5300000000002</v>
      </c>
      <c r="E105" s="271"/>
      <c r="F105" s="271"/>
      <c r="G105" s="273">
        <f>(B105-B104)/B104</f>
        <v>7.2667398463227223E-3</v>
      </c>
      <c r="H105" s="4">
        <f t="shared" si="1"/>
        <v>5.4141992581505901E-3</v>
      </c>
      <c r="I105" s="271"/>
      <c r="J105" s="4"/>
    </row>
    <row r="106" spans="1:10" ht="14.25" customHeight="1" x14ac:dyDescent="0.3">
      <c r="A106" s="272">
        <v>44076</v>
      </c>
      <c r="B106" s="4">
        <v>11535</v>
      </c>
      <c r="C106" s="272">
        <v>44076</v>
      </c>
      <c r="D106" s="4">
        <v>2324.6</v>
      </c>
      <c r="E106" s="271"/>
      <c r="F106" s="271"/>
      <c r="G106" s="273">
        <f>(B106-B105)/B105</f>
        <v>5.6450382511279177E-3</v>
      </c>
      <c r="H106" s="4">
        <f t="shared" si="1"/>
        <v>3.0506616958571016E-3</v>
      </c>
      <c r="I106" s="271"/>
      <c r="J106" s="4"/>
    </row>
    <row r="107" spans="1:10" ht="14.25" customHeight="1" x14ac:dyDescent="0.3">
      <c r="A107" s="272">
        <v>44077</v>
      </c>
      <c r="B107" s="4">
        <v>11527.45</v>
      </c>
      <c r="C107" s="272">
        <v>44077</v>
      </c>
      <c r="D107" s="4">
        <v>2333.09</v>
      </c>
      <c r="E107" s="271"/>
      <c r="F107" s="271"/>
      <c r="G107" s="273">
        <f>(B107-B106)/B106</f>
        <v>-6.5452969224094257E-4</v>
      </c>
      <c r="H107" s="4">
        <f t="shared" si="1"/>
        <v>3.6522412458058319E-3</v>
      </c>
      <c r="I107" s="271"/>
      <c r="J107" s="4"/>
    </row>
    <row r="108" spans="1:10" ht="14.25" customHeight="1" x14ac:dyDescent="0.3">
      <c r="A108" s="272">
        <v>44078</v>
      </c>
      <c r="B108" s="4">
        <v>11333.85</v>
      </c>
      <c r="C108" s="272">
        <v>44078</v>
      </c>
      <c r="D108" s="4">
        <v>2324.04</v>
      </c>
      <c r="E108" s="271"/>
      <c r="F108" s="271"/>
      <c r="G108" s="273">
        <f>(B108-B107)/B107</f>
        <v>-1.679469440335897E-2</v>
      </c>
      <c r="H108" s="4">
        <f t="shared" si="1"/>
        <v>-3.8789759503491854E-3</v>
      </c>
      <c r="I108" s="271"/>
      <c r="J108" s="4"/>
    </row>
    <row r="109" spans="1:10" ht="14.25" customHeight="1" x14ac:dyDescent="0.3">
      <c r="A109" s="272">
        <v>44081</v>
      </c>
      <c r="B109" s="4">
        <v>11355.05</v>
      </c>
      <c r="C109" s="272">
        <v>44081</v>
      </c>
      <c r="D109" s="4">
        <v>2259.7199999999998</v>
      </c>
      <c r="E109" s="271"/>
      <c r="F109" s="271"/>
      <c r="G109" s="273">
        <f>(B109-B108)/B108</f>
        <v>1.8705029623648547E-3</v>
      </c>
      <c r="H109" s="4">
        <f t="shared" si="1"/>
        <v>-2.7675943615428376E-2</v>
      </c>
      <c r="I109" s="271"/>
      <c r="J109" s="4"/>
    </row>
    <row r="110" spans="1:10" ht="14.25" customHeight="1" x14ac:dyDescent="0.3">
      <c r="A110" s="272">
        <v>44082</v>
      </c>
      <c r="B110" s="4">
        <v>11317.35</v>
      </c>
      <c r="C110" s="272">
        <v>44082</v>
      </c>
      <c r="D110" s="4">
        <v>2333.1799999999998</v>
      </c>
      <c r="E110" s="271"/>
      <c r="F110" s="271"/>
      <c r="G110" s="273">
        <f>(B110-B109)/B109</f>
        <v>-3.3201086741140649E-3</v>
      </c>
      <c r="H110" s="4">
        <f t="shared" si="1"/>
        <v>3.2508452374630507E-2</v>
      </c>
      <c r="I110" s="271"/>
      <c r="J110" s="4"/>
    </row>
    <row r="111" spans="1:10" ht="14.25" customHeight="1" x14ac:dyDescent="0.3">
      <c r="A111" s="272">
        <v>44083</v>
      </c>
      <c r="B111" s="4">
        <v>11278</v>
      </c>
      <c r="C111" s="272">
        <v>44083</v>
      </c>
      <c r="D111" s="4">
        <v>2302.38</v>
      </c>
      <c r="E111" s="271"/>
      <c r="F111" s="271"/>
      <c r="G111" s="273">
        <f>(B111-B110)/B110</f>
        <v>-3.4769623630974003E-3</v>
      </c>
      <c r="H111" s="4">
        <f t="shared" si="1"/>
        <v>-1.3200867485577507E-2</v>
      </c>
      <c r="I111" s="271"/>
      <c r="J111" s="4"/>
    </row>
    <row r="112" spans="1:10" ht="14.25" customHeight="1" x14ac:dyDescent="0.3">
      <c r="A112" s="272">
        <v>44084</v>
      </c>
      <c r="B112" s="4">
        <v>11449.25</v>
      </c>
      <c r="C112" s="272">
        <v>44084</v>
      </c>
      <c r="D112" s="4">
        <v>2318.56</v>
      </c>
      <c r="E112" s="271"/>
      <c r="F112" s="271"/>
      <c r="G112" s="273">
        <f>(B112-B111)/B111</f>
        <v>1.5184429863450966E-2</v>
      </c>
      <c r="H112" s="4">
        <f t="shared" si="1"/>
        <v>7.0275106628792097E-3</v>
      </c>
      <c r="I112" s="271"/>
      <c r="J112" s="4"/>
    </row>
    <row r="113" spans="1:10" ht="14.25" customHeight="1" x14ac:dyDescent="0.3">
      <c r="A113" s="272">
        <v>44085</v>
      </c>
      <c r="B113" s="4">
        <v>11464.45</v>
      </c>
      <c r="C113" s="272">
        <v>44085</v>
      </c>
      <c r="D113" s="4">
        <v>2343.54</v>
      </c>
      <c r="E113" s="271"/>
      <c r="F113" s="271"/>
      <c r="G113" s="273">
        <f>(B113-B112)/B112</f>
        <v>1.3275978775902986E-3</v>
      </c>
      <c r="H113" s="4">
        <f t="shared" si="1"/>
        <v>1.0773928645366098E-2</v>
      </c>
      <c r="I113" s="271"/>
      <c r="J113" s="4"/>
    </row>
    <row r="114" spans="1:10" ht="14.25" customHeight="1" x14ac:dyDescent="0.3">
      <c r="A114" s="272">
        <v>44088</v>
      </c>
      <c r="B114" s="4">
        <v>11440.05</v>
      </c>
      <c r="C114" s="272">
        <v>44088</v>
      </c>
      <c r="D114" s="4">
        <v>2486.35</v>
      </c>
      <c r="E114" s="271"/>
      <c r="F114" s="271"/>
      <c r="G114" s="273">
        <f>(B114-B113)/B113</f>
        <v>-2.1283184103905073E-3</v>
      </c>
      <c r="H114" s="4">
        <f t="shared" si="1"/>
        <v>6.0937726686977799E-2</v>
      </c>
      <c r="I114" s="271"/>
      <c r="J114" s="4"/>
    </row>
    <row r="115" spans="1:10" ht="14.25" customHeight="1" x14ac:dyDescent="0.3">
      <c r="A115" s="272">
        <v>44089</v>
      </c>
      <c r="B115" s="4">
        <v>11521.8</v>
      </c>
      <c r="C115" s="272">
        <v>44089</v>
      </c>
      <c r="D115" s="4">
        <v>2523.0100000000002</v>
      </c>
      <c r="E115" s="271"/>
      <c r="F115" s="271"/>
      <c r="G115" s="273">
        <f>(B115-B114)/B114</f>
        <v>7.1459477886897356E-3</v>
      </c>
      <c r="H115" s="4">
        <f t="shared" si="1"/>
        <v>1.4744504997285302E-2</v>
      </c>
      <c r="I115" s="271"/>
      <c r="J115" s="4"/>
    </row>
    <row r="116" spans="1:10" ht="14.25" customHeight="1" x14ac:dyDescent="0.3">
      <c r="A116" s="272">
        <v>44090</v>
      </c>
      <c r="B116" s="4">
        <v>11604.55</v>
      </c>
      <c r="C116" s="272">
        <v>44090</v>
      </c>
      <c r="D116" s="4">
        <v>2529.39</v>
      </c>
      <c r="E116" s="271"/>
      <c r="F116" s="271"/>
      <c r="G116" s="273">
        <f>(B116-B115)/B115</f>
        <v>7.1820375288583387E-3</v>
      </c>
      <c r="H116" s="4">
        <f t="shared" si="1"/>
        <v>2.5287256094901145E-3</v>
      </c>
      <c r="I116" s="271"/>
      <c r="J116" s="4"/>
    </row>
    <row r="117" spans="1:10" ht="14.25" customHeight="1" x14ac:dyDescent="0.3">
      <c r="A117" s="272">
        <v>44091</v>
      </c>
      <c r="B117" s="4">
        <v>11516.1</v>
      </c>
      <c r="C117" s="272">
        <v>44091</v>
      </c>
      <c r="D117" s="4">
        <v>2567.2199999999998</v>
      </c>
      <c r="E117" s="271"/>
      <c r="F117" s="271"/>
      <c r="G117" s="273">
        <f>(B117-B116)/B116</f>
        <v>-7.6220103321541048E-3</v>
      </c>
      <c r="H117" s="4">
        <f t="shared" si="1"/>
        <v>1.4956175204298242E-2</v>
      </c>
      <c r="I117" s="271"/>
      <c r="J117" s="4"/>
    </row>
    <row r="118" spans="1:10" ht="14.25" customHeight="1" x14ac:dyDescent="0.3">
      <c r="A118" s="272">
        <v>44092</v>
      </c>
      <c r="B118" s="4">
        <v>11504.95</v>
      </c>
      <c r="C118" s="272">
        <v>44092</v>
      </c>
      <c r="D118" s="4">
        <v>2538.11</v>
      </c>
      <c r="E118" s="271"/>
      <c r="F118" s="271"/>
      <c r="G118" s="273">
        <f>(B118-B117)/B117</f>
        <v>-9.6820972377798355E-4</v>
      </c>
      <c r="H118" s="4">
        <f t="shared" si="1"/>
        <v>-1.1339113905313792E-2</v>
      </c>
      <c r="I118" s="271"/>
      <c r="J118" s="4"/>
    </row>
    <row r="119" spans="1:10" ht="14.25" customHeight="1" x14ac:dyDescent="0.3">
      <c r="A119" s="272">
        <v>44095</v>
      </c>
      <c r="B119" s="4">
        <v>11250.55</v>
      </c>
      <c r="C119" s="272">
        <v>44095</v>
      </c>
      <c r="D119" s="4">
        <v>2491.36</v>
      </c>
      <c r="E119" s="271"/>
      <c r="F119" s="271"/>
      <c r="G119" s="273">
        <f>(B119-B118)/B118</f>
        <v>-2.2112221261283312E-2</v>
      </c>
      <c r="H119" s="4">
        <f t="shared" si="1"/>
        <v>-1.8419217449204328E-2</v>
      </c>
      <c r="I119" s="271"/>
      <c r="J119" s="4"/>
    </row>
    <row r="120" spans="1:10" ht="14.25" customHeight="1" x14ac:dyDescent="0.3">
      <c r="A120" s="272">
        <v>44096</v>
      </c>
      <c r="B120" s="4">
        <v>11153.65</v>
      </c>
      <c r="C120" s="272">
        <v>44096</v>
      </c>
      <c r="D120" s="4">
        <v>2418.98</v>
      </c>
      <c r="E120" s="271"/>
      <c r="F120" s="271"/>
      <c r="G120" s="273">
        <f>(B120-B119)/B119</f>
        <v>-8.6129122576229285E-3</v>
      </c>
      <c r="H120" s="4">
        <f t="shared" si="1"/>
        <v>-2.9052405112067348E-2</v>
      </c>
      <c r="I120" s="271"/>
      <c r="J120" s="4"/>
    </row>
    <row r="121" spans="1:10" ht="14.25" customHeight="1" x14ac:dyDescent="0.3">
      <c r="A121" s="272">
        <v>44097</v>
      </c>
      <c r="B121" s="4">
        <v>11131.85</v>
      </c>
      <c r="C121" s="272">
        <v>44097</v>
      </c>
      <c r="D121" s="4">
        <v>2295.77</v>
      </c>
      <c r="E121" s="271"/>
      <c r="F121" s="271"/>
      <c r="G121" s="273">
        <f>(B121-B120)/B120</f>
        <v>-1.9545171311632758E-3</v>
      </c>
      <c r="H121" s="4">
        <f t="shared" si="1"/>
        <v>-5.0934691481533553E-2</v>
      </c>
      <c r="I121" s="271"/>
      <c r="J121" s="4"/>
    </row>
    <row r="122" spans="1:10" ht="14.25" customHeight="1" x14ac:dyDescent="0.3">
      <c r="A122" s="272">
        <v>44098</v>
      </c>
      <c r="B122" s="4">
        <v>10805.55</v>
      </c>
      <c r="C122" s="272">
        <v>44098</v>
      </c>
      <c r="D122" s="4">
        <v>2263.84</v>
      </c>
      <c r="E122" s="271"/>
      <c r="F122" s="271"/>
      <c r="G122" s="273">
        <f>(B122-B121)/B121</f>
        <v>-2.9312288613303365E-2</v>
      </c>
      <c r="H122" s="4">
        <f t="shared" si="1"/>
        <v>-1.3908187666882935E-2</v>
      </c>
      <c r="I122" s="271"/>
      <c r="J122" s="4"/>
    </row>
    <row r="123" spans="1:10" ht="14.25" customHeight="1" x14ac:dyDescent="0.3">
      <c r="A123" s="272">
        <v>44099</v>
      </c>
      <c r="B123" s="4">
        <v>11050.25</v>
      </c>
      <c r="C123" s="272">
        <v>44099</v>
      </c>
      <c r="D123" s="4">
        <v>2319.4499999999998</v>
      </c>
      <c r="E123" s="271"/>
      <c r="F123" s="271"/>
      <c r="G123" s="273">
        <f>(B123-B122)/B122</f>
        <v>2.264576999782526E-2</v>
      </c>
      <c r="H123" s="4">
        <f t="shared" si="1"/>
        <v>2.4564456852074205E-2</v>
      </c>
      <c r="I123" s="271"/>
      <c r="J123" s="4"/>
    </row>
    <row r="124" spans="1:10" ht="14.25" customHeight="1" x14ac:dyDescent="0.3">
      <c r="A124" s="272">
        <v>44102</v>
      </c>
      <c r="B124" s="4">
        <v>11227.55</v>
      </c>
      <c r="C124" s="272">
        <v>44102</v>
      </c>
      <c r="D124" s="4">
        <v>2377.91</v>
      </c>
      <c r="E124" s="271"/>
      <c r="F124" s="271"/>
      <c r="G124" s="273">
        <f>(B124-B123)/B123</f>
        <v>1.6044885862310742E-2</v>
      </c>
      <c r="H124" s="4">
        <f t="shared" si="1"/>
        <v>2.5204251007782036E-2</v>
      </c>
      <c r="I124" s="271"/>
      <c r="J124" s="4"/>
    </row>
    <row r="125" spans="1:10" ht="14.25" customHeight="1" x14ac:dyDescent="0.3">
      <c r="A125" s="272">
        <v>44103</v>
      </c>
      <c r="B125" s="4">
        <v>11222.4</v>
      </c>
      <c r="C125" s="272">
        <v>44103</v>
      </c>
      <c r="D125" s="4">
        <v>2345.5100000000002</v>
      </c>
      <c r="E125" s="271"/>
      <c r="F125" s="271"/>
      <c r="G125" s="273">
        <f>(B125-B124)/B124</f>
        <v>-4.5869312539241746E-4</v>
      </c>
      <c r="H125" s="4">
        <f t="shared" si="1"/>
        <v>-1.3625410549600127E-2</v>
      </c>
      <c r="I125" s="271"/>
      <c r="J125" s="4"/>
    </row>
    <row r="126" spans="1:10" ht="14.25" customHeight="1" x14ac:dyDescent="0.3">
      <c r="A126" s="272">
        <v>44104</v>
      </c>
      <c r="B126" s="4">
        <v>11247.55</v>
      </c>
      <c r="C126" s="272">
        <v>44104</v>
      </c>
      <c r="D126" s="4">
        <v>2384.94</v>
      </c>
      <c r="E126" s="271"/>
      <c r="F126" s="271"/>
      <c r="G126" s="273">
        <f>(B126-B125)/B125</f>
        <v>2.2410536070715387E-3</v>
      </c>
      <c r="H126" s="4">
        <f t="shared" si="1"/>
        <v>1.6810842844413296E-2</v>
      </c>
      <c r="I126" s="271"/>
      <c r="J126" s="4"/>
    </row>
    <row r="127" spans="1:10" ht="14.25" customHeight="1" x14ac:dyDescent="0.3">
      <c r="A127" s="272">
        <v>44105</v>
      </c>
      <c r="B127" s="4">
        <v>11416.95</v>
      </c>
      <c r="C127" s="272">
        <v>44105</v>
      </c>
      <c r="D127" s="4">
        <v>2369.66</v>
      </c>
      <c r="E127" s="271"/>
      <c r="F127" s="271"/>
      <c r="G127" s="273">
        <f>(B127-B126)/B126</f>
        <v>1.5061057741463827E-2</v>
      </c>
      <c r="H127" s="4">
        <f t="shared" si="1"/>
        <v>-6.4068697745017483E-3</v>
      </c>
      <c r="I127" s="271"/>
      <c r="J127" s="4"/>
    </row>
    <row r="128" spans="1:10" ht="14.25" customHeight="1" x14ac:dyDescent="0.3">
      <c r="A128" s="272">
        <v>44109</v>
      </c>
      <c r="B128" s="4">
        <v>11503.35</v>
      </c>
      <c r="C128" s="272">
        <v>44109</v>
      </c>
      <c r="D128" s="4">
        <v>2420.15</v>
      </c>
      <c r="E128" s="271"/>
      <c r="F128" s="271"/>
      <c r="G128" s="273">
        <f>(B128-B127)/B127</f>
        <v>7.5676954002601073E-3</v>
      </c>
      <c r="H128" s="4">
        <f t="shared" si="1"/>
        <v>2.1306854147852536E-2</v>
      </c>
      <c r="I128" s="271"/>
      <c r="J128" s="4"/>
    </row>
    <row r="129" spans="1:10" ht="14.25" customHeight="1" x14ac:dyDescent="0.3">
      <c r="A129" s="272">
        <v>44110</v>
      </c>
      <c r="B129" s="4">
        <v>11662.4</v>
      </c>
      <c r="C129" s="272">
        <v>44110</v>
      </c>
      <c r="D129" s="4">
        <v>2514.0100000000002</v>
      </c>
      <c r="E129" s="271"/>
      <c r="F129" s="271"/>
      <c r="G129" s="273">
        <f>(B129-B128)/B128</f>
        <v>1.382640709010847E-2</v>
      </c>
      <c r="H129" s="4">
        <f t="shared" si="1"/>
        <v>3.8782720079333977E-2</v>
      </c>
      <c r="I129" s="271"/>
      <c r="J129" s="4"/>
    </row>
    <row r="130" spans="1:10" ht="14.25" customHeight="1" x14ac:dyDescent="0.3">
      <c r="A130" s="272">
        <v>44111</v>
      </c>
      <c r="B130" s="4">
        <v>11738.85</v>
      </c>
      <c r="C130" s="272">
        <v>44111</v>
      </c>
      <c r="D130" s="4">
        <v>2500.79</v>
      </c>
      <c r="E130" s="271"/>
      <c r="F130" s="271"/>
      <c r="G130" s="273">
        <f>(B130-B129)/B129</f>
        <v>6.5552544930718142E-3</v>
      </c>
      <c r="H130" s="4">
        <f t="shared" si="1"/>
        <v>-5.2585311912045907E-3</v>
      </c>
      <c r="I130" s="271"/>
      <c r="J130" s="4"/>
    </row>
    <row r="131" spans="1:10" ht="14.25" customHeight="1" x14ac:dyDescent="0.3">
      <c r="A131" s="272">
        <v>44112</v>
      </c>
      <c r="B131" s="4">
        <v>11834.6</v>
      </c>
      <c r="C131" s="272">
        <v>44112</v>
      </c>
      <c r="D131" s="4">
        <v>2682.97</v>
      </c>
      <c r="E131" s="271"/>
      <c r="F131" s="271"/>
      <c r="G131" s="273">
        <f>(B131-B130)/B130</f>
        <v>8.15667633541616E-3</v>
      </c>
      <c r="H131" s="4">
        <f t="shared" ref="H131:H194" si="2">(D131-D130)/D130</f>
        <v>7.2848979722407656E-2</v>
      </c>
      <c r="I131" s="271"/>
      <c r="J131" s="4"/>
    </row>
    <row r="132" spans="1:10" ht="14.25" customHeight="1" x14ac:dyDescent="0.3">
      <c r="A132" s="272">
        <v>44113</v>
      </c>
      <c r="B132" s="4">
        <v>11914.2</v>
      </c>
      <c r="C132" s="272">
        <v>44113</v>
      </c>
      <c r="D132" s="4">
        <v>2744.72</v>
      </c>
      <c r="E132" s="271"/>
      <c r="F132" s="271"/>
      <c r="G132" s="273">
        <f>(B132-B131)/B131</f>
        <v>6.7260405928379801E-3</v>
      </c>
      <c r="H132" s="4">
        <f t="shared" si="2"/>
        <v>2.3015538749967389E-2</v>
      </c>
      <c r="I132" s="271"/>
      <c r="J132" s="4"/>
    </row>
    <row r="133" spans="1:10" ht="14.25" customHeight="1" x14ac:dyDescent="0.3">
      <c r="A133" s="272">
        <v>44116</v>
      </c>
      <c r="B133" s="4">
        <v>11930.95</v>
      </c>
      <c r="C133" s="272">
        <v>44116</v>
      </c>
      <c r="D133" s="4">
        <v>3072.37</v>
      </c>
      <c r="E133" s="271"/>
      <c r="F133" s="271"/>
      <c r="G133" s="273">
        <f>(B133-B132)/B132</f>
        <v>1.4058854140437461E-3</v>
      </c>
      <c r="H133" s="4">
        <f t="shared" si="2"/>
        <v>0.11937465388090593</v>
      </c>
      <c r="I133" s="271"/>
      <c r="J133" s="4"/>
    </row>
    <row r="134" spans="1:10" ht="14.25" customHeight="1" x14ac:dyDescent="0.3">
      <c r="A134" s="272">
        <v>44117</v>
      </c>
      <c r="B134" s="4">
        <v>11934.5</v>
      </c>
      <c r="C134" s="272">
        <v>44117</v>
      </c>
      <c r="D134" s="4">
        <v>3047.11</v>
      </c>
      <c r="E134" s="271"/>
      <c r="F134" s="271"/>
      <c r="G134" s="273">
        <f>(B134-B133)/B133</f>
        <v>2.9754545949813488E-4</v>
      </c>
      <c r="H134" s="4">
        <f t="shared" si="2"/>
        <v>-8.2216660102786328E-3</v>
      </c>
      <c r="I134" s="271"/>
      <c r="J134" s="4"/>
    </row>
    <row r="135" spans="1:10" ht="14.25" customHeight="1" x14ac:dyDescent="0.3">
      <c r="A135" s="272">
        <v>44118</v>
      </c>
      <c r="B135" s="4">
        <v>11971.05</v>
      </c>
      <c r="C135" s="272">
        <v>44118</v>
      </c>
      <c r="D135" s="4">
        <v>3122.87</v>
      </c>
      <c r="E135" s="271"/>
      <c r="F135" s="271"/>
      <c r="G135" s="273">
        <f>(B135-B134)/B134</f>
        <v>3.0625497507226337E-3</v>
      </c>
      <c r="H135" s="4">
        <f t="shared" si="2"/>
        <v>2.4862902881746887E-2</v>
      </c>
      <c r="I135" s="271"/>
      <c r="J135" s="4"/>
    </row>
    <row r="136" spans="1:10" ht="14.25" customHeight="1" x14ac:dyDescent="0.3">
      <c r="A136" s="272">
        <v>44119</v>
      </c>
      <c r="B136" s="4">
        <v>11680.35</v>
      </c>
      <c r="C136" s="272">
        <v>44119</v>
      </c>
      <c r="D136" s="4">
        <v>3090.89</v>
      </c>
      <c r="E136" s="271"/>
      <c r="F136" s="271"/>
      <c r="G136" s="273">
        <f>(B136-B135)/B135</f>
        <v>-2.4283584146753953E-2</v>
      </c>
      <c r="H136" s="4">
        <f t="shared" si="2"/>
        <v>-1.0240579979313907E-2</v>
      </c>
      <c r="I136" s="271"/>
      <c r="J136" s="4"/>
    </row>
    <row r="137" spans="1:10" ht="14.25" customHeight="1" x14ac:dyDescent="0.3">
      <c r="A137" s="272">
        <v>44120</v>
      </c>
      <c r="B137" s="4">
        <v>11762.45</v>
      </c>
      <c r="C137" s="272">
        <v>44120</v>
      </c>
      <c r="D137" s="4">
        <v>2883.39</v>
      </c>
      <c r="E137" s="271"/>
      <c r="F137" s="271"/>
      <c r="G137" s="273">
        <f>(B137-B136)/B136</f>
        <v>7.0288989627879609E-3</v>
      </c>
      <c r="H137" s="4">
        <f t="shared" si="2"/>
        <v>-6.7132767584740974E-2</v>
      </c>
      <c r="I137" s="271"/>
      <c r="J137" s="4"/>
    </row>
    <row r="138" spans="1:10" ht="14.25" customHeight="1" x14ac:dyDescent="0.3">
      <c r="A138" s="272">
        <v>44123</v>
      </c>
      <c r="B138" s="4">
        <v>11873.05</v>
      </c>
      <c r="C138" s="272">
        <v>44123</v>
      </c>
      <c r="D138" s="4">
        <v>2827.23</v>
      </c>
      <c r="E138" s="271"/>
      <c r="F138" s="271"/>
      <c r="G138" s="273">
        <f>(B138-B137)/B137</f>
        <v>9.4028029874727234E-3</v>
      </c>
      <c r="H138" s="4">
        <f t="shared" si="2"/>
        <v>-1.9477073860976094E-2</v>
      </c>
      <c r="I138" s="271"/>
      <c r="J138" s="4"/>
    </row>
    <row r="139" spans="1:10" ht="14.25" customHeight="1" x14ac:dyDescent="0.3">
      <c r="A139" s="272">
        <v>44124</v>
      </c>
      <c r="B139" s="4">
        <v>11896.8</v>
      </c>
      <c r="C139" s="272">
        <v>44124</v>
      </c>
      <c r="D139" s="4">
        <v>2779.92</v>
      </c>
      <c r="E139" s="271"/>
      <c r="F139" s="271"/>
      <c r="G139" s="273">
        <f>(B139-B138)/B138</f>
        <v>2.0003284749916831E-3</v>
      </c>
      <c r="H139" s="4">
        <f t="shared" si="2"/>
        <v>-1.6733693403083564E-2</v>
      </c>
      <c r="I139" s="271"/>
      <c r="J139" s="4"/>
    </row>
    <row r="140" spans="1:10" ht="14.25" customHeight="1" x14ac:dyDescent="0.3">
      <c r="A140" s="272">
        <v>44125</v>
      </c>
      <c r="B140" s="4">
        <v>11937.65</v>
      </c>
      <c r="C140" s="272">
        <v>44125</v>
      </c>
      <c r="D140" s="4">
        <v>2906.55</v>
      </c>
      <c r="E140" s="271"/>
      <c r="F140" s="271"/>
      <c r="G140" s="273">
        <f>(B140-B139)/B139</f>
        <v>3.4336964561899304E-3</v>
      </c>
      <c r="H140" s="4">
        <f t="shared" si="2"/>
        <v>4.5551670551670587E-2</v>
      </c>
      <c r="I140" s="271"/>
      <c r="J140" s="4"/>
    </row>
    <row r="141" spans="1:10" ht="14.25" customHeight="1" x14ac:dyDescent="0.3">
      <c r="A141" s="272">
        <v>44126</v>
      </c>
      <c r="B141" s="4">
        <v>11896.45</v>
      </c>
      <c r="C141" s="272">
        <v>44126</v>
      </c>
      <c r="D141" s="4">
        <v>2861.69</v>
      </c>
      <c r="E141" s="271"/>
      <c r="F141" s="271"/>
      <c r="G141" s="273">
        <f>(B141-B140)/B140</f>
        <v>-3.4512655338361327E-3</v>
      </c>
      <c r="H141" s="4">
        <f t="shared" si="2"/>
        <v>-1.5434105726720725E-2</v>
      </c>
      <c r="I141" s="271"/>
      <c r="J141" s="4"/>
    </row>
    <row r="142" spans="1:10" ht="14.25" customHeight="1" x14ac:dyDescent="0.3">
      <c r="A142" s="272">
        <v>44127</v>
      </c>
      <c r="B142" s="4">
        <v>11930.35</v>
      </c>
      <c r="C142" s="272">
        <v>44127</v>
      </c>
      <c r="D142" s="4">
        <v>2870.27</v>
      </c>
      <c r="E142" s="271"/>
      <c r="F142" s="271"/>
      <c r="G142" s="273">
        <f>(B142-B141)/B141</f>
        <v>2.8495895834471322E-3</v>
      </c>
      <c r="H142" s="4">
        <f t="shared" si="2"/>
        <v>2.9982283196292843E-3</v>
      </c>
      <c r="I142" s="271"/>
      <c r="J142" s="4"/>
    </row>
    <row r="143" spans="1:10" ht="14.25" customHeight="1" x14ac:dyDescent="0.3">
      <c r="A143" s="272">
        <v>44130</v>
      </c>
      <c r="B143" s="4">
        <v>11767.75</v>
      </c>
      <c r="C143" s="272">
        <v>44130</v>
      </c>
      <c r="D143" s="4">
        <v>2812.18</v>
      </c>
      <c r="E143" s="271"/>
      <c r="F143" s="271"/>
      <c r="G143" s="273">
        <f>(B143-B142)/B142</f>
        <v>-1.3629105600422482E-2</v>
      </c>
      <c r="H143" s="4">
        <f t="shared" si="2"/>
        <v>-2.0238514146752797E-2</v>
      </c>
      <c r="I143" s="271"/>
      <c r="J143" s="4"/>
    </row>
    <row r="144" spans="1:10" ht="14.25" customHeight="1" x14ac:dyDescent="0.3">
      <c r="A144" s="272">
        <v>44131</v>
      </c>
      <c r="B144" s="4">
        <v>11889.4</v>
      </c>
      <c r="C144" s="272">
        <v>44131</v>
      </c>
      <c r="D144" s="4">
        <v>2731.65</v>
      </c>
      <c r="E144" s="271"/>
      <c r="F144" s="271"/>
      <c r="G144" s="273">
        <f>(B144-B143)/B143</f>
        <v>1.0337575152429277E-2</v>
      </c>
      <c r="H144" s="4">
        <f t="shared" si="2"/>
        <v>-2.863614704606382E-2</v>
      </c>
      <c r="I144" s="271"/>
      <c r="J144" s="4"/>
    </row>
    <row r="145" spans="1:10" ht="14.25" customHeight="1" x14ac:dyDescent="0.3">
      <c r="A145" s="272">
        <v>44132</v>
      </c>
      <c r="B145" s="4">
        <v>11729.6</v>
      </c>
      <c r="C145" s="272">
        <v>44132</v>
      </c>
      <c r="D145" s="4">
        <v>2722.65</v>
      </c>
      <c r="E145" s="271"/>
      <c r="F145" s="271"/>
      <c r="G145" s="273">
        <f>(B145-B144)/B144</f>
        <v>-1.3440543677561465E-2</v>
      </c>
      <c r="H145" s="4">
        <f t="shared" si="2"/>
        <v>-3.2947119872604471E-3</v>
      </c>
      <c r="I145" s="271"/>
      <c r="J145" s="4"/>
    </row>
    <row r="146" spans="1:10" ht="14.25" customHeight="1" x14ac:dyDescent="0.3">
      <c r="A146" s="272">
        <v>44133</v>
      </c>
      <c r="B146" s="4">
        <v>11670.8</v>
      </c>
      <c r="C146" s="272">
        <v>44133</v>
      </c>
      <c r="D146" s="4">
        <v>2764.12</v>
      </c>
      <c r="E146" s="271"/>
      <c r="F146" s="271"/>
      <c r="G146" s="273">
        <f>(B146-B145)/B145</f>
        <v>-5.0129586686673963E-3</v>
      </c>
      <c r="H146" s="4">
        <f t="shared" si="2"/>
        <v>1.5231484032101004E-2</v>
      </c>
      <c r="I146" s="271"/>
      <c r="J146" s="4"/>
    </row>
    <row r="147" spans="1:10" ht="14.25" customHeight="1" x14ac:dyDescent="0.3">
      <c r="A147" s="272">
        <v>44134</v>
      </c>
      <c r="B147" s="4">
        <v>11642.4</v>
      </c>
      <c r="C147" s="272">
        <v>44134</v>
      </c>
      <c r="D147" s="4">
        <v>2750.27</v>
      </c>
      <c r="E147" s="271"/>
      <c r="F147" s="271"/>
      <c r="G147" s="273">
        <f>(B147-B146)/B146</f>
        <v>-2.4334235870719779E-3</v>
      </c>
      <c r="H147" s="4">
        <f t="shared" si="2"/>
        <v>-5.0106362965428091E-3</v>
      </c>
      <c r="I147" s="271"/>
      <c r="J147" s="4"/>
    </row>
    <row r="148" spans="1:10" ht="14.25" customHeight="1" x14ac:dyDescent="0.3">
      <c r="A148" s="272">
        <v>44137</v>
      </c>
      <c r="B148" s="4">
        <v>11669.15</v>
      </c>
      <c r="C148" s="272">
        <v>44137</v>
      </c>
      <c r="D148" s="4">
        <v>2688.64</v>
      </c>
      <c r="E148" s="271"/>
      <c r="F148" s="271"/>
      <c r="G148" s="273">
        <f>(B148-B147)/B147</f>
        <v>2.2976362262076546E-3</v>
      </c>
      <c r="H148" s="4">
        <f t="shared" si="2"/>
        <v>-2.2408708963120024E-2</v>
      </c>
      <c r="I148" s="271"/>
      <c r="J148" s="4"/>
    </row>
    <row r="149" spans="1:10" ht="14.25" customHeight="1" x14ac:dyDescent="0.3">
      <c r="A149" s="272">
        <v>44138</v>
      </c>
      <c r="B149" s="4">
        <v>11813.5</v>
      </c>
      <c r="C149" s="272">
        <v>44138</v>
      </c>
      <c r="D149" s="4">
        <v>2767.09</v>
      </c>
      <c r="E149" s="271"/>
      <c r="F149" s="271"/>
      <c r="G149" s="273">
        <f>(B149-B148)/B148</f>
        <v>1.2370224052308898E-2</v>
      </c>
      <c r="H149" s="4">
        <f t="shared" si="2"/>
        <v>2.9178320637943449E-2</v>
      </c>
      <c r="I149" s="271"/>
      <c r="J149" s="4"/>
    </row>
    <row r="150" spans="1:10" ht="14.25" customHeight="1" x14ac:dyDescent="0.3">
      <c r="A150" s="272">
        <v>44139</v>
      </c>
      <c r="B150" s="4">
        <v>11908.5</v>
      </c>
      <c r="C150" s="272">
        <v>44139</v>
      </c>
      <c r="D150" s="4">
        <v>2863.87</v>
      </c>
      <c r="E150" s="271"/>
      <c r="F150" s="271"/>
      <c r="G150" s="273">
        <f>(B150-B149)/B149</f>
        <v>8.041647267956151E-3</v>
      </c>
      <c r="H150" s="4">
        <f t="shared" si="2"/>
        <v>3.4975371238376685E-2</v>
      </c>
      <c r="I150" s="271"/>
      <c r="J150" s="4"/>
    </row>
    <row r="151" spans="1:10" ht="14.25" customHeight="1" x14ac:dyDescent="0.3">
      <c r="A151" s="272">
        <v>44140</v>
      </c>
      <c r="B151" s="4">
        <v>12120.3</v>
      </c>
      <c r="C151" s="272">
        <v>44140</v>
      </c>
      <c r="D151" s="4">
        <v>2995.75</v>
      </c>
      <c r="E151" s="271"/>
      <c r="F151" s="271"/>
      <c r="G151" s="273">
        <f>(B151-B150)/B150</f>
        <v>1.7785615316790467E-2</v>
      </c>
      <c r="H151" s="4">
        <f t="shared" si="2"/>
        <v>4.6049576272666044E-2</v>
      </c>
      <c r="I151" s="271"/>
      <c r="J151" s="4"/>
    </row>
    <row r="152" spans="1:10" ht="14.25" customHeight="1" x14ac:dyDescent="0.3">
      <c r="A152" s="272">
        <v>44141</v>
      </c>
      <c r="B152" s="4">
        <v>12263.55</v>
      </c>
      <c r="C152" s="272">
        <v>44141</v>
      </c>
      <c r="D152" s="4">
        <v>2985.62</v>
      </c>
      <c r="E152" s="271"/>
      <c r="F152" s="271"/>
      <c r="G152" s="273">
        <f>(B152-B151)/B151</f>
        <v>1.1819014380832158E-2</v>
      </c>
      <c r="H152" s="4">
        <f t="shared" si="2"/>
        <v>-3.3814570641742831E-3</v>
      </c>
      <c r="I152" s="271"/>
      <c r="J152" s="4"/>
    </row>
    <row r="153" spans="1:10" ht="14.25" customHeight="1" x14ac:dyDescent="0.3">
      <c r="A153" s="272">
        <v>44144</v>
      </c>
      <c r="B153" s="4">
        <v>12461.05</v>
      </c>
      <c r="C153" s="272">
        <v>44144</v>
      </c>
      <c r="D153" s="4">
        <v>3090.5</v>
      </c>
      <c r="E153" s="271"/>
      <c r="F153" s="271"/>
      <c r="G153" s="273">
        <f>(B153-B152)/B152</f>
        <v>1.6104635280974923E-2</v>
      </c>
      <c r="H153" s="4">
        <f t="shared" si="2"/>
        <v>3.512838204460049E-2</v>
      </c>
      <c r="I153" s="271"/>
      <c r="J153" s="4"/>
    </row>
    <row r="154" spans="1:10" ht="14.25" customHeight="1" x14ac:dyDescent="0.3">
      <c r="A154" s="272">
        <v>44145</v>
      </c>
      <c r="B154" s="4">
        <v>12631.1</v>
      </c>
      <c r="C154" s="272">
        <v>44145</v>
      </c>
      <c r="D154" s="4">
        <v>2849.5</v>
      </c>
      <c r="E154" s="271"/>
      <c r="F154" s="271"/>
      <c r="G154" s="273">
        <f>(B154-B153)/B153</f>
        <v>1.364652256431048E-2</v>
      </c>
      <c r="H154" s="4">
        <f t="shared" si="2"/>
        <v>-7.7980909237987381E-2</v>
      </c>
      <c r="I154" s="271"/>
      <c r="J154" s="4"/>
    </row>
    <row r="155" spans="1:10" ht="14.25" customHeight="1" x14ac:dyDescent="0.3">
      <c r="A155" s="272">
        <v>44146</v>
      </c>
      <c r="B155" s="4">
        <v>12749.15</v>
      </c>
      <c r="C155" s="272">
        <v>44146</v>
      </c>
      <c r="D155" s="4">
        <v>2808.27</v>
      </c>
      <c r="E155" s="271"/>
      <c r="F155" s="271"/>
      <c r="G155" s="273">
        <f>(B155-B154)/B154</f>
        <v>9.3459793683843273E-3</v>
      </c>
      <c r="H155" s="4">
        <f t="shared" si="2"/>
        <v>-1.4469205123705919E-2</v>
      </c>
      <c r="I155" s="271"/>
      <c r="J155" s="4"/>
    </row>
    <row r="156" spans="1:10" ht="14.25" customHeight="1" x14ac:dyDescent="0.3">
      <c r="A156" s="272">
        <v>44147</v>
      </c>
      <c r="B156" s="4">
        <v>12690.8</v>
      </c>
      <c r="C156" s="272">
        <v>44147</v>
      </c>
      <c r="D156" s="4">
        <v>2811.33</v>
      </c>
      <c r="E156" s="271"/>
      <c r="F156" s="271"/>
      <c r="G156" s="273">
        <f>(B156-B155)/B155</f>
        <v>-4.5767757066157641E-3</v>
      </c>
      <c r="H156" s="4">
        <f t="shared" si="2"/>
        <v>1.0896388167804185E-3</v>
      </c>
      <c r="I156" s="271"/>
      <c r="J156" s="4"/>
    </row>
    <row r="157" spans="1:10" ht="14.25" customHeight="1" x14ac:dyDescent="0.3">
      <c r="A157" s="272">
        <v>44148</v>
      </c>
      <c r="B157" s="4">
        <v>12719.95</v>
      </c>
      <c r="C157" s="272">
        <v>44148</v>
      </c>
      <c r="D157" s="4">
        <v>2847.85</v>
      </c>
      <c r="E157" s="271"/>
      <c r="F157" s="271"/>
      <c r="G157" s="273">
        <f>(B157-B156)/B156</f>
        <v>2.2969395152395008E-3</v>
      </c>
      <c r="H157" s="4">
        <f t="shared" si="2"/>
        <v>1.299029285071478E-2</v>
      </c>
      <c r="I157" s="271"/>
      <c r="J157" s="4"/>
    </row>
    <row r="158" spans="1:10" ht="14.25" customHeight="1" x14ac:dyDescent="0.3">
      <c r="A158" s="272">
        <v>44152</v>
      </c>
      <c r="B158" s="4">
        <v>12874.2</v>
      </c>
      <c r="C158" s="272">
        <v>44152</v>
      </c>
      <c r="D158" s="4">
        <v>2825.14</v>
      </c>
      <c r="E158" s="271"/>
      <c r="F158" s="271"/>
      <c r="G158" s="273">
        <f>(B158-B157)/B157</f>
        <v>1.212661999457545E-2</v>
      </c>
      <c r="H158" s="4">
        <f t="shared" si="2"/>
        <v>-7.9744368558737431E-3</v>
      </c>
      <c r="I158" s="271"/>
      <c r="J158" s="4"/>
    </row>
    <row r="159" spans="1:10" ht="14.25" customHeight="1" x14ac:dyDescent="0.3">
      <c r="A159" s="272">
        <v>44153</v>
      </c>
      <c r="B159" s="4">
        <v>12938.25</v>
      </c>
      <c r="C159" s="272">
        <v>44153</v>
      </c>
      <c r="D159" s="4">
        <v>2843.61</v>
      </c>
      <c r="E159" s="271"/>
      <c r="F159" s="271"/>
      <c r="G159" s="273">
        <f>(B159-B158)/B158</f>
        <v>4.9750664118934978E-3</v>
      </c>
      <c r="H159" s="4">
        <f t="shared" si="2"/>
        <v>6.5377291036905266E-3</v>
      </c>
      <c r="I159" s="271"/>
      <c r="J159" s="4"/>
    </row>
    <row r="160" spans="1:10" ht="14.25" customHeight="1" x14ac:dyDescent="0.3">
      <c r="A160" s="272">
        <v>44154</v>
      </c>
      <c r="B160" s="4">
        <v>12771.7</v>
      </c>
      <c r="C160" s="272">
        <v>44154</v>
      </c>
      <c r="D160" s="4">
        <v>2811.05</v>
      </c>
      <c r="E160" s="271"/>
      <c r="F160" s="271"/>
      <c r="G160" s="273">
        <f>(B160-B159)/B159</f>
        <v>-1.2872683709156901E-2</v>
      </c>
      <c r="H160" s="4">
        <f t="shared" si="2"/>
        <v>-1.1450234033499651E-2</v>
      </c>
      <c r="I160" s="271"/>
      <c r="J160" s="4"/>
    </row>
    <row r="161" spans="1:10" ht="14.25" customHeight="1" x14ac:dyDescent="0.3">
      <c r="A161" s="272">
        <v>44155</v>
      </c>
      <c r="B161" s="4">
        <v>12859.05</v>
      </c>
      <c r="C161" s="272">
        <v>44155</v>
      </c>
      <c r="D161" s="4">
        <v>2913.39</v>
      </c>
      <c r="E161" s="271"/>
      <c r="F161" s="271"/>
      <c r="G161" s="273">
        <f>(B161-B160)/B160</f>
        <v>6.8393401035099898E-3</v>
      </c>
      <c r="H161" s="4">
        <f t="shared" si="2"/>
        <v>3.6406325038686502E-2</v>
      </c>
      <c r="I161" s="271"/>
      <c r="J161" s="4"/>
    </row>
    <row r="162" spans="1:10" ht="14.25" customHeight="1" x14ac:dyDescent="0.3">
      <c r="A162" s="272">
        <v>44158</v>
      </c>
      <c r="B162" s="4">
        <v>12926.45</v>
      </c>
      <c r="C162" s="272">
        <v>44158</v>
      </c>
      <c r="D162" s="4">
        <v>3075.99</v>
      </c>
      <c r="E162" s="271"/>
      <c r="F162" s="271"/>
      <c r="G162" s="273">
        <f>(B162-B161)/B161</f>
        <v>5.2414447412523829E-3</v>
      </c>
      <c r="H162" s="4">
        <f t="shared" si="2"/>
        <v>5.5811271405476065E-2</v>
      </c>
      <c r="I162" s="271"/>
      <c r="J162" s="4"/>
    </row>
    <row r="163" spans="1:10" ht="14.25" customHeight="1" x14ac:dyDescent="0.3">
      <c r="A163" s="272">
        <v>44159</v>
      </c>
      <c r="B163" s="4">
        <v>13055.15</v>
      </c>
      <c r="C163" s="272">
        <v>44159</v>
      </c>
      <c r="D163" s="4">
        <v>3143.65</v>
      </c>
      <c r="E163" s="271"/>
      <c r="F163" s="271"/>
      <c r="G163" s="273">
        <f>(B163-B162)/B162</f>
        <v>9.9563298508096882E-3</v>
      </c>
      <c r="H163" s="4">
        <f t="shared" si="2"/>
        <v>2.1996170338655301E-2</v>
      </c>
      <c r="I163" s="271"/>
      <c r="J163" s="4"/>
    </row>
    <row r="164" spans="1:10" ht="14.25" customHeight="1" x14ac:dyDescent="0.3">
      <c r="A164" s="272">
        <v>44160</v>
      </c>
      <c r="B164" s="4">
        <v>12858.4</v>
      </c>
      <c r="C164" s="272">
        <v>44160</v>
      </c>
      <c r="D164" s="4">
        <v>2929.22</v>
      </c>
      <c r="E164" s="271"/>
      <c r="F164" s="271"/>
      <c r="G164" s="273">
        <f>(B164-B163)/B163</f>
        <v>-1.5070680919024294E-2</v>
      </c>
      <c r="H164" s="4">
        <f t="shared" si="2"/>
        <v>-6.8210519618914403E-2</v>
      </c>
      <c r="I164" s="271"/>
      <c r="J164" s="4"/>
    </row>
    <row r="165" spans="1:10" ht="14.25" customHeight="1" x14ac:dyDescent="0.3">
      <c r="A165" s="272">
        <v>44161</v>
      </c>
      <c r="B165" s="4">
        <v>12987</v>
      </c>
      <c r="C165" s="272">
        <v>44161</v>
      </c>
      <c r="D165" s="4">
        <v>2910.84</v>
      </c>
      <c r="E165" s="271"/>
      <c r="F165" s="271"/>
      <c r="G165" s="273">
        <f>(B165-B164)/B164</f>
        <v>1.0001244322777356E-2</v>
      </c>
      <c r="H165" s="4">
        <f t="shared" si="2"/>
        <v>-6.2747079427286634E-3</v>
      </c>
      <c r="I165" s="271"/>
      <c r="J165" s="4"/>
    </row>
    <row r="166" spans="1:10" ht="14.25" customHeight="1" x14ac:dyDescent="0.3">
      <c r="A166" s="272">
        <v>44162</v>
      </c>
      <c r="B166" s="4">
        <v>12968.95</v>
      </c>
      <c r="C166" s="272">
        <v>44162</v>
      </c>
      <c r="D166" s="4">
        <v>3015.96</v>
      </c>
      <c r="E166" s="271"/>
      <c r="F166" s="271"/>
      <c r="G166" s="273">
        <f>(B166-B165)/B165</f>
        <v>-1.3898513898513338E-3</v>
      </c>
      <c r="H166" s="4">
        <f t="shared" si="2"/>
        <v>3.6113286886259595E-2</v>
      </c>
      <c r="I166" s="271"/>
      <c r="J166" s="4"/>
    </row>
    <row r="167" spans="1:10" ht="14.25" customHeight="1" x14ac:dyDescent="0.3">
      <c r="A167" s="272">
        <v>44166</v>
      </c>
      <c r="B167" s="4">
        <v>13109.05</v>
      </c>
      <c r="C167" s="272">
        <v>44166</v>
      </c>
      <c r="D167" s="4">
        <v>3160.14</v>
      </c>
      <c r="E167" s="271"/>
      <c r="F167" s="271"/>
      <c r="G167" s="273">
        <f>(B167-B166)/B166</f>
        <v>1.0802724970024446E-2</v>
      </c>
      <c r="H167" s="4">
        <f t="shared" si="2"/>
        <v>4.7805673815302534E-2</v>
      </c>
      <c r="I167" s="271"/>
      <c r="J167" s="4"/>
    </row>
    <row r="168" spans="1:10" ht="14.25" customHeight="1" x14ac:dyDescent="0.3">
      <c r="A168" s="272">
        <v>44167</v>
      </c>
      <c r="B168" s="4">
        <v>13113.75</v>
      </c>
      <c r="C168" s="272">
        <v>44167</v>
      </c>
      <c r="D168" s="4">
        <v>3198.12</v>
      </c>
      <c r="E168" s="271"/>
      <c r="F168" s="271"/>
      <c r="G168" s="273">
        <f>(B168-B167)/B167</f>
        <v>3.5853093855014117E-4</v>
      </c>
      <c r="H168" s="4">
        <f t="shared" si="2"/>
        <v>1.2018454878581336E-2</v>
      </c>
      <c r="I168" s="271"/>
      <c r="J168" s="4"/>
    </row>
    <row r="169" spans="1:10" ht="14.25" customHeight="1" x14ac:dyDescent="0.3">
      <c r="A169" s="272">
        <v>44168</v>
      </c>
      <c r="B169" s="4">
        <v>13133.9</v>
      </c>
      <c r="C169" s="272">
        <v>44168</v>
      </c>
      <c r="D169" s="4">
        <v>3110.39</v>
      </c>
      <c r="E169" s="271"/>
      <c r="F169" s="271"/>
      <c r="G169" s="273">
        <f>(B169-B168)/B168</f>
        <v>1.5365551425030701E-3</v>
      </c>
      <c r="H169" s="4">
        <f t="shared" si="2"/>
        <v>-2.7431741147924411E-2</v>
      </c>
      <c r="I169" s="271"/>
      <c r="J169" s="4"/>
    </row>
    <row r="170" spans="1:10" ht="14.25" customHeight="1" x14ac:dyDescent="0.3">
      <c r="A170" s="272">
        <v>44169</v>
      </c>
      <c r="B170" s="4">
        <v>13258.55</v>
      </c>
      <c r="C170" s="272">
        <v>44169</v>
      </c>
      <c r="D170" s="4">
        <v>3076.93</v>
      </c>
      <c r="E170" s="271"/>
      <c r="F170" s="271"/>
      <c r="G170" s="273">
        <f>(B170-B169)/B169</f>
        <v>9.4907072537479074E-3</v>
      </c>
      <c r="H170" s="4">
        <f t="shared" si="2"/>
        <v>-1.0757493433299374E-2</v>
      </c>
      <c r="I170" s="271"/>
      <c r="J170" s="4"/>
    </row>
    <row r="171" spans="1:10" ht="14.25" customHeight="1" x14ac:dyDescent="0.3">
      <c r="A171" s="272">
        <v>44172</v>
      </c>
      <c r="B171" s="4">
        <v>13355.75</v>
      </c>
      <c r="C171" s="272">
        <v>44172</v>
      </c>
      <c r="D171" s="4">
        <v>3082.4</v>
      </c>
      <c r="E171" s="271"/>
      <c r="F171" s="271"/>
      <c r="G171" s="273">
        <f>(B171-B170)/B170</f>
        <v>7.3311184103842979E-3</v>
      </c>
      <c r="H171" s="4">
        <f t="shared" si="2"/>
        <v>1.7777460000715827E-3</v>
      </c>
      <c r="I171" s="271"/>
      <c r="J171" s="4"/>
    </row>
    <row r="172" spans="1:10" ht="14.25" customHeight="1" x14ac:dyDescent="0.3">
      <c r="A172" s="272">
        <v>44173</v>
      </c>
      <c r="B172" s="4">
        <v>13392.95</v>
      </c>
      <c r="C172" s="272">
        <v>44173</v>
      </c>
      <c r="D172" s="4">
        <v>3073.45</v>
      </c>
      <c r="E172" s="271"/>
      <c r="F172" s="271"/>
      <c r="G172" s="273">
        <f>(B172-B171)/B171</f>
        <v>2.7853171854819629E-3</v>
      </c>
      <c r="H172" s="4">
        <f t="shared" si="2"/>
        <v>-2.9035816247081083E-3</v>
      </c>
      <c r="I172" s="271"/>
      <c r="J172" s="4"/>
    </row>
    <row r="173" spans="1:10" ht="14.25" customHeight="1" x14ac:dyDescent="0.3">
      <c r="A173" s="272">
        <v>44174</v>
      </c>
      <c r="B173" s="4">
        <v>13529.1</v>
      </c>
      <c r="C173" s="272">
        <v>44174</v>
      </c>
      <c r="D173" s="4">
        <v>3077.59</v>
      </c>
      <c r="E173" s="271"/>
      <c r="F173" s="271"/>
      <c r="G173" s="273">
        <f>(B173-B172)/B172</f>
        <v>1.0165796183813098E-2</v>
      </c>
      <c r="H173" s="4">
        <f t="shared" si="2"/>
        <v>1.3470204493322903E-3</v>
      </c>
      <c r="I173" s="271"/>
      <c r="J173" s="4"/>
    </row>
    <row r="174" spans="1:10" ht="14.25" customHeight="1" x14ac:dyDescent="0.3">
      <c r="A174" s="272">
        <v>44175</v>
      </c>
      <c r="B174" s="4">
        <v>13478.3</v>
      </c>
      <c r="C174" s="272">
        <v>44175</v>
      </c>
      <c r="D174" s="4">
        <v>3063.98</v>
      </c>
      <c r="E174" s="271"/>
      <c r="F174" s="271"/>
      <c r="G174" s="273">
        <f>(B174-B173)/B173</f>
        <v>-3.7548691339409929E-3</v>
      </c>
      <c r="H174" s="4">
        <f t="shared" si="2"/>
        <v>-4.4222914683242822E-3</v>
      </c>
      <c r="I174" s="271"/>
      <c r="J174" s="4"/>
    </row>
    <row r="175" spans="1:10" ht="14.25" customHeight="1" x14ac:dyDescent="0.3">
      <c r="A175" s="272">
        <v>44176</v>
      </c>
      <c r="B175" s="4">
        <v>13513.85</v>
      </c>
      <c r="C175" s="272">
        <v>44176</v>
      </c>
      <c r="D175" s="4">
        <v>3080.23</v>
      </c>
      <c r="E175" s="271"/>
      <c r="F175" s="271"/>
      <c r="G175" s="273">
        <f>(B175-B174)/B174</f>
        <v>2.6375729876914073E-3</v>
      </c>
      <c r="H175" s="4">
        <f t="shared" si="2"/>
        <v>5.3035594227116368E-3</v>
      </c>
      <c r="I175" s="271"/>
      <c r="J175" s="4"/>
    </row>
    <row r="176" spans="1:10" ht="14.25" customHeight="1" x14ac:dyDescent="0.3">
      <c r="A176" s="272">
        <v>44179</v>
      </c>
      <c r="B176" s="4">
        <v>13558.15</v>
      </c>
      <c r="C176" s="272">
        <v>44179</v>
      </c>
      <c r="D176" s="4">
        <v>3048.47</v>
      </c>
      <c r="E176" s="271"/>
      <c r="F176" s="271"/>
      <c r="G176" s="273">
        <f>(B176-B175)/B175</f>
        <v>3.2781183748524121E-3</v>
      </c>
      <c r="H176" s="4">
        <f t="shared" si="2"/>
        <v>-1.0310918340513604E-2</v>
      </c>
      <c r="I176" s="271"/>
      <c r="J176" s="4"/>
    </row>
    <row r="177" spans="1:10" ht="14.25" customHeight="1" x14ac:dyDescent="0.3">
      <c r="A177" s="272">
        <v>44180</v>
      </c>
      <c r="B177" s="4">
        <v>13567.85</v>
      </c>
      <c r="C177" s="272">
        <v>44180</v>
      </c>
      <c r="D177" s="4">
        <v>3075.05</v>
      </c>
      <c r="E177" s="271"/>
      <c r="F177" s="271"/>
      <c r="G177" s="273">
        <f>(B177-B176)/B176</f>
        <v>7.1543684057196063E-4</v>
      </c>
      <c r="H177" s="4">
        <f t="shared" si="2"/>
        <v>8.7191279559911648E-3</v>
      </c>
      <c r="I177" s="271"/>
      <c r="J177" s="4"/>
    </row>
    <row r="178" spans="1:10" ht="14.25" customHeight="1" x14ac:dyDescent="0.3">
      <c r="A178" s="272">
        <v>44181</v>
      </c>
      <c r="B178" s="4">
        <v>13682.7</v>
      </c>
      <c r="C178" s="272">
        <v>44181</v>
      </c>
      <c r="D178" s="4">
        <v>3099.36</v>
      </c>
      <c r="E178" s="271"/>
      <c r="F178" s="271"/>
      <c r="G178" s="273">
        <f>(B178-B177)/B177</f>
        <v>8.4648636298308398E-3</v>
      </c>
      <c r="H178" s="4">
        <f t="shared" si="2"/>
        <v>7.9055625111786616E-3</v>
      </c>
      <c r="I178" s="271"/>
      <c r="J178" s="4"/>
    </row>
    <row r="179" spans="1:10" ht="14.25" customHeight="1" x14ac:dyDescent="0.3">
      <c r="A179" s="272">
        <v>44182</v>
      </c>
      <c r="B179" s="4">
        <v>13740.7</v>
      </c>
      <c r="C179" s="272">
        <v>44182</v>
      </c>
      <c r="D179" s="4">
        <v>3115.43</v>
      </c>
      <c r="E179" s="271"/>
      <c r="F179" s="271"/>
      <c r="G179" s="273">
        <f>(B179-B178)/B178</f>
        <v>4.2389294510586355E-3</v>
      </c>
      <c r="H179" s="4">
        <f t="shared" si="2"/>
        <v>5.1849414072581788E-3</v>
      </c>
      <c r="I179" s="271"/>
      <c r="J179" s="4"/>
    </row>
    <row r="180" spans="1:10" ht="14.25" customHeight="1" x14ac:dyDescent="0.3">
      <c r="A180" s="272">
        <v>44183</v>
      </c>
      <c r="B180" s="4">
        <v>13760.55</v>
      </c>
      <c r="C180" s="272">
        <v>44183</v>
      </c>
      <c r="D180" s="4">
        <v>3162.92</v>
      </c>
      <c r="E180" s="271"/>
      <c r="F180" s="271"/>
      <c r="G180" s="273">
        <f>(B180-B179)/B179</f>
        <v>1.4446134476408439E-3</v>
      </c>
      <c r="H180" s="4">
        <f t="shared" si="2"/>
        <v>1.5243481638168804E-2</v>
      </c>
      <c r="I180" s="271"/>
      <c r="J180" s="4"/>
    </row>
    <row r="181" spans="1:10" ht="14.25" customHeight="1" x14ac:dyDescent="0.3">
      <c r="A181" s="272">
        <v>44186</v>
      </c>
      <c r="B181" s="4">
        <v>13328.4</v>
      </c>
      <c r="C181" s="272">
        <v>44186</v>
      </c>
      <c r="D181" s="4">
        <v>3199.72</v>
      </c>
      <c r="E181" s="271"/>
      <c r="F181" s="271"/>
      <c r="G181" s="273">
        <f>(B181-B180)/B180</f>
        <v>-3.1404994713147345E-2</v>
      </c>
      <c r="H181" s="4">
        <f t="shared" si="2"/>
        <v>1.1634818458892329E-2</v>
      </c>
      <c r="I181" s="271"/>
      <c r="J181" s="4"/>
    </row>
    <row r="182" spans="1:10" ht="14.25" customHeight="1" x14ac:dyDescent="0.3">
      <c r="A182" s="272">
        <v>44187</v>
      </c>
      <c r="B182" s="4">
        <v>13466.3</v>
      </c>
      <c r="C182" s="272">
        <v>44187</v>
      </c>
      <c r="D182" s="4">
        <v>3367.04</v>
      </c>
      <c r="E182" s="271"/>
      <c r="F182" s="271"/>
      <c r="G182" s="273">
        <f>(B182-B181)/B181</f>
        <v>1.0346328141412295E-2</v>
      </c>
      <c r="H182" s="4">
        <f t="shared" si="2"/>
        <v>5.2292075556611257E-2</v>
      </c>
      <c r="I182" s="271"/>
      <c r="J182" s="4"/>
    </row>
    <row r="183" spans="1:10" ht="14.25" customHeight="1" x14ac:dyDescent="0.3">
      <c r="A183" s="272">
        <v>44188</v>
      </c>
      <c r="B183" s="4">
        <v>13601.1</v>
      </c>
      <c r="C183" s="272">
        <v>44188</v>
      </c>
      <c r="D183" s="4">
        <v>3463.11</v>
      </c>
      <c r="E183" s="271"/>
      <c r="F183" s="271"/>
      <c r="G183" s="273">
        <f>(B183-B182)/B182</f>
        <v>1.0010173544329259E-2</v>
      </c>
      <c r="H183" s="4">
        <f t="shared" si="2"/>
        <v>2.8532479566622363E-2</v>
      </c>
      <c r="I183" s="271"/>
      <c r="J183" s="4"/>
    </row>
    <row r="184" spans="1:10" ht="14.25" customHeight="1" x14ac:dyDescent="0.3">
      <c r="A184" s="272">
        <v>44189</v>
      </c>
      <c r="B184" s="4">
        <v>13749.25</v>
      </c>
      <c r="C184" s="272">
        <v>44189</v>
      </c>
      <c r="D184" s="4">
        <v>3416.61</v>
      </c>
      <c r="E184" s="271"/>
      <c r="F184" s="271"/>
      <c r="G184" s="273">
        <f>(B184-B183)/B183</f>
        <v>1.089250134180321E-2</v>
      </c>
      <c r="H184" s="4">
        <f t="shared" si="2"/>
        <v>-1.3427237367568456E-2</v>
      </c>
      <c r="I184" s="271"/>
      <c r="J184" s="4"/>
    </row>
    <row r="185" spans="1:10" ht="14.25" customHeight="1" x14ac:dyDescent="0.3">
      <c r="A185" s="272">
        <v>44193</v>
      </c>
      <c r="B185" s="4">
        <v>13873.2</v>
      </c>
      <c r="C185" s="272">
        <v>44193</v>
      </c>
      <c r="D185" s="4">
        <v>3430.88</v>
      </c>
      <c r="E185" s="271"/>
      <c r="F185" s="271"/>
      <c r="G185" s="273">
        <f>(B185-B184)/B184</f>
        <v>9.0150371838464451E-3</v>
      </c>
      <c r="H185" s="4">
        <f t="shared" si="2"/>
        <v>4.1766546371988554E-3</v>
      </c>
      <c r="I185" s="271"/>
      <c r="J185" s="4"/>
    </row>
    <row r="186" spans="1:10" ht="14.25" customHeight="1" x14ac:dyDescent="0.3">
      <c r="A186" s="272">
        <v>44194</v>
      </c>
      <c r="B186" s="4">
        <v>13932.6</v>
      </c>
      <c r="C186" s="272">
        <v>44194</v>
      </c>
      <c r="D186" s="4">
        <v>3401.86</v>
      </c>
      <c r="E186" s="271"/>
      <c r="F186" s="271"/>
      <c r="G186" s="273">
        <f>(B186-B185)/B185</f>
        <v>4.281636536631753E-3</v>
      </c>
      <c r="H186" s="4">
        <f t="shared" si="2"/>
        <v>-8.4584712959940248E-3</v>
      </c>
      <c r="I186" s="271"/>
      <c r="J186" s="4"/>
    </row>
    <row r="187" spans="1:10" ht="14.25" customHeight="1" x14ac:dyDescent="0.3">
      <c r="A187" s="272">
        <v>44195</v>
      </c>
      <c r="B187" s="4">
        <v>13981.95</v>
      </c>
      <c r="C187" s="272">
        <v>44195</v>
      </c>
      <c r="D187" s="4">
        <v>3450.11</v>
      </c>
      <c r="E187" s="271"/>
      <c r="F187" s="271"/>
      <c r="G187" s="273">
        <f>(B187-B186)/B186</f>
        <v>3.5420524525214504E-3</v>
      </c>
      <c r="H187" s="4">
        <f t="shared" si="2"/>
        <v>1.4183417307002639E-2</v>
      </c>
      <c r="I187" s="271"/>
      <c r="J187" s="4"/>
    </row>
    <row r="188" spans="1:10" ht="14.25" customHeight="1" x14ac:dyDescent="0.3">
      <c r="A188" s="272">
        <v>44196</v>
      </c>
      <c r="B188" s="4">
        <v>13981.75</v>
      </c>
      <c r="C188" s="272">
        <v>44196</v>
      </c>
      <c r="D188" s="4">
        <v>3448.55</v>
      </c>
      <c r="E188" s="271"/>
      <c r="F188" s="271"/>
      <c r="G188" s="273">
        <f>(B188-B187)/B187</f>
        <v>-1.4304156430306758E-5</v>
      </c>
      <c r="H188" s="4">
        <f t="shared" si="2"/>
        <v>-4.5215949636386824E-4</v>
      </c>
      <c r="I188" s="271"/>
      <c r="J188" s="4"/>
    </row>
    <row r="189" spans="1:10" ht="14.25" customHeight="1" x14ac:dyDescent="0.3">
      <c r="A189" s="272">
        <v>44197</v>
      </c>
      <c r="B189" s="4">
        <v>14018.5</v>
      </c>
      <c r="C189" s="272">
        <v>44197</v>
      </c>
      <c r="D189" s="4">
        <v>3486.06</v>
      </c>
      <c r="E189" s="271"/>
      <c r="F189" s="271"/>
      <c r="G189" s="273">
        <f>(B189-B188)/B188</f>
        <v>2.6284263414808589E-3</v>
      </c>
      <c r="H189" s="4">
        <f t="shared" si="2"/>
        <v>1.0877035275695513E-2</v>
      </c>
      <c r="I189" s="271"/>
      <c r="J189" s="4"/>
    </row>
    <row r="190" spans="1:10" ht="14.25" customHeight="1" x14ac:dyDescent="0.3">
      <c r="A190" s="272">
        <v>44200</v>
      </c>
      <c r="B190" s="4">
        <v>14132.9</v>
      </c>
      <c r="C190" s="272">
        <v>44200</v>
      </c>
      <c r="D190" s="4">
        <v>3623.69</v>
      </c>
      <c r="E190" s="271"/>
      <c r="F190" s="271"/>
      <c r="G190" s="273">
        <f>(B190-B189)/B189</f>
        <v>8.1606448621464236E-3</v>
      </c>
      <c r="H190" s="4">
        <f t="shared" si="2"/>
        <v>3.9480100744106558E-2</v>
      </c>
      <c r="I190" s="271"/>
      <c r="J190" s="4"/>
    </row>
    <row r="191" spans="1:10" ht="14.25" customHeight="1" x14ac:dyDescent="0.3">
      <c r="A191" s="272">
        <v>44201</v>
      </c>
      <c r="B191" s="4">
        <v>14199.5</v>
      </c>
      <c r="C191" s="272">
        <v>44201</v>
      </c>
      <c r="D191" s="4">
        <v>3891.32</v>
      </c>
      <c r="E191" s="271"/>
      <c r="F191" s="271"/>
      <c r="G191" s="273">
        <f>(B191-B190)/B190</f>
        <v>4.7124086351704435E-3</v>
      </c>
      <c r="H191" s="4">
        <f t="shared" si="2"/>
        <v>7.3855655423063257E-2</v>
      </c>
      <c r="I191" s="271"/>
      <c r="J191" s="4"/>
    </row>
    <row r="192" spans="1:10" ht="14.25" customHeight="1" x14ac:dyDescent="0.3">
      <c r="A192" s="272">
        <v>44202</v>
      </c>
      <c r="B192" s="4">
        <v>14146.25</v>
      </c>
      <c r="C192" s="272">
        <v>44202</v>
      </c>
      <c r="D192" s="4">
        <v>3728.81</v>
      </c>
      <c r="E192" s="271"/>
      <c r="F192" s="271"/>
      <c r="G192" s="273">
        <f>(B192-B191)/B191</f>
        <v>-3.7501320469030598E-3</v>
      </c>
      <c r="H192" s="4">
        <f t="shared" si="2"/>
        <v>-4.1762178386768552E-2</v>
      </c>
      <c r="I192" s="271"/>
      <c r="J192" s="4"/>
    </row>
    <row r="193" spans="1:10" ht="14.25" customHeight="1" x14ac:dyDescent="0.3">
      <c r="A193" s="272">
        <v>44203</v>
      </c>
      <c r="B193" s="4">
        <v>14137.35</v>
      </c>
      <c r="C193" s="272">
        <v>44203</v>
      </c>
      <c r="D193" s="4">
        <v>3659.07</v>
      </c>
      <c r="E193" s="271"/>
      <c r="F193" s="271"/>
      <c r="G193" s="273">
        <f>(B193-B192)/B192</f>
        <v>-6.2914199876289731E-4</v>
      </c>
      <c r="H193" s="4">
        <f t="shared" si="2"/>
        <v>-1.8703017852880619E-2</v>
      </c>
      <c r="I193" s="271"/>
      <c r="J193" s="4"/>
    </row>
    <row r="194" spans="1:10" ht="14.25" customHeight="1" x14ac:dyDescent="0.3">
      <c r="A194" s="272">
        <v>44204</v>
      </c>
      <c r="B194" s="4">
        <v>14347.25</v>
      </c>
      <c r="C194" s="272">
        <v>44204</v>
      </c>
      <c r="D194" s="4">
        <v>3856.31</v>
      </c>
      <c r="E194" s="271"/>
      <c r="F194" s="271"/>
      <c r="G194" s="273">
        <f>(B194-B193)/B193</f>
        <v>1.484719554937804E-2</v>
      </c>
      <c r="H194" s="4">
        <f t="shared" si="2"/>
        <v>5.3904407404067094E-2</v>
      </c>
      <c r="I194" s="271"/>
      <c r="J194" s="4"/>
    </row>
    <row r="195" spans="1:10" ht="14.25" customHeight="1" x14ac:dyDescent="0.3">
      <c r="A195" s="272">
        <v>44207</v>
      </c>
      <c r="B195" s="4">
        <v>14484.75</v>
      </c>
      <c r="C195" s="272">
        <v>44207</v>
      </c>
      <c r="D195" s="4">
        <v>4000.44</v>
      </c>
      <c r="E195" s="271"/>
      <c r="F195" s="271"/>
      <c r="G195" s="273">
        <f>(B195-B194)/B194</f>
        <v>9.5837181341372046E-3</v>
      </c>
      <c r="H195" s="4">
        <f t="shared" ref="H195:H258" si="3">(D195-D194)/D194</f>
        <v>3.7375107291685604E-2</v>
      </c>
      <c r="I195" s="271"/>
      <c r="J195" s="4"/>
    </row>
    <row r="196" spans="1:10" ht="14.25" customHeight="1" x14ac:dyDescent="0.3">
      <c r="A196" s="272">
        <v>44208</v>
      </c>
      <c r="B196" s="4">
        <v>14563.45</v>
      </c>
      <c r="C196" s="272">
        <v>44208</v>
      </c>
      <c r="D196" s="4">
        <v>4038.14</v>
      </c>
      <c r="E196" s="271"/>
      <c r="F196" s="271"/>
      <c r="G196" s="273">
        <f>(B196-B195)/B195</f>
        <v>5.4333005402233889E-3</v>
      </c>
      <c r="H196" s="4">
        <f t="shared" si="3"/>
        <v>9.4239633640299109E-3</v>
      </c>
      <c r="I196" s="271"/>
      <c r="J196" s="4"/>
    </row>
    <row r="197" spans="1:10" ht="14.25" customHeight="1" x14ac:dyDescent="0.3">
      <c r="A197" s="272">
        <v>44209</v>
      </c>
      <c r="B197" s="4">
        <v>14564.85</v>
      </c>
      <c r="C197" s="272">
        <v>44209</v>
      </c>
      <c r="D197" s="4">
        <v>4148.68</v>
      </c>
      <c r="E197" s="271"/>
      <c r="F197" s="271"/>
      <c r="G197" s="273">
        <f>(B197-B196)/B196</f>
        <v>9.6131067844476149E-5</v>
      </c>
      <c r="H197" s="4">
        <f t="shared" si="3"/>
        <v>2.7373989014744516E-2</v>
      </c>
      <c r="I197" s="271"/>
      <c r="J197" s="4"/>
    </row>
    <row r="198" spans="1:10" ht="14.25" customHeight="1" x14ac:dyDescent="0.3">
      <c r="A198" s="272">
        <v>44210</v>
      </c>
      <c r="B198" s="4">
        <v>14595.6</v>
      </c>
      <c r="C198" s="272">
        <v>44210</v>
      </c>
      <c r="D198" s="4">
        <v>4137.6000000000004</v>
      </c>
      <c r="E198" s="271"/>
      <c r="F198" s="271"/>
      <c r="G198" s="273">
        <f>(B198-B197)/B197</f>
        <v>2.1112472837001412E-3</v>
      </c>
      <c r="H198" s="4">
        <f t="shared" si="3"/>
        <v>-2.6707290029599597E-3</v>
      </c>
      <c r="I198" s="271"/>
      <c r="J198" s="4"/>
    </row>
    <row r="199" spans="1:10" ht="14.25" customHeight="1" x14ac:dyDescent="0.3">
      <c r="A199" s="272">
        <v>44211</v>
      </c>
      <c r="B199" s="4">
        <v>14433.7</v>
      </c>
      <c r="C199" s="272">
        <v>44211</v>
      </c>
      <c r="D199" s="4">
        <v>4040.68</v>
      </c>
      <c r="E199" s="271"/>
      <c r="F199" s="271"/>
      <c r="G199" s="273">
        <f>(B199-B198)/B198</f>
        <v>-1.1092384006138812E-2</v>
      </c>
      <c r="H199" s="4">
        <f t="shared" si="3"/>
        <v>-2.3424207269915051E-2</v>
      </c>
      <c r="I199" s="271"/>
      <c r="J199" s="4"/>
    </row>
    <row r="200" spans="1:10" ht="14.25" customHeight="1" x14ac:dyDescent="0.3">
      <c r="A200" s="272">
        <v>44214</v>
      </c>
      <c r="B200" s="4">
        <v>14281.3</v>
      </c>
      <c r="C200" s="272">
        <v>44214</v>
      </c>
      <c r="D200" s="4">
        <v>3777.76</v>
      </c>
      <c r="E200" s="271"/>
      <c r="F200" s="271"/>
      <c r="G200" s="273">
        <f>(B200-B199)/B199</f>
        <v>-1.0558623222042958E-2</v>
      </c>
      <c r="H200" s="4">
        <f t="shared" si="3"/>
        <v>-6.5068255838126157E-2</v>
      </c>
      <c r="I200" s="271"/>
      <c r="J200" s="4"/>
    </row>
    <row r="201" spans="1:10" ht="14.25" customHeight="1" x14ac:dyDescent="0.3">
      <c r="A201" s="272">
        <v>44215</v>
      </c>
      <c r="B201" s="4">
        <v>14521.15</v>
      </c>
      <c r="C201" s="272">
        <v>44215</v>
      </c>
      <c r="D201" s="4">
        <v>3855.51</v>
      </c>
      <c r="E201" s="271"/>
      <c r="F201" s="271"/>
      <c r="G201" s="273">
        <f>(B201-B200)/B200</f>
        <v>1.6794689559073778E-2</v>
      </c>
      <c r="H201" s="4">
        <f t="shared" si="3"/>
        <v>2.0580979204608021E-2</v>
      </c>
      <c r="I201" s="271"/>
      <c r="J201" s="4"/>
    </row>
    <row r="202" spans="1:10" ht="14.25" customHeight="1" x14ac:dyDescent="0.3">
      <c r="A202" s="272">
        <v>44216</v>
      </c>
      <c r="B202" s="4">
        <v>14644.7</v>
      </c>
      <c r="C202" s="272">
        <v>44216</v>
      </c>
      <c r="D202" s="4">
        <v>3855.13</v>
      </c>
      <c r="E202" s="271"/>
      <c r="F202" s="271"/>
      <c r="G202" s="273">
        <f>(B202-B201)/B201</f>
        <v>8.5082793029478444E-3</v>
      </c>
      <c r="H202" s="4">
        <f t="shared" si="3"/>
        <v>-9.8560242354476865E-5</v>
      </c>
      <c r="I202" s="271"/>
      <c r="J202" s="4"/>
    </row>
    <row r="203" spans="1:10" ht="14.25" customHeight="1" x14ac:dyDescent="0.3">
      <c r="A203" s="272">
        <v>44217</v>
      </c>
      <c r="B203" s="4">
        <v>14590.35</v>
      </c>
      <c r="C203" s="272">
        <v>44217</v>
      </c>
      <c r="D203" s="4">
        <v>3749.96</v>
      </c>
      <c r="E203" s="271"/>
      <c r="F203" s="271"/>
      <c r="G203" s="273">
        <f>(B203-B202)/B202</f>
        <v>-3.7112402439107911E-3</v>
      </c>
      <c r="H203" s="4">
        <f t="shared" si="3"/>
        <v>-2.7280532692801559E-2</v>
      </c>
      <c r="I203" s="271"/>
      <c r="J203" s="4"/>
    </row>
    <row r="204" spans="1:10" ht="14.25" customHeight="1" x14ac:dyDescent="0.3">
      <c r="A204" s="272">
        <v>44218</v>
      </c>
      <c r="B204" s="4">
        <v>14371.9</v>
      </c>
      <c r="C204" s="272">
        <v>44218</v>
      </c>
      <c r="D204" s="4">
        <v>3702.94</v>
      </c>
      <c r="E204" s="271"/>
      <c r="F204" s="271"/>
      <c r="G204" s="273">
        <f>(B204-B203)/B203</f>
        <v>-1.4972224792414213E-2</v>
      </c>
      <c r="H204" s="4">
        <f t="shared" si="3"/>
        <v>-1.2538800413871076E-2</v>
      </c>
      <c r="I204" s="271"/>
      <c r="J204" s="4"/>
    </row>
    <row r="205" spans="1:10" ht="14.25" customHeight="1" x14ac:dyDescent="0.3">
      <c r="A205" s="272">
        <v>44221</v>
      </c>
      <c r="B205" s="4">
        <v>14238.9</v>
      </c>
      <c r="C205" s="272">
        <v>44221</v>
      </c>
      <c r="D205" s="4">
        <v>3669.39</v>
      </c>
      <c r="E205" s="271"/>
      <c r="F205" s="271"/>
      <c r="G205" s="273">
        <f>(B205-B204)/B204</f>
        <v>-9.2541695948343654E-3</v>
      </c>
      <c r="H205" s="4">
        <f t="shared" si="3"/>
        <v>-9.0603682479327725E-3</v>
      </c>
      <c r="I205" s="271"/>
      <c r="J205" s="4"/>
    </row>
    <row r="206" spans="1:10" ht="14.25" customHeight="1" x14ac:dyDescent="0.3">
      <c r="A206" s="272">
        <v>44223</v>
      </c>
      <c r="B206" s="4">
        <v>13967.5</v>
      </c>
      <c r="C206" s="272">
        <v>44223</v>
      </c>
      <c r="D206" s="4">
        <v>3793.74</v>
      </c>
      <c r="E206" s="271"/>
      <c r="F206" s="271"/>
      <c r="G206" s="273">
        <f>(B206-B205)/B205</f>
        <v>-1.9060461131126676E-2</v>
      </c>
      <c r="H206" s="4">
        <f t="shared" si="3"/>
        <v>3.3888466475354193E-2</v>
      </c>
      <c r="I206" s="271"/>
      <c r="J206" s="4"/>
    </row>
    <row r="207" spans="1:10" ht="14.25" customHeight="1" x14ac:dyDescent="0.3">
      <c r="A207" s="272">
        <v>44224</v>
      </c>
      <c r="B207" s="4">
        <v>13817.55</v>
      </c>
      <c r="C207" s="272">
        <v>44224</v>
      </c>
      <c r="D207" s="4">
        <v>3741.95</v>
      </c>
      <c r="E207" s="271"/>
      <c r="F207" s="271"/>
      <c r="G207" s="273">
        <f>(B207-B206)/B206</f>
        <v>-1.0735636298550257E-2</v>
      </c>
      <c r="H207" s="4">
        <f t="shared" si="3"/>
        <v>-1.3651436313505926E-2</v>
      </c>
      <c r="I207" s="271"/>
      <c r="J207" s="4"/>
    </row>
    <row r="208" spans="1:10" ht="14.25" customHeight="1" x14ac:dyDescent="0.3">
      <c r="A208" s="272">
        <v>44225</v>
      </c>
      <c r="B208" s="4">
        <v>13634.6</v>
      </c>
      <c r="C208" s="272">
        <v>44225</v>
      </c>
      <c r="D208" s="4">
        <v>3735.4</v>
      </c>
      <c r="E208" s="271"/>
      <c r="F208" s="271"/>
      <c r="G208" s="273">
        <f>(B208-B207)/B207</f>
        <v>-1.3240408031814534E-2</v>
      </c>
      <c r="H208" s="4">
        <f t="shared" si="3"/>
        <v>-1.7504242440438079E-3</v>
      </c>
      <c r="I208" s="271"/>
      <c r="J208" s="4"/>
    </row>
    <row r="209" spans="1:10" ht="14.25" customHeight="1" x14ac:dyDescent="0.3">
      <c r="A209" s="272">
        <v>44228</v>
      </c>
      <c r="B209" s="4">
        <v>14281.2</v>
      </c>
      <c r="C209" s="272">
        <v>44228</v>
      </c>
      <c r="D209" s="4">
        <v>3710.67</v>
      </c>
      <c r="E209" s="271"/>
      <c r="F209" s="271"/>
      <c r="G209" s="273">
        <f>(B209-B208)/B208</f>
        <v>4.7423466768368734E-2</v>
      </c>
      <c r="H209" s="4">
        <f t="shared" si="3"/>
        <v>-6.6204422551801728E-3</v>
      </c>
      <c r="I209" s="271"/>
      <c r="J209" s="4"/>
    </row>
    <row r="210" spans="1:10" ht="14.25" customHeight="1" x14ac:dyDescent="0.3">
      <c r="A210" s="272">
        <v>44229</v>
      </c>
      <c r="B210" s="4">
        <v>14647.85</v>
      </c>
      <c r="C210" s="272">
        <v>44229</v>
      </c>
      <c r="D210" s="4">
        <v>3805.75</v>
      </c>
      <c r="E210" s="271"/>
      <c r="F210" s="271"/>
      <c r="G210" s="273">
        <f>(B210-B209)/B209</f>
        <v>2.5673612861664259E-2</v>
      </c>
      <c r="H210" s="4">
        <f t="shared" si="3"/>
        <v>2.562340493765275E-2</v>
      </c>
      <c r="I210" s="271"/>
      <c r="J210" s="4"/>
    </row>
    <row r="211" spans="1:10" ht="14.25" customHeight="1" x14ac:dyDescent="0.3">
      <c r="A211" s="272">
        <v>44230</v>
      </c>
      <c r="B211" s="4">
        <v>14789.95</v>
      </c>
      <c r="C211" s="272">
        <v>44230</v>
      </c>
      <c r="D211" s="4">
        <v>4057.31</v>
      </c>
      <c r="E211" s="271"/>
      <c r="F211" s="271"/>
      <c r="G211" s="273">
        <f>(B211-B210)/B210</f>
        <v>9.701082411411939E-3</v>
      </c>
      <c r="H211" s="4">
        <f t="shared" si="3"/>
        <v>6.6099980292977714E-2</v>
      </c>
      <c r="I211" s="271"/>
      <c r="J211" s="4"/>
    </row>
    <row r="212" spans="1:10" ht="14.25" customHeight="1" x14ac:dyDescent="0.3">
      <c r="A212" s="272">
        <v>44231</v>
      </c>
      <c r="B212" s="4">
        <v>14895.65</v>
      </c>
      <c r="C212" s="272">
        <v>44231</v>
      </c>
      <c r="D212" s="4">
        <v>4055.62</v>
      </c>
      <c r="E212" s="271"/>
      <c r="F212" s="271"/>
      <c r="G212" s="273">
        <f>(B212-B211)/B211</f>
        <v>7.1467449180016773E-3</v>
      </c>
      <c r="H212" s="4">
        <f t="shared" si="3"/>
        <v>-4.1653213582399534E-4</v>
      </c>
      <c r="I212" s="271"/>
      <c r="J212" s="4"/>
    </row>
    <row r="213" spans="1:10" ht="14.25" customHeight="1" x14ac:dyDescent="0.3">
      <c r="A213" s="272">
        <v>44232</v>
      </c>
      <c r="B213" s="4">
        <v>14924.25</v>
      </c>
      <c r="C213" s="272">
        <v>44232</v>
      </c>
      <c r="D213" s="4">
        <v>3886.89</v>
      </c>
      <c r="E213" s="271"/>
      <c r="F213" s="271"/>
      <c r="G213" s="273">
        <f>(B213-B212)/B212</f>
        <v>1.920023631060099E-3</v>
      </c>
      <c r="H213" s="4">
        <f t="shared" si="3"/>
        <v>-4.1603996429645781E-2</v>
      </c>
      <c r="I213" s="271"/>
      <c r="J213" s="4"/>
    </row>
    <row r="214" spans="1:10" ht="14.25" customHeight="1" x14ac:dyDescent="0.3">
      <c r="A214" s="272">
        <v>44235</v>
      </c>
      <c r="B214" s="4">
        <v>15115.8</v>
      </c>
      <c r="C214" s="272">
        <v>44235</v>
      </c>
      <c r="D214" s="4">
        <v>3865.45</v>
      </c>
      <c r="E214" s="271"/>
      <c r="F214" s="271"/>
      <c r="G214" s="273">
        <f>(B214-B213)/B213</f>
        <v>1.2834815819890398E-2</v>
      </c>
      <c r="H214" s="4">
        <f t="shared" si="3"/>
        <v>-5.5159780698707849E-3</v>
      </c>
      <c r="I214" s="271"/>
      <c r="J214" s="4"/>
    </row>
    <row r="215" spans="1:10" ht="14.25" customHeight="1" x14ac:dyDescent="0.3">
      <c r="A215" s="272">
        <v>44236</v>
      </c>
      <c r="B215" s="4">
        <v>15109.3</v>
      </c>
      <c r="C215" s="272">
        <v>44236</v>
      </c>
      <c r="D215" s="4">
        <v>3833.32</v>
      </c>
      <c r="E215" s="271"/>
      <c r="F215" s="271"/>
      <c r="G215" s="273">
        <f>(B215-B214)/B214</f>
        <v>-4.300136281242144E-4</v>
      </c>
      <c r="H215" s="4">
        <f t="shared" si="3"/>
        <v>-8.3120982033138852E-3</v>
      </c>
      <c r="I215" s="271"/>
      <c r="J215" s="4"/>
    </row>
    <row r="216" spans="1:10" ht="14.25" customHeight="1" x14ac:dyDescent="0.3">
      <c r="A216" s="272">
        <v>44237</v>
      </c>
      <c r="B216" s="4">
        <v>15106.5</v>
      </c>
      <c r="C216" s="272">
        <v>44237</v>
      </c>
      <c r="D216" s="4">
        <v>3769.33</v>
      </c>
      <c r="E216" s="271"/>
      <c r="F216" s="271"/>
      <c r="G216" s="273">
        <f>(B216-B215)/B215</f>
        <v>-1.8531632835401193E-4</v>
      </c>
      <c r="H216" s="4">
        <f t="shared" si="3"/>
        <v>-1.6693101541222811E-2</v>
      </c>
      <c r="I216" s="271"/>
      <c r="J216" s="4"/>
    </row>
    <row r="217" spans="1:10" ht="14.25" customHeight="1" x14ac:dyDescent="0.3">
      <c r="A217" s="272">
        <v>44238</v>
      </c>
      <c r="B217" s="4">
        <v>15173.3</v>
      </c>
      <c r="C217" s="272">
        <v>44238</v>
      </c>
      <c r="D217" s="4">
        <v>3794.26</v>
      </c>
      <c r="E217" s="271"/>
      <c r="F217" s="271"/>
      <c r="G217" s="273">
        <f>(B217-B216)/B216</f>
        <v>4.4219375765398522E-3</v>
      </c>
      <c r="H217" s="4">
        <f t="shared" si="3"/>
        <v>6.6139075114145726E-3</v>
      </c>
      <c r="I217" s="271"/>
      <c r="J217" s="4"/>
    </row>
    <row r="218" spans="1:10" ht="14.25" customHeight="1" x14ac:dyDescent="0.3">
      <c r="A218" s="272">
        <v>44239</v>
      </c>
      <c r="B218" s="4">
        <v>15163.3</v>
      </c>
      <c r="C218" s="272">
        <v>44239</v>
      </c>
      <c r="D218" s="4">
        <v>3807.02</v>
      </c>
      <c r="E218" s="271"/>
      <c r="F218" s="271"/>
      <c r="G218" s="273">
        <f>(B218-B217)/B217</f>
        <v>-6.5905241443852032E-4</v>
      </c>
      <c r="H218" s="4">
        <f t="shared" si="3"/>
        <v>3.3629745984723671E-3</v>
      </c>
      <c r="I218" s="271"/>
      <c r="J218" s="4"/>
    </row>
    <row r="219" spans="1:10" ht="14.25" customHeight="1" x14ac:dyDescent="0.3">
      <c r="A219" s="272">
        <v>44242</v>
      </c>
      <c r="B219" s="4">
        <v>15314.7</v>
      </c>
      <c r="C219" s="272">
        <v>44242</v>
      </c>
      <c r="D219" s="4">
        <v>3799.77</v>
      </c>
      <c r="E219" s="271"/>
      <c r="F219" s="271"/>
      <c r="G219" s="273">
        <f>(B219-B218)/B218</f>
        <v>9.9846339517124551E-3</v>
      </c>
      <c r="H219" s="4">
        <f t="shared" si="3"/>
        <v>-1.9043766515542341E-3</v>
      </c>
      <c r="I219" s="271"/>
      <c r="J219" s="4"/>
    </row>
    <row r="220" spans="1:10" ht="14.25" customHeight="1" x14ac:dyDescent="0.3">
      <c r="A220" s="272">
        <v>44243</v>
      </c>
      <c r="B220" s="4">
        <v>15313.45</v>
      </c>
      <c r="C220" s="272">
        <v>44243</v>
      </c>
      <c r="D220" s="4">
        <v>3717.55</v>
      </c>
      <c r="E220" s="271"/>
      <c r="F220" s="271"/>
      <c r="G220" s="273">
        <f>(B220-B219)/B219</f>
        <v>-8.1620926299568388E-5</v>
      </c>
      <c r="H220" s="4">
        <f t="shared" si="3"/>
        <v>-2.1638151782871016E-2</v>
      </c>
      <c r="I220" s="271"/>
      <c r="J220" s="4"/>
    </row>
    <row r="221" spans="1:10" ht="14.25" customHeight="1" x14ac:dyDescent="0.3">
      <c r="A221" s="272">
        <v>44244</v>
      </c>
      <c r="B221" s="4">
        <v>15208.9</v>
      </c>
      <c r="C221" s="272">
        <v>44244</v>
      </c>
      <c r="D221" s="4">
        <v>3652.48</v>
      </c>
      <c r="E221" s="271"/>
      <c r="F221" s="271"/>
      <c r="G221" s="273">
        <f>(B221-B220)/B220</f>
        <v>-6.8273315288195071E-3</v>
      </c>
      <c r="H221" s="4">
        <f t="shared" si="3"/>
        <v>-1.7503463302443859E-2</v>
      </c>
      <c r="I221" s="271"/>
      <c r="J221" s="4"/>
    </row>
    <row r="222" spans="1:10" ht="14.25" customHeight="1" x14ac:dyDescent="0.3">
      <c r="A222" s="272">
        <v>44245</v>
      </c>
      <c r="B222" s="4">
        <v>15118.95</v>
      </c>
      <c r="C222" s="272">
        <v>44245</v>
      </c>
      <c r="D222" s="4">
        <v>3648.14</v>
      </c>
      <c r="E222" s="271"/>
      <c r="F222" s="271"/>
      <c r="G222" s="273">
        <f>(B222-B221)/B221</f>
        <v>-5.9143001795000892E-3</v>
      </c>
      <c r="H222" s="4">
        <f t="shared" si="3"/>
        <v>-1.1882337480287764E-3</v>
      </c>
      <c r="I222" s="271"/>
      <c r="J222" s="4"/>
    </row>
    <row r="223" spans="1:10" ht="14.25" customHeight="1" x14ac:dyDescent="0.3">
      <c r="A223" s="272">
        <v>44246</v>
      </c>
      <c r="B223" s="4">
        <v>14981.75</v>
      </c>
      <c r="C223" s="272">
        <v>44246</v>
      </c>
      <c r="D223" s="4">
        <v>3600.41</v>
      </c>
      <c r="E223" s="271"/>
      <c r="F223" s="271"/>
      <c r="G223" s="273">
        <f>(B223-B222)/B222</f>
        <v>-9.0747042618700858E-3</v>
      </c>
      <c r="H223" s="4">
        <f t="shared" si="3"/>
        <v>-1.3083379475568377E-2</v>
      </c>
      <c r="I223" s="271"/>
      <c r="J223" s="4"/>
    </row>
    <row r="224" spans="1:10" ht="14.25" customHeight="1" x14ac:dyDescent="0.3">
      <c r="A224" s="272">
        <v>44249</v>
      </c>
      <c r="B224" s="4">
        <v>14675.7</v>
      </c>
      <c r="C224" s="272">
        <v>44249</v>
      </c>
      <c r="D224" s="4">
        <v>3575.02</v>
      </c>
      <c r="E224" s="271"/>
      <c r="F224" s="271"/>
      <c r="G224" s="273">
        <f>(B224-B223)/B223</f>
        <v>-2.0428187628281028E-2</v>
      </c>
      <c r="H224" s="4">
        <f t="shared" si="3"/>
        <v>-7.0519746362219509E-3</v>
      </c>
      <c r="I224" s="271"/>
      <c r="J224" s="4"/>
    </row>
    <row r="225" spans="1:10" ht="14.25" customHeight="1" x14ac:dyDescent="0.3">
      <c r="A225" s="272">
        <v>44250</v>
      </c>
      <c r="B225" s="4">
        <v>14707.8</v>
      </c>
      <c r="C225" s="272">
        <v>44250</v>
      </c>
      <c r="D225" s="4">
        <v>3538.12</v>
      </c>
      <c r="E225" s="271"/>
      <c r="F225" s="271"/>
      <c r="G225" s="273">
        <f>(B225-B224)/B224</f>
        <v>2.1872891923382558E-3</v>
      </c>
      <c r="H225" s="4">
        <f t="shared" si="3"/>
        <v>-1.032162057834644E-2</v>
      </c>
      <c r="I225" s="271"/>
      <c r="J225" s="4"/>
    </row>
    <row r="226" spans="1:10" ht="14.25" customHeight="1" x14ac:dyDescent="0.3">
      <c r="A226" s="272">
        <v>44251</v>
      </c>
      <c r="B226" s="4">
        <v>14982</v>
      </c>
      <c r="C226" s="272">
        <v>44251</v>
      </c>
      <c r="D226" s="4">
        <v>3504.39</v>
      </c>
      <c r="E226" s="271"/>
      <c r="F226" s="271"/>
      <c r="G226" s="273">
        <f>(B226-B225)/B225</f>
        <v>1.8643168930771479E-2</v>
      </c>
      <c r="H226" s="4">
        <f t="shared" si="3"/>
        <v>-9.5333114761511819E-3</v>
      </c>
      <c r="I226" s="271"/>
      <c r="J226" s="4"/>
    </row>
    <row r="227" spans="1:10" ht="14.25" customHeight="1" x14ac:dyDescent="0.3">
      <c r="A227" s="272">
        <v>44252</v>
      </c>
      <c r="B227" s="4">
        <v>15097.35</v>
      </c>
      <c r="C227" s="272">
        <v>44252</v>
      </c>
      <c r="D227" s="4">
        <v>3445.72</v>
      </c>
      <c r="E227" s="271"/>
      <c r="F227" s="271"/>
      <c r="G227" s="273">
        <f>(B227-B226)/B226</f>
        <v>7.6992390869043094E-3</v>
      </c>
      <c r="H227" s="4">
        <f t="shared" si="3"/>
        <v>-1.6741858069450055E-2</v>
      </c>
      <c r="I227" s="271"/>
      <c r="J227" s="4"/>
    </row>
    <row r="228" spans="1:10" ht="14.25" customHeight="1" x14ac:dyDescent="0.3">
      <c r="A228" s="272">
        <v>44253</v>
      </c>
      <c r="B228" s="4">
        <v>14529.15</v>
      </c>
      <c r="C228" s="272">
        <v>44253</v>
      </c>
      <c r="D228" s="4">
        <v>3392.34</v>
      </c>
      <c r="E228" s="271"/>
      <c r="F228" s="271"/>
      <c r="G228" s="273">
        <f>(B228-B227)/B227</f>
        <v>-3.7635744021301799E-2</v>
      </c>
      <c r="H228" s="4">
        <f t="shared" si="3"/>
        <v>-1.5491682435020738E-2</v>
      </c>
      <c r="I228" s="271"/>
      <c r="J228" s="4"/>
    </row>
    <row r="229" spans="1:10" ht="14.25" customHeight="1" x14ac:dyDescent="0.3">
      <c r="A229" s="272">
        <v>44256</v>
      </c>
      <c r="B229" s="4">
        <v>14761.55</v>
      </c>
      <c r="C229" s="272">
        <v>44256</v>
      </c>
      <c r="D229" s="4">
        <v>3400.07</v>
      </c>
      <c r="E229" s="271"/>
      <c r="F229" s="271"/>
      <c r="G229" s="273">
        <f>(B229-B228)/B228</f>
        <v>1.5995429877177926E-2</v>
      </c>
      <c r="H229" s="4">
        <f t="shared" si="3"/>
        <v>2.2786631057028534E-3</v>
      </c>
      <c r="I229" s="271"/>
      <c r="J229" s="4"/>
    </row>
    <row r="230" spans="1:10" ht="14.25" customHeight="1" x14ac:dyDescent="0.3">
      <c r="A230" s="272">
        <v>44257</v>
      </c>
      <c r="B230" s="4">
        <v>14919.1</v>
      </c>
      <c r="C230" s="272">
        <v>44257</v>
      </c>
      <c r="D230" s="4">
        <v>3611.86</v>
      </c>
      <c r="E230" s="271"/>
      <c r="F230" s="271"/>
      <c r="G230" s="273">
        <f>(B230-B229)/B229</f>
        <v>1.0672998431736578E-2</v>
      </c>
      <c r="H230" s="4">
        <f t="shared" si="3"/>
        <v>6.2289894031593455E-2</v>
      </c>
      <c r="I230" s="271"/>
      <c r="J230" s="4"/>
    </row>
    <row r="231" spans="1:10" ht="14.25" customHeight="1" x14ac:dyDescent="0.3">
      <c r="A231" s="272">
        <v>44258</v>
      </c>
      <c r="B231" s="4">
        <v>15245.6</v>
      </c>
      <c r="C231" s="272">
        <v>44258</v>
      </c>
      <c r="D231" s="4">
        <v>3685.7</v>
      </c>
      <c r="E231" s="271"/>
      <c r="F231" s="271"/>
      <c r="G231" s="273">
        <f>(B231-B230)/B230</f>
        <v>2.1884698138627666E-2</v>
      </c>
      <c r="H231" s="4">
        <f t="shared" si="3"/>
        <v>2.0443760278637514E-2</v>
      </c>
      <c r="I231" s="271"/>
      <c r="J231" s="4"/>
    </row>
    <row r="232" spans="1:10" ht="14.25" customHeight="1" x14ac:dyDescent="0.3">
      <c r="A232" s="272">
        <v>44259</v>
      </c>
      <c r="B232" s="4">
        <v>15080.75</v>
      </c>
      <c r="C232" s="272">
        <v>44259</v>
      </c>
      <c r="D232" s="4">
        <v>3698.46</v>
      </c>
      <c r="E232" s="271"/>
      <c r="F232" s="271"/>
      <c r="G232" s="273">
        <f>(B232-B231)/B231</f>
        <v>-1.0812955869234425E-2</v>
      </c>
      <c r="H232" s="4">
        <f t="shared" si="3"/>
        <v>3.4620289225927828E-3</v>
      </c>
      <c r="I232" s="271"/>
      <c r="J232" s="4"/>
    </row>
    <row r="233" spans="1:10" ht="14.25" customHeight="1" x14ac:dyDescent="0.3">
      <c r="A233" s="272">
        <v>44260</v>
      </c>
      <c r="B233" s="4">
        <v>14938.1</v>
      </c>
      <c r="C233" s="272">
        <v>44260</v>
      </c>
      <c r="D233" s="4">
        <v>3623.5</v>
      </c>
      <c r="E233" s="271"/>
      <c r="F233" s="271"/>
      <c r="G233" s="273">
        <f>(B233-B232)/B232</f>
        <v>-9.4590786267261008E-3</v>
      </c>
      <c r="H233" s="4">
        <f t="shared" si="3"/>
        <v>-2.0267895286146136E-2</v>
      </c>
      <c r="I233" s="271"/>
      <c r="J233" s="4"/>
    </row>
    <row r="234" spans="1:10" ht="14.25" customHeight="1" x14ac:dyDescent="0.3">
      <c r="A234" s="272">
        <v>44263</v>
      </c>
      <c r="B234" s="4">
        <v>14956.2</v>
      </c>
      <c r="C234" s="272">
        <v>44263</v>
      </c>
      <c r="D234" s="4">
        <v>3643.34</v>
      </c>
      <c r="E234" s="271"/>
      <c r="F234" s="271"/>
      <c r="G234" s="273">
        <f>(B234-B233)/B233</f>
        <v>1.2116668117096794E-3</v>
      </c>
      <c r="H234" s="4">
        <f t="shared" si="3"/>
        <v>5.4753691182558703E-3</v>
      </c>
      <c r="I234" s="271"/>
      <c r="J234" s="4"/>
    </row>
    <row r="235" spans="1:10" ht="14.25" customHeight="1" x14ac:dyDescent="0.3">
      <c r="A235" s="272">
        <v>44264</v>
      </c>
      <c r="B235" s="4">
        <v>15098.4</v>
      </c>
      <c r="C235" s="272">
        <v>44264</v>
      </c>
      <c r="D235" s="4">
        <v>3671.89</v>
      </c>
      <c r="E235" s="271"/>
      <c r="F235" s="271"/>
      <c r="G235" s="273">
        <f>(B235-B234)/B234</f>
        <v>9.5077626669875306E-3</v>
      </c>
      <c r="H235" s="4">
        <f t="shared" si="3"/>
        <v>7.8362162191834214E-3</v>
      </c>
      <c r="I235" s="271"/>
      <c r="J235" s="4"/>
    </row>
    <row r="236" spans="1:10" ht="14.25" customHeight="1" x14ac:dyDescent="0.3">
      <c r="A236" s="272">
        <v>44265</v>
      </c>
      <c r="B236" s="4">
        <v>15174.8</v>
      </c>
      <c r="C236" s="272">
        <v>44265</v>
      </c>
      <c r="D236" s="4">
        <v>3890.94</v>
      </c>
      <c r="E236" s="271"/>
      <c r="F236" s="271"/>
      <c r="G236" s="273">
        <f>(B236-B235)/B235</f>
        <v>5.0601388226566811E-3</v>
      </c>
      <c r="H236" s="4">
        <f t="shared" si="3"/>
        <v>5.9655926511959834E-2</v>
      </c>
      <c r="I236" s="271"/>
      <c r="J236" s="4"/>
    </row>
    <row r="237" spans="1:10" ht="14.25" customHeight="1" x14ac:dyDescent="0.3">
      <c r="A237" s="272">
        <v>44267</v>
      </c>
      <c r="B237" s="4">
        <v>15030.95</v>
      </c>
      <c r="C237" s="272">
        <v>44267</v>
      </c>
      <c r="D237" s="4">
        <v>3784.55</v>
      </c>
      <c r="E237" s="271"/>
      <c r="F237" s="271"/>
      <c r="G237" s="273">
        <f>(B237-B236)/B236</f>
        <v>-9.4795318554444577E-3</v>
      </c>
      <c r="H237" s="4">
        <f t="shared" si="3"/>
        <v>-2.7343007088261415E-2</v>
      </c>
      <c r="I237" s="271"/>
      <c r="J237" s="4"/>
    </row>
    <row r="238" spans="1:10" ht="14.25" customHeight="1" x14ac:dyDescent="0.3">
      <c r="A238" s="272">
        <v>44270</v>
      </c>
      <c r="B238" s="4">
        <v>14929.5</v>
      </c>
      <c r="C238" s="272">
        <v>44270</v>
      </c>
      <c r="D238" s="4">
        <v>3851.74</v>
      </c>
      <c r="E238" s="271"/>
      <c r="F238" s="271"/>
      <c r="G238" s="273">
        <f>(B238-B237)/B237</f>
        <v>-6.7494070567729065E-3</v>
      </c>
      <c r="H238" s="4">
        <f t="shared" si="3"/>
        <v>1.7753762006050812E-2</v>
      </c>
      <c r="I238" s="271"/>
      <c r="J238" s="4"/>
    </row>
    <row r="239" spans="1:10" ht="14.25" customHeight="1" x14ac:dyDescent="0.3">
      <c r="A239" s="272">
        <v>44271</v>
      </c>
      <c r="B239" s="4">
        <v>14910.45</v>
      </c>
      <c r="C239" s="272">
        <v>44271</v>
      </c>
      <c r="D239" s="4">
        <v>3878.69</v>
      </c>
      <c r="E239" s="271"/>
      <c r="F239" s="271"/>
      <c r="G239" s="273">
        <f>(B239-B238)/B238</f>
        <v>-1.2759971867778073E-3</v>
      </c>
      <c r="H239" s="4">
        <f t="shared" si="3"/>
        <v>6.996837792789823E-3</v>
      </c>
      <c r="I239" s="271"/>
      <c r="J239" s="4"/>
    </row>
    <row r="240" spans="1:10" ht="14.25" customHeight="1" x14ac:dyDescent="0.3">
      <c r="A240" s="272">
        <v>44272</v>
      </c>
      <c r="B240" s="4">
        <v>14721.3</v>
      </c>
      <c r="C240" s="272">
        <v>44272</v>
      </c>
      <c r="D240" s="4">
        <v>3814.94</v>
      </c>
      <c r="E240" s="271"/>
      <c r="F240" s="271"/>
      <c r="G240" s="273">
        <f>(B240-B239)/B239</f>
        <v>-1.2685733830970993E-2</v>
      </c>
      <c r="H240" s="4">
        <f t="shared" si="3"/>
        <v>-1.6435961626219162E-2</v>
      </c>
      <c r="I240" s="271"/>
      <c r="J240" s="4"/>
    </row>
    <row r="241" spans="1:10" ht="14.25" customHeight="1" x14ac:dyDescent="0.3">
      <c r="A241" s="272">
        <v>44273</v>
      </c>
      <c r="B241" s="4">
        <v>14557.85</v>
      </c>
      <c r="C241" s="272">
        <v>44273</v>
      </c>
      <c r="D241" s="4">
        <v>3776.44</v>
      </c>
      <c r="E241" s="271"/>
      <c r="F241" s="271"/>
      <c r="G241" s="273">
        <f>(B241-B240)/B240</f>
        <v>-1.1102959657095427E-2</v>
      </c>
      <c r="H241" s="4">
        <f t="shared" si="3"/>
        <v>-1.0091901838561027E-2</v>
      </c>
      <c r="I241" s="271"/>
      <c r="J241" s="4"/>
    </row>
    <row r="242" spans="1:10" ht="14.25" customHeight="1" x14ac:dyDescent="0.3">
      <c r="A242" s="272">
        <v>44274</v>
      </c>
      <c r="B242" s="4">
        <v>14744</v>
      </c>
      <c r="C242" s="272">
        <v>44274</v>
      </c>
      <c r="D242" s="4">
        <v>3840.19</v>
      </c>
      <c r="E242" s="271"/>
      <c r="F242" s="271"/>
      <c r="G242" s="273">
        <f>(B242-B241)/B241</f>
        <v>1.2786915650319218E-2</v>
      </c>
      <c r="H242" s="4">
        <f t="shared" si="3"/>
        <v>1.6880977852157059E-2</v>
      </c>
      <c r="I242" s="271"/>
      <c r="J242" s="4"/>
    </row>
    <row r="243" spans="1:10" ht="14.25" customHeight="1" x14ac:dyDescent="0.3">
      <c r="A243" s="272">
        <v>44277</v>
      </c>
      <c r="B243" s="4">
        <v>14736.4</v>
      </c>
      <c r="C243" s="272">
        <v>44277</v>
      </c>
      <c r="D243" s="4">
        <v>3857.16</v>
      </c>
      <c r="E243" s="271"/>
      <c r="F243" s="271"/>
      <c r="G243" s="273">
        <f>(B243-B242)/B242</f>
        <v>-5.1546391752579782E-4</v>
      </c>
      <c r="H243" s="4">
        <f t="shared" si="3"/>
        <v>4.4190521823138434E-3</v>
      </c>
      <c r="I243" s="271"/>
      <c r="J243" s="4"/>
    </row>
    <row r="244" spans="1:10" ht="14.25" customHeight="1" x14ac:dyDescent="0.3">
      <c r="A244" s="272">
        <v>44278</v>
      </c>
      <c r="B244" s="4">
        <v>14814.75</v>
      </c>
      <c r="C244" s="272">
        <v>44278</v>
      </c>
      <c r="D244" s="4">
        <v>3801.93</v>
      </c>
      <c r="E244" s="271"/>
      <c r="F244" s="271"/>
      <c r="G244" s="273">
        <f>(B244-B243)/B243</f>
        <v>5.3167666458565433E-3</v>
      </c>
      <c r="H244" s="4">
        <f t="shared" si="3"/>
        <v>-1.4318825249665563E-2</v>
      </c>
      <c r="I244" s="271"/>
      <c r="J244" s="4"/>
    </row>
    <row r="245" spans="1:10" ht="14.25" customHeight="1" x14ac:dyDescent="0.3">
      <c r="A245" s="272">
        <v>44279</v>
      </c>
      <c r="B245" s="4">
        <v>14549.4</v>
      </c>
      <c r="C245" s="272">
        <v>44279</v>
      </c>
      <c r="D245" s="4">
        <v>3743.23</v>
      </c>
      <c r="E245" s="271"/>
      <c r="F245" s="271"/>
      <c r="G245" s="273">
        <f>(B245-B244)/B244</f>
        <v>-1.7911203361514732E-2</v>
      </c>
      <c r="H245" s="4">
        <f t="shared" si="3"/>
        <v>-1.543952676666846E-2</v>
      </c>
      <c r="I245" s="271"/>
      <c r="J245" s="4"/>
    </row>
    <row r="246" spans="1:10" ht="14.25" customHeight="1" x14ac:dyDescent="0.3">
      <c r="A246" s="272">
        <v>44280</v>
      </c>
      <c r="B246" s="4">
        <v>14324.9</v>
      </c>
      <c r="C246" s="272">
        <v>44280</v>
      </c>
      <c r="D246" s="4">
        <v>3616.48</v>
      </c>
      <c r="E246" s="271"/>
      <c r="F246" s="271"/>
      <c r="G246" s="273">
        <f>(B246-B245)/B245</f>
        <v>-1.5430189561081557E-2</v>
      </c>
      <c r="H246" s="4">
        <f t="shared" si="3"/>
        <v>-3.3861130627826773E-2</v>
      </c>
      <c r="I246" s="271"/>
      <c r="J246" s="4"/>
    </row>
    <row r="247" spans="1:10" ht="14.25" customHeight="1" x14ac:dyDescent="0.3">
      <c r="A247" s="272">
        <v>44281</v>
      </c>
      <c r="B247" s="4">
        <v>14507.3</v>
      </c>
      <c r="C247" s="272">
        <v>44281</v>
      </c>
      <c r="D247" s="4">
        <v>3719.71</v>
      </c>
      <c r="E247" s="271"/>
      <c r="F247" s="271"/>
      <c r="G247" s="273">
        <f>(B247-B246)/B246</f>
        <v>1.2733073180266504E-2</v>
      </c>
      <c r="H247" s="4">
        <f t="shared" si="3"/>
        <v>2.8544330398619658E-2</v>
      </c>
      <c r="I247" s="271"/>
      <c r="J247" s="4"/>
    </row>
    <row r="248" spans="1:10" ht="14.25" customHeight="1" x14ac:dyDescent="0.3">
      <c r="A248" s="272">
        <v>44285</v>
      </c>
      <c r="B248" s="4">
        <v>14845.1</v>
      </c>
      <c r="C248" s="272">
        <v>44285</v>
      </c>
      <c r="D248" s="4">
        <v>3923.03</v>
      </c>
      <c r="E248" s="271"/>
      <c r="F248" s="271"/>
      <c r="G248" s="273">
        <f>(B248-B247)/B247</f>
        <v>2.3284829017115597E-2</v>
      </c>
      <c r="H248" s="4">
        <f t="shared" si="3"/>
        <v>5.4660175121178843E-2</v>
      </c>
      <c r="I248" s="271"/>
      <c r="J248" s="4"/>
    </row>
    <row r="249" spans="1:10" ht="14.25" customHeight="1" x14ac:dyDescent="0.3">
      <c r="A249" s="272">
        <v>44286</v>
      </c>
      <c r="B249" s="4">
        <v>14690.7</v>
      </c>
      <c r="C249" s="272">
        <v>44286</v>
      </c>
      <c r="D249" s="4">
        <v>3820.59</v>
      </c>
      <c r="E249" s="271"/>
      <c r="F249" s="271"/>
      <c r="G249" s="273">
        <f>(B249-B248)/B248</f>
        <v>-1.0400738290749112E-2</v>
      </c>
      <c r="H249" s="4">
        <f t="shared" si="3"/>
        <v>-2.6112469188356972E-2</v>
      </c>
      <c r="I249" s="271"/>
      <c r="J249" s="4"/>
    </row>
    <row r="250" spans="1:10" ht="14.25" customHeight="1" x14ac:dyDescent="0.3">
      <c r="A250" s="272">
        <v>44287</v>
      </c>
      <c r="B250" s="4">
        <v>14867.35</v>
      </c>
      <c r="C250" s="272">
        <v>44287</v>
      </c>
      <c r="D250" s="4">
        <v>3875.72</v>
      </c>
      <c r="E250" s="271"/>
      <c r="F250" s="271"/>
      <c r="G250" s="273">
        <f>(B250-B249)/B249</f>
        <v>1.2024614211712146E-2</v>
      </c>
      <c r="H250" s="4">
        <f t="shared" si="3"/>
        <v>1.4429708500519462E-2</v>
      </c>
      <c r="I250" s="271"/>
      <c r="J250" s="4"/>
    </row>
    <row r="251" spans="1:10" ht="14.25" customHeight="1" x14ac:dyDescent="0.3">
      <c r="A251" s="272">
        <v>44291</v>
      </c>
      <c r="B251" s="4">
        <v>14637.8</v>
      </c>
      <c r="C251" s="272">
        <v>44291</v>
      </c>
      <c r="D251" s="4">
        <v>4023.39</v>
      </c>
      <c r="E251" s="271"/>
      <c r="F251" s="271"/>
      <c r="G251" s="273">
        <f>(B251-B250)/B250</f>
        <v>-1.5439873279367277E-2</v>
      </c>
      <c r="H251" s="4">
        <f t="shared" si="3"/>
        <v>3.810130762800204E-2</v>
      </c>
      <c r="I251" s="271"/>
      <c r="J251" s="4"/>
    </row>
    <row r="252" spans="1:10" ht="14.25" customHeight="1" x14ac:dyDescent="0.3">
      <c r="A252" s="272">
        <v>44292</v>
      </c>
      <c r="B252" s="4">
        <v>14683.5</v>
      </c>
      <c r="C252" s="272">
        <v>44292</v>
      </c>
      <c r="D252" s="4">
        <v>4012.13</v>
      </c>
      <c r="E252" s="271"/>
      <c r="F252" s="271"/>
      <c r="G252" s="273">
        <f>(B252-B251)/B251</f>
        <v>3.1220538605528651E-3</v>
      </c>
      <c r="H252" s="4">
        <f t="shared" si="3"/>
        <v>-2.798634981943029E-3</v>
      </c>
      <c r="I252" s="271"/>
      <c r="J252" s="4"/>
    </row>
    <row r="253" spans="1:10" ht="14.25" customHeight="1" x14ac:dyDescent="0.3">
      <c r="A253" s="272">
        <v>44293</v>
      </c>
      <c r="B253" s="4">
        <v>14819.05</v>
      </c>
      <c r="C253" s="272">
        <v>44293</v>
      </c>
      <c r="D253" s="4">
        <v>4050.67</v>
      </c>
      <c r="E253" s="271"/>
      <c r="F253" s="271"/>
      <c r="G253" s="273">
        <f>(B253-B252)/B252</f>
        <v>9.2314502673067917E-3</v>
      </c>
      <c r="H253" s="4">
        <f t="shared" si="3"/>
        <v>9.6058701986226677E-3</v>
      </c>
      <c r="I253" s="271"/>
      <c r="J253" s="4"/>
    </row>
    <row r="254" spans="1:10" ht="14.25" customHeight="1" x14ac:dyDescent="0.3">
      <c r="A254" s="272">
        <v>44294</v>
      </c>
      <c r="B254" s="4">
        <v>14873.8</v>
      </c>
      <c r="C254" s="272">
        <v>44294</v>
      </c>
      <c r="D254" s="4">
        <v>4076.68</v>
      </c>
      <c r="E254" s="271"/>
      <c r="F254" s="271"/>
      <c r="G254" s="273">
        <f>(B254-B253)/B253</f>
        <v>3.6945688151399721E-3</v>
      </c>
      <c r="H254" s="4">
        <f t="shared" si="3"/>
        <v>6.4211599562540925E-3</v>
      </c>
      <c r="I254" s="271"/>
      <c r="J254" s="4"/>
    </row>
    <row r="255" spans="1:10" ht="14.25" customHeight="1" x14ac:dyDescent="0.3">
      <c r="A255" s="272">
        <v>44295</v>
      </c>
      <c r="B255" s="4">
        <v>14834.85</v>
      </c>
      <c r="C255" s="272">
        <v>44295</v>
      </c>
      <c r="D255" s="4">
        <v>4126.2</v>
      </c>
      <c r="E255" s="271"/>
      <c r="F255" s="271"/>
      <c r="G255" s="273">
        <f>(B255-B254)/B254</f>
        <v>-2.618698651319697E-3</v>
      </c>
      <c r="H255" s="4">
        <f t="shared" si="3"/>
        <v>1.2147139338873786E-2</v>
      </c>
      <c r="I255" s="271"/>
      <c r="J255" s="4"/>
    </row>
    <row r="256" spans="1:10" ht="14.25" customHeight="1" x14ac:dyDescent="0.3">
      <c r="A256" s="272">
        <v>44298</v>
      </c>
      <c r="B256" s="4">
        <v>14310.8</v>
      </c>
      <c r="C256" s="272">
        <v>44298</v>
      </c>
      <c r="D256" s="4">
        <v>4012.32</v>
      </c>
      <c r="E256" s="271"/>
      <c r="F256" s="271"/>
      <c r="G256" s="273">
        <f>(B256-B255)/B255</f>
        <v>-3.5325601539617932E-2</v>
      </c>
      <c r="H256" s="4">
        <f t="shared" si="3"/>
        <v>-2.7599243856332622E-2</v>
      </c>
      <c r="I256" s="271"/>
      <c r="J256" s="4"/>
    </row>
    <row r="257" spans="1:10" ht="14.25" customHeight="1" x14ac:dyDescent="0.3">
      <c r="A257" s="272">
        <v>44299</v>
      </c>
      <c r="B257" s="4">
        <v>14504.8</v>
      </c>
      <c r="C257" s="272">
        <v>44299</v>
      </c>
      <c r="D257" s="4">
        <v>3871.43</v>
      </c>
      <c r="E257" s="271"/>
      <c r="F257" s="271"/>
      <c r="G257" s="273">
        <f>(B257-B256)/B256</f>
        <v>1.3556195321016297E-2</v>
      </c>
      <c r="H257" s="4">
        <f t="shared" si="3"/>
        <v>-3.5114347808749134E-2</v>
      </c>
      <c r="I257" s="271"/>
      <c r="J257" s="4"/>
    </row>
    <row r="258" spans="1:10" ht="14.25" customHeight="1" x14ac:dyDescent="0.3">
      <c r="A258" s="272">
        <v>44301</v>
      </c>
      <c r="B258" s="4">
        <v>14581.45</v>
      </c>
      <c r="C258" s="272">
        <v>44301</v>
      </c>
      <c r="D258" s="4">
        <v>3812.02</v>
      </c>
      <c r="E258" s="271"/>
      <c r="F258" s="271"/>
      <c r="G258" s="273">
        <f>(B258-B257)/B257</f>
        <v>5.2844575588771618E-3</v>
      </c>
      <c r="H258" s="4">
        <f t="shared" si="3"/>
        <v>-1.5345750794925868E-2</v>
      </c>
      <c r="I258" s="271"/>
      <c r="J258" s="4"/>
    </row>
    <row r="259" spans="1:10" ht="14.25" customHeight="1" x14ac:dyDescent="0.3">
      <c r="A259" s="272">
        <v>44302</v>
      </c>
      <c r="B259" s="4">
        <v>14617.85</v>
      </c>
      <c r="C259" s="272">
        <v>44302</v>
      </c>
      <c r="D259" s="4">
        <v>3854.14</v>
      </c>
      <c r="E259" s="271"/>
      <c r="F259" s="271"/>
      <c r="G259" s="273">
        <f>(B259-B258)/B258</f>
        <v>2.4963223822047627E-3</v>
      </c>
      <c r="H259" s="4">
        <f t="shared" ref="H259:H322" si="4">(D259-D258)/D258</f>
        <v>1.1049259972403054E-2</v>
      </c>
      <c r="I259" s="271"/>
      <c r="J259" s="4"/>
    </row>
    <row r="260" spans="1:10" ht="14.25" customHeight="1" x14ac:dyDescent="0.3">
      <c r="A260" s="272">
        <v>44305</v>
      </c>
      <c r="B260" s="4">
        <v>14359.45</v>
      </c>
      <c r="C260" s="272">
        <v>44305</v>
      </c>
      <c r="D260" s="4">
        <v>3829.12</v>
      </c>
      <c r="E260" s="271"/>
      <c r="F260" s="271"/>
      <c r="G260" s="273">
        <f>(B260-B259)/B259</f>
        <v>-1.7677018166146159E-2</v>
      </c>
      <c r="H260" s="4">
        <f t="shared" si="4"/>
        <v>-6.4917205913640873E-3</v>
      </c>
      <c r="I260" s="271"/>
      <c r="J260" s="4"/>
    </row>
    <row r="261" spans="1:10" ht="14.25" customHeight="1" x14ac:dyDescent="0.3">
      <c r="A261" s="272">
        <v>44306</v>
      </c>
      <c r="B261" s="4">
        <v>14296.4</v>
      </c>
      <c r="C261" s="272">
        <v>44306</v>
      </c>
      <c r="D261" s="4">
        <v>3740.45</v>
      </c>
      <c r="E261" s="271"/>
      <c r="F261" s="271"/>
      <c r="G261" s="273">
        <f>(B261-B260)/B260</f>
        <v>-4.3908366963916505E-3</v>
      </c>
      <c r="H261" s="4">
        <f t="shared" si="4"/>
        <v>-2.3156756643824189E-2</v>
      </c>
      <c r="I261" s="271"/>
      <c r="J261" s="4"/>
    </row>
    <row r="262" spans="1:10" ht="14.25" customHeight="1" x14ac:dyDescent="0.3">
      <c r="A262" s="272">
        <v>44308</v>
      </c>
      <c r="B262" s="4">
        <v>14406.15</v>
      </c>
      <c r="C262" s="272">
        <v>44308</v>
      </c>
      <c r="D262" s="4">
        <v>3689.56</v>
      </c>
      <c r="E262" s="271"/>
      <c r="F262" s="271"/>
      <c r="G262" s="273">
        <f>(B262-B261)/B261</f>
        <v>7.6767577851766878E-3</v>
      </c>
      <c r="H262" s="4">
        <f t="shared" si="4"/>
        <v>-1.3605314868531828E-2</v>
      </c>
      <c r="I262" s="271"/>
      <c r="J262" s="4"/>
    </row>
    <row r="263" spans="1:10" ht="14.25" customHeight="1" x14ac:dyDescent="0.3">
      <c r="A263" s="272">
        <v>44309</v>
      </c>
      <c r="B263" s="4">
        <v>14341.35</v>
      </c>
      <c r="C263" s="272">
        <v>44309</v>
      </c>
      <c r="D263" s="4">
        <v>3676.18</v>
      </c>
      <c r="E263" s="271"/>
      <c r="F263" s="271"/>
      <c r="G263" s="273">
        <f>(B263-B262)/B262</f>
        <v>-4.49807894545033E-3</v>
      </c>
      <c r="H263" s="4">
        <f t="shared" si="4"/>
        <v>-3.6264486822277209E-3</v>
      </c>
      <c r="I263" s="271"/>
      <c r="J263" s="4"/>
    </row>
    <row r="264" spans="1:10" ht="14.25" customHeight="1" x14ac:dyDescent="0.3">
      <c r="A264" s="272">
        <v>44312</v>
      </c>
      <c r="B264" s="4">
        <v>14485</v>
      </c>
      <c r="C264" s="272">
        <v>44312</v>
      </c>
      <c r="D264" s="4">
        <v>3707.28</v>
      </c>
      <c r="E264" s="271"/>
      <c r="F264" s="271"/>
      <c r="G264" s="273">
        <f>(B264-B263)/B263</f>
        <v>1.0016490776670233E-2</v>
      </c>
      <c r="H264" s="4">
        <f t="shared" si="4"/>
        <v>8.4598686680196194E-3</v>
      </c>
      <c r="I264" s="271"/>
      <c r="J264" s="4"/>
    </row>
    <row r="265" spans="1:10" ht="14.25" customHeight="1" x14ac:dyDescent="0.3">
      <c r="A265" s="272">
        <v>44313</v>
      </c>
      <c r="B265" s="4">
        <v>14653.05</v>
      </c>
      <c r="C265" s="272">
        <v>44313</v>
      </c>
      <c r="D265" s="4">
        <v>3684.33</v>
      </c>
      <c r="E265" s="271"/>
      <c r="F265" s="271"/>
      <c r="G265" s="273">
        <f>(B265-B264)/B264</f>
        <v>1.1601656886434192E-2</v>
      </c>
      <c r="H265" s="4">
        <f t="shared" si="4"/>
        <v>-6.1905224315401781E-3</v>
      </c>
      <c r="I265" s="271"/>
      <c r="J265" s="4"/>
    </row>
    <row r="266" spans="1:10" ht="14.25" customHeight="1" x14ac:dyDescent="0.3">
      <c r="A266" s="272">
        <v>44314</v>
      </c>
      <c r="B266" s="4">
        <v>14864.55</v>
      </c>
      <c r="C266" s="272">
        <v>44314</v>
      </c>
      <c r="D266" s="4">
        <v>3666.57</v>
      </c>
      <c r="E266" s="271"/>
      <c r="F266" s="271"/>
      <c r="G266" s="273">
        <f>(B266-B265)/B265</f>
        <v>1.4433855067716278E-2</v>
      </c>
      <c r="H266" s="4">
        <f t="shared" si="4"/>
        <v>-4.8204151093956737E-3</v>
      </c>
      <c r="I266" s="271"/>
      <c r="J266" s="4"/>
    </row>
    <row r="267" spans="1:10" ht="14.25" customHeight="1" x14ac:dyDescent="0.3">
      <c r="A267" s="272">
        <v>44315</v>
      </c>
      <c r="B267" s="4">
        <v>14894.9</v>
      </c>
      <c r="C267" s="272">
        <v>44315</v>
      </c>
      <c r="D267" s="4">
        <v>3629.01</v>
      </c>
      <c r="E267" s="271"/>
      <c r="F267" s="271"/>
      <c r="G267" s="273">
        <f>(B267-B266)/B266</f>
        <v>2.0417705211392451E-3</v>
      </c>
      <c r="H267" s="4">
        <f t="shared" si="4"/>
        <v>-1.0243906430260418E-2</v>
      </c>
      <c r="I267" s="271"/>
      <c r="J267" s="4"/>
    </row>
    <row r="268" spans="1:10" ht="14.25" customHeight="1" x14ac:dyDescent="0.3">
      <c r="A268" s="272">
        <v>44316</v>
      </c>
      <c r="B268" s="4">
        <v>14631.1</v>
      </c>
      <c r="C268" s="272">
        <v>44316</v>
      </c>
      <c r="D268" s="4">
        <v>3666</v>
      </c>
      <c r="E268" s="271"/>
      <c r="F268" s="271"/>
      <c r="G268" s="273">
        <f>(B268-B267)/B267</f>
        <v>-1.7710760058812027E-2</v>
      </c>
      <c r="H268" s="4">
        <f t="shared" si="4"/>
        <v>1.0192862516223372E-2</v>
      </c>
      <c r="I268" s="271"/>
      <c r="J268" s="4"/>
    </row>
    <row r="269" spans="1:10" ht="14.25" customHeight="1" x14ac:dyDescent="0.3">
      <c r="A269" s="272">
        <v>44319</v>
      </c>
      <c r="B269" s="4">
        <v>14634.15</v>
      </c>
      <c r="C269" s="272">
        <v>44319</v>
      </c>
      <c r="D269" s="4">
        <v>3697.43</v>
      </c>
      <c r="E269" s="271"/>
      <c r="F269" s="271"/>
      <c r="G269" s="273">
        <f>(B269-B268)/B268</f>
        <v>2.0846006110266982E-4</v>
      </c>
      <c r="H269" s="4">
        <f t="shared" si="4"/>
        <v>8.5733769776322518E-3</v>
      </c>
      <c r="I269" s="271"/>
      <c r="J269" s="4"/>
    </row>
    <row r="270" spans="1:10" ht="14.25" customHeight="1" x14ac:dyDescent="0.3">
      <c r="A270" s="272">
        <v>44320</v>
      </c>
      <c r="B270" s="4">
        <v>14496.5</v>
      </c>
      <c r="C270" s="272">
        <v>44320</v>
      </c>
      <c r="D270" s="4">
        <v>3624.68</v>
      </c>
      <c r="E270" s="271"/>
      <c r="F270" s="271"/>
      <c r="G270" s="273">
        <f>(B270-B269)/B269</f>
        <v>-9.4060809818130638E-3</v>
      </c>
      <c r="H270" s="4">
        <f t="shared" si="4"/>
        <v>-1.9675828886550929E-2</v>
      </c>
      <c r="I270" s="271"/>
      <c r="J270" s="4"/>
    </row>
    <row r="271" spans="1:10" ht="14.25" customHeight="1" x14ac:dyDescent="0.3">
      <c r="A271" s="272">
        <v>44321</v>
      </c>
      <c r="B271" s="4">
        <v>14617.85</v>
      </c>
      <c r="C271" s="272">
        <v>44321</v>
      </c>
      <c r="D271" s="4">
        <v>3689.47</v>
      </c>
      <c r="E271" s="271"/>
      <c r="F271" s="271"/>
      <c r="G271" s="273">
        <f>(B271-B270)/B270</f>
        <v>8.3709861000931512E-3</v>
      </c>
      <c r="H271" s="4">
        <f t="shared" si="4"/>
        <v>1.7874681351181337E-2</v>
      </c>
      <c r="I271" s="271"/>
      <c r="J271" s="4"/>
    </row>
    <row r="272" spans="1:10" ht="14.25" customHeight="1" x14ac:dyDescent="0.3">
      <c r="A272" s="272">
        <v>44322</v>
      </c>
      <c r="B272" s="4">
        <v>14724.8</v>
      </c>
      <c r="C272" s="272">
        <v>44322</v>
      </c>
      <c r="D272" s="4">
        <v>3592.59</v>
      </c>
      <c r="E272" s="271"/>
      <c r="F272" s="271"/>
      <c r="G272" s="273">
        <f>(B272-B271)/B271</f>
        <v>7.3163974182249032E-3</v>
      </c>
      <c r="H272" s="4">
        <f t="shared" si="4"/>
        <v>-2.6258514095520404E-2</v>
      </c>
      <c r="I272" s="271"/>
      <c r="J272" s="4"/>
    </row>
    <row r="273" spans="1:10" ht="14.25" customHeight="1" x14ac:dyDescent="0.3">
      <c r="A273" s="272">
        <v>44323</v>
      </c>
      <c r="B273" s="4">
        <v>14823.15</v>
      </c>
      <c r="C273" s="272">
        <v>44323</v>
      </c>
      <c r="D273" s="4">
        <v>3551.36</v>
      </c>
      <c r="E273" s="271"/>
      <c r="F273" s="271"/>
      <c r="G273" s="273">
        <f>(B273-B272)/B272</f>
        <v>6.6792078669999167E-3</v>
      </c>
      <c r="H273" s="4">
        <f t="shared" si="4"/>
        <v>-1.1476400034515494E-2</v>
      </c>
      <c r="I273" s="271"/>
      <c r="J273" s="4"/>
    </row>
    <row r="274" spans="1:10" ht="14.25" customHeight="1" x14ac:dyDescent="0.3">
      <c r="A274" s="272">
        <v>44326</v>
      </c>
      <c r="B274" s="4">
        <v>14942.35</v>
      </c>
      <c r="C274" s="272">
        <v>44326</v>
      </c>
      <c r="D274" s="4">
        <v>3454.16</v>
      </c>
      <c r="E274" s="271"/>
      <c r="F274" s="271"/>
      <c r="G274" s="273">
        <f>(B274-B273)/B273</f>
        <v>8.0414756647541677E-3</v>
      </c>
      <c r="H274" s="4">
        <f t="shared" si="4"/>
        <v>-2.7369796359704528E-2</v>
      </c>
      <c r="I274" s="271"/>
      <c r="J274" s="4"/>
    </row>
    <row r="275" spans="1:10" ht="14.25" customHeight="1" x14ac:dyDescent="0.3">
      <c r="A275" s="272">
        <v>44327</v>
      </c>
      <c r="B275" s="4">
        <v>14850.75</v>
      </c>
      <c r="C275" s="272">
        <v>44327</v>
      </c>
      <c r="D275" s="4">
        <v>3410.24</v>
      </c>
      <c r="E275" s="271"/>
      <c r="F275" s="271"/>
      <c r="G275" s="273">
        <f>(B275-B274)/B274</f>
        <v>-6.1302271731019792E-3</v>
      </c>
      <c r="H275" s="4">
        <f t="shared" si="4"/>
        <v>-1.2715102948328992E-2</v>
      </c>
      <c r="I275" s="271"/>
      <c r="J275" s="4"/>
    </row>
    <row r="276" spans="1:10" ht="14.25" customHeight="1" x14ac:dyDescent="0.3">
      <c r="A276" s="272">
        <v>44328</v>
      </c>
      <c r="B276" s="4">
        <v>14696.5</v>
      </c>
      <c r="C276" s="272">
        <v>44328</v>
      </c>
      <c r="D276" s="4">
        <v>3450.91</v>
      </c>
      <c r="E276" s="271"/>
      <c r="F276" s="271"/>
      <c r="G276" s="273">
        <f>(B276-B275)/B275</f>
        <v>-1.0386680807366631E-2</v>
      </c>
      <c r="H276" s="4">
        <f t="shared" si="4"/>
        <v>1.1925846861218E-2</v>
      </c>
      <c r="I276" s="271"/>
      <c r="J276" s="4"/>
    </row>
    <row r="277" spans="1:10" ht="14.25" customHeight="1" x14ac:dyDescent="0.3">
      <c r="A277" s="272">
        <v>44330</v>
      </c>
      <c r="B277" s="4">
        <v>14677.8</v>
      </c>
      <c r="C277" s="272">
        <v>44330</v>
      </c>
      <c r="D277" s="4">
        <v>3390.93</v>
      </c>
      <c r="E277" s="271"/>
      <c r="F277" s="271"/>
      <c r="G277" s="273">
        <f>(B277-B276)/B276</f>
        <v>-1.2724117987276376E-3</v>
      </c>
      <c r="H277" s="4">
        <f t="shared" si="4"/>
        <v>-1.738092271313944E-2</v>
      </c>
      <c r="I277" s="271"/>
      <c r="J277" s="4"/>
    </row>
    <row r="278" spans="1:10" ht="14.25" customHeight="1" x14ac:dyDescent="0.3">
      <c r="A278" s="272">
        <v>44333</v>
      </c>
      <c r="B278" s="4">
        <v>14923.15</v>
      </c>
      <c r="C278" s="272">
        <v>44333</v>
      </c>
      <c r="D278" s="4">
        <v>3377.07</v>
      </c>
      <c r="E278" s="271"/>
      <c r="F278" s="271"/>
      <c r="G278" s="273">
        <f>(B278-B277)/B277</f>
        <v>1.6715720339560449E-2</v>
      </c>
      <c r="H278" s="4">
        <f t="shared" si="4"/>
        <v>-4.0873742601586207E-3</v>
      </c>
      <c r="I278" s="271"/>
      <c r="J278" s="4"/>
    </row>
    <row r="279" spans="1:10" ht="14.25" customHeight="1" x14ac:dyDescent="0.3">
      <c r="A279" s="272">
        <v>44334</v>
      </c>
      <c r="B279" s="4">
        <v>15108.1</v>
      </c>
      <c r="C279" s="272">
        <v>44334</v>
      </c>
      <c r="D279" s="4">
        <v>3425.84</v>
      </c>
      <c r="E279" s="271"/>
      <c r="F279" s="271"/>
      <c r="G279" s="273">
        <f>(B279-B278)/B278</f>
        <v>1.2393496011230921E-2</v>
      </c>
      <c r="H279" s="4">
        <f t="shared" si="4"/>
        <v>1.4441512909119438E-2</v>
      </c>
      <c r="I279" s="271"/>
      <c r="J279" s="4"/>
    </row>
    <row r="280" spans="1:10" ht="14.25" customHeight="1" x14ac:dyDescent="0.3">
      <c r="A280" s="272">
        <v>44335</v>
      </c>
      <c r="B280" s="4">
        <v>15030.15</v>
      </c>
      <c r="C280" s="272">
        <v>44335</v>
      </c>
      <c r="D280" s="4">
        <v>3531.67</v>
      </c>
      <c r="E280" s="271"/>
      <c r="F280" s="271"/>
      <c r="G280" s="273">
        <f>(B280-B279)/B279</f>
        <v>-5.159483985411847E-3</v>
      </c>
      <c r="H280" s="4">
        <f t="shared" si="4"/>
        <v>3.089169371599372E-2</v>
      </c>
      <c r="I280" s="271"/>
      <c r="J280" s="4"/>
    </row>
    <row r="281" spans="1:10" ht="14.25" customHeight="1" x14ac:dyDescent="0.3">
      <c r="A281" s="272">
        <v>44336</v>
      </c>
      <c r="B281" s="4">
        <v>14906.05</v>
      </c>
      <c r="C281" s="272">
        <v>44336</v>
      </c>
      <c r="D281" s="4">
        <v>3461.98</v>
      </c>
      <c r="E281" s="271"/>
      <c r="F281" s="271"/>
      <c r="G281" s="273">
        <f>(B281-B280)/B280</f>
        <v>-8.2567372913776894E-3</v>
      </c>
      <c r="H281" s="4">
        <f t="shared" si="4"/>
        <v>-1.9732874249292841E-2</v>
      </c>
      <c r="I281" s="271"/>
      <c r="J281" s="4"/>
    </row>
    <row r="282" spans="1:10" ht="14.25" customHeight="1" x14ac:dyDescent="0.3">
      <c r="A282" s="272">
        <v>44337</v>
      </c>
      <c r="B282" s="4">
        <v>15175.3</v>
      </c>
      <c r="C282" s="272">
        <v>44337</v>
      </c>
      <c r="D282" s="4">
        <v>3444.92</v>
      </c>
      <c r="E282" s="271"/>
      <c r="F282" s="271"/>
      <c r="G282" s="273">
        <f>(B282-B281)/B281</f>
        <v>1.8063135438295189E-2</v>
      </c>
      <c r="H282" s="4">
        <f t="shared" si="4"/>
        <v>-4.9278158741529257E-3</v>
      </c>
      <c r="I282" s="271"/>
      <c r="J282" s="4"/>
    </row>
    <row r="283" spans="1:10" ht="14.25" customHeight="1" x14ac:dyDescent="0.3">
      <c r="A283" s="272">
        <v>44340</v>
      </c>
      <c r="B283" s="4">
        <v>15197.7</v>
      </c>
      <c r="C283" s="272">
        <v>44340</v>
      </c>
      <c r="D283" s="4">
        <v>3453.03</v>
      </c>
      <c r="E283" s="271"/>
      <c r="F283" s="271"/>
      <c r="G283" s="273">
        <f>(B283-B282)/B282</f>
        <v>1.4760828451497799E-3</v>
      </c>
      <c r="H283" s="4">
        <f t="shared" si="4"/>
        <v>2.3541910987773672E-3</v>
      </c>
      <c r="I283" s="271"/>
      <c r="J283" s="4"/>
    </row>
    <row r="284" spans="1:10" ht="14.25" customHeight="1" x14ac:dyDescent="0.3">
      <c r="A284" s="272">
        <v>44341</v>
      </c>
      <c r="B284" s="4">
        <v>15208.45</v>
      </c>
      <c r="C284" s="272">
        <v>44341</v>
      </c>
      <c r="D284" s="4">
        <v>3493.78</v>
      </c>
      <c r="E284" s="271"/>
      <c r="F284" s="271"/>
      <c r="G284" s="273">
        <f>(B284-B283)/B283</f>
        <v>7.0734387440204766E-4</v>
      </c>
      <c r="H284" s="4">
        <f t="shared" si="4"/>
        <v>1.1801229644688866E-2</v>
      </c>
      <c r="I284" s="271"/>
      <c r="J284" s="4"/>
    </row>
    <row r="285" spans="1:10" ht="14.25" customHeight="1" x14ac:dyDescent="0.3">
      <c r="A285" s="272">
        <v>44342</v>
      </c>
      <c r="B285" s="4">
        <v>15301.45</v>
      </c>
      <c r="C285" s="272">
        <v>44342</v>
      </c>
      <c r="D285" s="4">
        <v>3580.81</v>
      </c>
      <c r="E285" s="271"/>
      <c r="F285" s="271"/>
      <c r="G285" s="273">
        <f>(B285-B284)/B284</f>
        <v>6.1150215833960719E-3</v>
      </c>
      <c r="H285" s="4">
        <f t="shared" si="4"/>
        <v>2.4909982883867827E-2</v>
      </c>
      <c r="I285" s="271"/>
      <c r="J285" s="4"/>
    </row>
    <row r="286" spans="1:10" ht="14.25" customHeight="1" x14ac:dyDescent="0.3">
      <c r="A286" s="272">
        <v>44343</v>
      </c>
      <c r="B286" s="4">
        <v>15337.85</v>
      </c>
      <c r="C286" s="272">
        <v>44343</v>
      </c>
      <c r="D286" s="4">
        <v>3698.09</v>
      </c>
      <c r="E286" s="271"/>
      <c r="F286" s="271"/>
      <c r="G286" s="273">
        <f>(B286-B285)/B285</f>
        <v>2.3788595198494023E-3</v>
      </c>
      <c r="H286" s="4">
        <f t="shared" si="4"/>
        <v>3.2752366084768586E-2</v>
      </c>
      <c r="I286" s="271"/>
      <c r="J286" s="4"/>
    </row>
    <row r="287" spans="1:10" ht="14.25" customHeight="1" x14ac:dyDescent="0.3">
      <c r="A287" s="272">
        <v>44344</v>
      </c>
      <c r="B287" s="4">
        <v>15435.65</v>
      </c>
      <c r="C287" s="272">
        <v>44344</v>
      </c>
      <c r="D287" s="4">
        <v>3703.88</v>
      </c>
      <c r="E287" s="271"/>
      <c r="F287" s="271"/>
      <c r="G287" s="273">
        <f>(B287-B286)/B286</f>
        <v>6.3763826090357687E-3</v>
      </c>
      <c r="H287" s="4">
        <f t="shared" si="4"/>
        <v>1.5656730907035695E-3</v>
      </c>
      <c r="I287" s="271"/>
      <c r="J287" s="4"/>
    </row>
    <row r="288" spans="1:10" ht="14.25" customHeight="1" x14ac:dyDescent="0.3">
      <c r="A288" s="272">
        <v>44347</v>
      </c>
      <c r="B288" s="4">
        <v>15582.8</v>
      </c>
      <c r="C288" s="272">
        <v>44347</v>
      </c>
      <c r="D288" s="4">
        <v>3715.14</v>
      </c>
      <c r="E288" s="271"/>
      <c r="F288" s="271"/>
      <c r="G288" s="273">
        <f>(B288-B287)/B287</f>
        <v>9.5331262369903209E-3</v>
      </c>
      <c r="H288" s="4">
        <f t="shared" si="4"/>
        <v>3.0400552933679717E-3</v>
      </c>
      <c r="I288" s="271"/>
      <c r="J288" s="4"/>
    </row>
    <row r="289" spans="1:10" ht="14.25" customHeight="1" x14ac:dyDescent="0.3">
      <c r="A289" s="272">
        <v>44348</v>
      </c>
      <c r="B289" s="4">
        <v>15574.85</v>
      </c>
      <c r="C289" s="272">
        <v>44348</v>
      </c>
      <c r="D289" s="4">
        <v>3666.38</v>
      </c>
      <c r="E289" s="271"/>
      <c r="F289" s="271"/>
      <c r="G289" s="273">
        <f>(B289-B288)/B288</f>
        <v>-5.1017788844103169E-4</v>
      </c>
      <c r="H289" s="4">
        <f t="shared" si="4"/>
        <v>-1.312467363275671E-2</v>
      </c>
      <c r="I289" s="271"/>
      <c r="J289" s="4"/>
    </row>
    <row r="290" spans="1:10" ht="14.25" customHeight="1" x14ac:dyDescent="0.3">
      <c r="A290" s="272">
        <v>44349</v>
      </c>
      <c r="B290" s="4">
        <v>15576.2</v>
      </c>
      <c r="C290" s="272">
        <v>44349</v>
      </c>
      <c r="D290" s="4">
        <v>3617.19</v>
      </c>
      <c r="E290" s="271"/>
      <c r="F290" s="271"/>
      <c r="G290" s="273">
        <f>(B290-B289)/B289</f>
        <v>8.667820235831252E-5</v>
      </c>
      <c r="H290" s="4">
        <f t="shared" si="4"/>
        <v>-1.341650347208965E-2</v>
      </c>
      <c r="I290" s="271"/>
      <c r="J290" s="4"/>
    </row>
    <row r="291" spans="1:10" ht="14.25" customHeight="1" x14ac:dyDescent="0.3">
      <c r="A291" s="272">
        <v>44350</v>
      </c>
      <c r="B291" s="4">
        <v>15690.35</v>
      </c>
      <c r="C291" s="272">
        <v>44350</v>
      </c>
      <c r="D291" s="4">
        <v>3616.29</v>
      </c>
      <c r="E291" s="271"/>
      <c r="F291" s="271"/>
      <c r="G291" s="273">
        <f>(B291-B290)/B290</f>
        <v>7.3284883347671213E-3</v>
      </c>
      <c r="H291" s="4">
        <f t="shared" si="4"/>
        <v>-2.4881192306737854E-4</v>
      </c>
      <c r="I291" s="271"/>
      <c r="J291" s="4"/>
    </row>
    <row r="292" spans="1:10" ht="14.25" customHeight="1" x14ac:dyDescent="0.3">
      <c r="A292" s="272">
        <v>44351</v>
      </c>
      <c r="B292" s="4">
        <v>15670.25</v>
      </c>
      <c r="C292" s="272">
        <v>44351</v>
      </c>
      <c r="D292" s="4">
        <v>3634.29</v>
      </c>
      <c r="E292" s="271"/>
      <c r="F292" s="271"/>
      <c r="G292" s="273">
        <f>(B292-B291)/B291</f>
        <v>-1.2810421692314297E-3</v>
      </c>
      <c r="H292" s="4">
        <f t="shared" si="4"/>
        <v>4.9774769169507981E-3</v>
      </c>
      <c r="I292" s="271"/>
      <c r="J292" s="4"/>
    </row>
    <row r="293" spans="1:10" ht="14.25" customHeight="1" x14ac:dyDescent="0.3">
      <c r="A293" s="272">
        <v>44354</v>
      </c>
      <c r="B293" s="4">
        <v>15751.65</v>
      </c>
      <c r="C293" s="272">
        <v>44354</v>
      </c>
      <c r="D293" s="4">
        <v>3665.58</v>
      </c>
      <c r="E293" s="271"/>
      <c r="F293" s="271"/>
      <c r="G293" s="273">
        <f>(B293-B292)/B292</f>
        <v>5.1945565641900822E-3</v>
      </c>
      <c r="H293" s="4">
        <f t="shared" si="4"/>
        <v>8.6096596584202042E-3</v>
      </c>
      <c r="I293" s="271"/>
      <c r="J293" s="4"/>
    </row>
    <row r="294" spans="1:10" ht="14.25" customHeight="1" x14ac:dyDescent="0.3">
      <c r="A294" s="272">
        <v>44355</v>
      </c>
      <c r="B294" s="4">
        <v>15740.1</v>
      </c>
      <c r="C294" s="272">
        <v>44355</v>
      </c>
      <c r="D294" s="4">
        <v>3770.55</v>
      </c>
      <c r="E294" s="271"/>
      <c r="F294" s="271"/>
      <c r="G294" s="273">
        <f>(B294-B293)/B293</f>
        <v>-7.3325651598399354E-4</v>
      </c>
      <c r="H294" s="4">
        <f t="shared" si="4"/>
        <v>2.8636668685446849E-2</v>
      </c>
      <c r="I294" s="271"/>
      <c r="J294" s="4"/>
    </row>
    <row r="295" spans="1:10" ht="14.25" customHeight="1" x14ac:dyDescent="0.3">
      <c r="A295" s="272">
        <v>44356</v>
      </c>
      <c r="B295" s="4">
        <v>15635.35</v>
      </c>
      <c r="C295" s="272">
        <v>44356</v>
      </c>
      <c r="D295" s="4">
        <v>3709.58</v>
      </c>
      <c r="E295" s="271"/>
      <c r="F295" s="271"/>
      <c r="G295" s="273">
        <f>(B295-B294)/B294</f>
        <v>-6.6549767790547712E-3</v>
      </c>
      <c r="H295" s="4">
        <f t="shared" si="4"/>
        <v>-1.6170054766546062E-2</v>
      </c>
      <c r="I295" s="271"/>
      <c r="J295" s="4"/>
    </row>
    <row r="296" spans="1:10" ht="14.25" customHeight="1" x14ac:dyDescent="0.3">
      <c r="A296" s="272">
        <v>44357</v>
      </c>
      <c r="B296" s="4">
        <v>15737.75</v>
      </c>
      <c r="C296" s="272">
        <v>44357</v>
      </c>
      <c r="D296" s="4">
        <v>3802.27</v>
      </c>
      <c r="E296" s="271"/>
      <c r="F296" s="271"/>
      <c r="G296" s="273">
        <f>(B296-B295)/B295</f>
        <v>6.5492617690041883E-3</v>
      </c>
      <c r="H296" s="4">
        <f t="shared" si="4"/>
        <v>2.4986656171318601E-2</v>
      </c>
      <c r="I296" s="271"/>
      <c r="J296" s="4"/>
    </row>
    <row r="297" spans="1:10" ht="14.25" customHeight="1" x14ac:dyDescent="0.3">
      <c r="A297" s="272">
        <v>44358</v>
      </c>
      <c r="B297" s="4">
        <v>15799.35</v>
      </c>
      <c r="C297" s="272">
        <v>44358</v>
      </c>
      <c r="D297" s="4">
        <v>3933.25</v>
      </c>
      <c r="E297" s="271"/>
      <c r="F297" s="271"/>
      <c r="G297" s="273">
        <f>(B297-B296)/B296</f>
        <v>3.9141554542422114E-3</v>
      </c>
      <c r="H297" s="4">
        <f t="shared" si="4"/>
        <v>3.4447842999050571E-2</v>
      </c>
      <c r="I297" s="271"/>
      <c r="J297" s="4"/>
    </row>
    <row r="298" spans="1:10" ht="14.25" customHeight="1" x14ac:dyDescent="0.3">
      <c r="A298" s="272">
        <v>44361</v>
      </c>
      <c r="B298" s="4">
        <v>15811.85</v>
      </c>
      <c r="C298" s="272">
        <v>44361</v>
      </c>
      <c r="D298" s="4">
        <v>3927.08</v>
      </c>
      <c r="E298" s="271"/>
      <c r="F298" s="271"/>
      <c r="G298" s="273">
        <f>(B298-B297)/B297</f>
        <v>7.9117178871282673E-4</v>
      </c>
      <c r="H298" s="4">
        <f t="shared" si="4"/>
        <v>-1.5686773024852407E-3</v>
      </c>
      <c r="I298" s="271"/>
      <c r="J298" s="4"/>
    </row>
    <row r="299" spans="1:10" ht="14.25" customHeight="1" x14ac:dyDescent="0.3">
      <c r="A299" s="272">
        <v>44362</v>
      </c>
      <c r="B299" s="4">
        <v>15869.25</v>
      </c>
      <c r="C299" s="272">
        <v>44362</v>
      </c>
      <c r="D299" s="4">
        <v>3913.93</v>
      </c>
      <c r="E299" s="271"/>
      <c r="F299" s="271"/>
      <c r="G299" s="273">
        <f>(B299-B298)/B298</f>
        <v>3.630188750841909E-3</v>
      </c>
      <c r="H299" s="4">
        <f t="shared" si="4"/>
        <v>-3.3485439563238056E-3</v>
      </c>
      <c r="I299" s="271"/>
      <c r="J299" s="4"/>
    </row>
    <row r="300" spans="1:10" ht="14.25" customHeight="1" x14ac:dyDescent="0.3">
      <c r="A300" s="272">
        <v>44363</v>
      </c>
      <c r="B300" s="4">
        <v>15767.55</v>
      </c>
      <c r="C300" s="272">
        <v>44363</v>
      </c>
      <c r="D300" s="4">
        <v>3966.85</v>
      </c>
      <c r="E300" s="271"/>
      <c r="F300" s="271"/>
      <c r="G300" s="273">
        <f>(B300-B299)/B299</f>
        <v>-6.40862044520067E-3</v>
      </c>
      <c r="H300" s="4">
        <f t="shared" si="4"/>
        <v>1.3520936756661482E-2</v>
      </c>
      <c r="I300" s="271"/>
      <c r="J300" s="4"/>
    </row>
    <row r="301" spans="1:10" ht="14.25" customHeight="1" x14ac:dyDescent="0.3">
      <c r="A301" s="272">
        <v>44364</v>
      </c>
      <c r="B301" s="4">
        <v>15691.4</v>
      </c>
      <c r="C301" s="272">
        <v>44364</v>
      </c>
      <c r="D301" s="4">
        <v>3929.81</v>
      </c>
      <c r="E301" s="271"/>
      <c r="F301" s="271"/>
      <c r="G301" s="273">
        <f>(B301-B300)/B300</f>
        <v>-4.8295391484409209E-3</v>
      </c>
      <c r="H301" s="4">
        <f t="shared" si="4"/>
        <v>-9.33738356630575E-3</v>
      </c>
      <c r="I301" s="271"/>
      <c r="J301" s="4"/>
    </row>
    <row r="302" spans="1:10" ht="14.25" customHeight="1" x14ac:dyDescent="0.3">
      <c r="A302" s="272">
        <v>44365</v>
      </c>
      <c r="B302" s="4">
        <v>15683.35</v>
      </c>
      <c r="C302" s="272">
        <v>44365</v>
      </c>
      <c r="D302" s="4">
        <v>3837.74</v>
      </c>
      <c r="E302" s="271"/>
      <c r="F302" s="271"/>
      <c r="G302" s="273">
        <f>(B302-B301)/B301</f>
        <v>-5.1301987075718367E-4</v>
      </c>
      <c r="H302" s="4">
        <f t="shared" si="4"/>
        <v>-2.3428613597095065E-2</v>
      </c>
      <c r="I302" s="271"/>
      <c r="J302" s="4"/>
    </row>
    <row r="303" spans="1:10" ht="14.25" customHeight="1" x14ac:dyDescent="0.3">
      <c r="A303" s="272">
        <v>44368</v>
      </c>
      <c r="B303" s="4">
        <v>15746.5</v>
      </c>
      <c r="C303" s="272">
        <v>44368</v>
      </c>
      <c r="D303" s="4">
        <v>3843.73</v>
      </c>
      <c r="E303" s="271"/>
      <c r="F303" s="271"/>
      <c r="G303" s="273">
        <f>(B303-B302)/B302</f>
        <v>4.02656320237702E-3</v>
      </c>
      <c r="H303" s="4">
        <f t="shared" si="4"/>
        <v>1.5608144376638951E-3</v>
      </c>
      <c r="I303" s="271"/>
      <c r="J303" s="4"/>
    </row>
    <row r="304" spans="1:10" ht="14.25" customHeight="1" x14ac:dyDescent="0.3">
      <c r="A304" s="272">
        <v>44369</v>
      </c>
      <c r="B304" s="4">
        <v>15772.75</v>
      </c>
      <c r="C304" s="272">
        <v>44369</v>
      </c>
      <c r="D304" s="4">
        <v>3873.84</v>
      </c>
      <c r="E304" s="271"/>
      <c r="F304" s="271"/>
      <c r="G304" s="273">
        <f>(B304-B303)/B303</f>
        <v>1.6670371193598578E-3</v>
      </c>
      <c r="H304" s="4">
        <f t="shared" si="4"/>
        <v>7.8335366948251127E-3</v>
      </c>
      <c r="I304" s="271"/>
      <c r="J304" s="4"/>
    </row>
    <row r="305" spans="1:10" ht="14.25" customHeight="1" x14ac:dyDescent="0.3">
      <c r="A305" s="272">
        <v>44370</v>
      </c>
      <c r="B305" s="4">
        <v>15686.95</v>
      </c>
      <c r="C305" s="272">
        <v>44370</v>
      </c>
      <c r="D305" s="4">
        <v>3881.47</v>
      </c>
      <c r="E305" s="271"/>
      <c r="F305" s="271"/>
      <c r="G305" s="273">
        <f>(B305-B304)/B304</f>
        <v>-5.4397616141763023E-3</v>
      </c>
      <c r="H305" s="4">
        <f t="shared" si="4"/>
        <v>1.9696218739028081E-3</v>
      </c>
      <c r="I305" s="271"/>
      <c r="J305" s="4"/>
    </row>
    <row r="306" spans="1:10" ht="14.25" customHeight="1" x14ac:dyDescent="0.3">
      <c r="A306" s="272">
        <v>44371</v>
      </c>
      <c r="B306" s="4">
        <v>15790.45</v>
      </c>
      <c r="C306" s="272">
        <v>44371</v>
      </c>
      <c r="D306" s="4">
        <v>3943.71</v>
      </c>
      <c r="E306" s="271"/>
      <c r="F306" s="271"/>
      <c r="G306" s="273">
        <f>(B306-B305)/B305</f>
        <v>6.5978408804770843E-3</v>
      </c>
      <c r="H306" s="4">
        <f t="shared" si="4"/>
        <v>1.6035161936070675E-2</v>
      </c>
      <c r="I306" s="271"/>
      <c r="J306" s="4"/>
    </row>
    <row r="307" spans="1:10" ht="14.25" customHeight="1" x14ac:dyDescent="0.3">
      <c r="A307" s="272">
        <v>44372</v>
      </c>
      <c r="B307" s="4">
        <v>15860.35</v>
      </c>
      <c r="C307" s="272">
        <v>44372</v>
      </c>
      <c r="D307" s="4">
        <v>3972.46</v>
      </c>
      <c r="E307" s="271"/>
      <c r="F307" s="271"/>
      <c r="G307" s="273">
        <f>(B307-B306)/B306</f>
        <v>4.4267262807582836E-3</v>
      </c>
      <c r="H307" s="4">
        <f t="shared" si="4"/>
        <v>7.2900897885493608E-3</v>
      </c>
      <c r="I307" s="271"/>
      <c r="J307" s="4"/>
    </row>
    <row r="308" spans="1:10" ht="14.25" customHeight="1" x14ac:dyDescent="0.3">
      <c r="A308" s="272">
        <v>44375</v>
      </c>
      <c r="B308" s="4">
        <v>15814.7</v>
      </c>
      <c r="C308" s="272">
        <v>44375</v>
      </c>
      <c r="D308" s="4">
        <v>3884.53</v>
      </c>
      <c r="E308" s="271"/>
      <c r="F308" s="271"/>
      <c r="G308" s="273">
        <f>(B308-B307)/B307</f>
        <v>-2.8782466969518097E-3</v>
      </c>
      <c r="H308" s="4">
        <f t="shared" si="4"/>
        <v>-2.2134898778087088E-2</v>
      </c>
      <c r="I308" s="271"/>
      <c r="J308" s="4"/>
    </row>
    <row r="309" spans="1:10" ht="14.25" customHeight="1" x14ac:dyDescent="0.3">
      <c r="A309" s="272">
        <v>44376</v>
      </c>
      <c r="B309" s="4">
        <v>15748.45</v>
      </c>
      <c r="C309" s="272">
        <v>44376</v>
      </c>
      <c r="D309" s="4">
        <v>3895.84</v>
      </c>
      <c r="E309" s="271"/>
      <c r="F309" s="271"/>
      <c r="G309" s="273">
        <f>(B309-B308)/B308</f>
        <v>-4.1891404832213068E-3</v>
      </c>
      <c r="H309" s="4">
        <f t="shared" si="4"/>
        <v>2.9115491449415876E-3</v>
      </c>
      <c r="I309" s="271"/>
      <c r="J309" s="4"/>
    </row>
    <row r="310" spans="1:10" ht="14.25" customHeight="1" x14ac:dyDescent="0.3">
      <c r="A310" s="272">
        <v>44377</v>
      </c>
      <c r="B310" s="4">
        <v>15721.5</v>
      </c>
      <c r="C310" s="272">
        <v>44377</v>
      </c>
      <c r="D310" s="4">
        <v>3836.61</v>
      </c>
      <c r="E310" s="271"/>
      <c r="F310" s="271"/>
      <c r="G310" s="273">
        <f>(B310-B309)/B309</f>
        <v>-1.7112795227467292E-3</v>
      </c>
      <c r="H310" s="4">
        <f t="shared" si="4"/>
        <v>-1.520339644338577E-2</v>
      </c>
      <c r="I310" s="271"/>
      <c r="J310" s="4"/>
    </row>
    <row r="311" spans="1:10" ht="14.25" customHeight="1" x14ac:dyDescent="0.3">
      <c r="A311" s="272">
        <v>44378</v>
      </c>
      <c r="B311" s="4">
        <v>15680</v>
      </c>
      <c r="C311" s="272">
        <v>44378</v>
      </c>
      <c r="D311" s="4">
        <v>3808.64</v>
      </c>
      <c r="E311" s="271"/>
      <c r="F311" s="271"/>
      <c r="G311" s="273">
        <f>(B311-B310)/B310</f>
        <v>-2.6396972299080877E-3</v>
      </c>
      <c r="H311" s="4">
        <f t="shared" si="4"/>
        <v>-7.29029012591852E-3</v>
      </c>
      <c r="I311" s="271"/>
      <c r="J311" s="4"/>
    </row>
    <row r="312" spans="1:10" ht="14.25" customHeight="1" x14ac:dyDescent="0.3">
      <c r="A312" s="272">
        <v>44379</v>
      </c>
      <c r="B312" s="4">
        <v>15722.2</v>
      </c>
      <c r="C312" s="272">
        <v>44379</v>
      </c>
      <c r="D312" s="4">
        <v>3833.34</v>
      </c>
      <c r="E312" s="271"/>
      <c r="F312" s="271"/>
      <c r="G312" s="273">
        <f>(B312-B311)/B311</f>
        <v>2.6913265306122915E-3</v>
      </c>
      <c r="H312" s="4">
        <f t="shared" si="4"/>
        <v>6.4852545790624145E-3</v>
      </c>
      <c r="I312" s="271"/>
      <c r="J312" s="4"/>
    </row>
    <row r="313" spans="1:10" ht="14.25" customHeight="1" x14ac:dyDescent="0.3">
      <c r="A313" s="272">
        <v>44382</v>
      </c>
      <c r="B313" s="4">
        <v>15834.35</v>
      </c>
      <c r="C313" s="272">
        <v>44382</v>
      </c>
      <c r="D313" s="4">
        <v>3836.95</v>
      </c>
      <c r="E313" s="271"/>
      <c r="F313" s="271"/>
      <c r="G313" s="273">
        <f>(B313-B312)/B312</f>
        <v>7.1332256300008666E-3</v>
      </c>
      <c r="H313" s="4">
        <f t="shared" si="4"/>
        <v>9.4173749263036218E-4</v>
      </c>
      <c r="I313" s="271"/>
      <c r="J313" s="4"/>
    </row>
    <row r="314" spans="1:10" ht="14.25" customHeight="1" x14ac:dyDescent="0.3">
      <c r="A314" s="272">
        <v>44383</v>
      </c>
      <c r="B314" s="4">
        <v>15818.25</v>
      </c>
      <c r="C314" s="272">
        <v>44383</v>
      </c>
      <c r="D314" s="4">
        <v>3812.86</v>
      </c>
      <c r="E314" s="271"/>
      <c r="F314" s="271"/>
      <c r="G314" s="273">
        <f>(B314-B313)/B313</f>
        <v>-1.0167768174885843E-3</v>
      </c>
      <c r="H314" s="4">
        <f t="shared" si="4"/>
        <v>-6.2784242692762978E-3</v>
      </c>
      <c r="I314" s="271"/>
      <c r="J314" s="4"/>
    </row>
    <row r="315" spans="1:10" ht="14.25" customHeight="1" x14ac:dyDescent="0.3">
      <c r="A315" s="272">
        <v>44384</v>
      </c>
      <c r="B315" s="4">
        <v>15879.65</v>
      </c>
      <c r="C315" s="272">
        <v>44384</v>
      </c>
      <c r="D315" s="4">
        <v>3825.71</v>
      </c>
      <c r="E315" s="271"/>
      <c r="F315" s="271"/>
      <c r="G315" s="273">
        <f>(B315-B314)/B314</f>
        <v>3.881592464400274E-3</v>
      </c>
      <c r="H315" s="4">
        <f t="shared" si="4"/>
        <v>3.3701735704956145E-3</v>
      </c>
      <c r="I315" s="271"/>
      <c r="J315" s="4"/>
    </row>
    <row r="316" spans="1:10" ht="14.25" customHeight="1" x14ac:dyDescent="0.3">
      <c r="A316" s="272">
        <v>44385</v>
      </c>
      <c r="B316" s="4">
        <v>15727.9</v>
      </c>
      <c r="C316" s="272">
        <v>44385</v>
      </c>
      <c r="D316" s="4">
        <v>3833.01</v>
      </c>
      <c r="E316" s="271"/>
      <c r="F316" s="271"/>
      <c r="G316" s="273">
        <f>(B316-B315)/B315</f>
        <v>-9.5562559628203387E-3</v>
      </c>
      <c r="H316" s="4">
        <f t="shared" si="4"/>
        <v>1.9081425408617439E-3</v>
      </c>
      <c r="I316" s="271"/>
      <c r="J316" s="4"/>
    </row>
    <row r="317" spans="1:10" ht="14.25" customHeight="1" x14ac:dyDescent="0.3">
      <c r="A317" s="272">
        <v>44386</v>
      </c>
      <c r="B317" s="4">
        <v>15689.8</v>
      </c>
      <c r="C317" s="272">
        <v>44386</v>
      </c>
      <c r="D317" s="4">
        <v>3844.01</v>
      </c>
      <c r="E317" s="271"/>
      <c r="F317" s="271"/>
      <c r="G317" s="273">
        <f>(B317-B316)/B316</f>
        <v>-2.4224467347834337E-3</v>
      </c>
      <c r="H317" s="4">
        <f t="shared" si="4"/>
        <v>2.8698072793966098E-3</v>
      </c>
      <c r="I317" s="271"/>
      <c r="J317" s="4"/>
    </row>
    <row r="318" spans="1:10" ht="14.25" customHeight="1" x14ac:dyDescent="0.3">
      <c r="A318" s="272">
        <v>44389</v>
      </c>
      <c r="B318" s="4">
        <v>15692.6</v>
      </c>
      <c r="C318" s="272">
        <v>44389</v>
      </c>
      <c r="D318" s="4">
        <v>3826.33</v>
      </c>
      <c r="E318" s="271"/>
      <c r="F318" s="271"/>
      <c r="G318" s="273">
        <f>(B318-B317)/B317</f>
        <v>1.7845989113953598E-4</v>
      </c>
      <c r="H318" s="4">
        <f t="shared" si="4"/>
        <v>-4.5993636853182722E-3</v>
      </c>
      <c r="I318" s="271"/>
      <c r="J318" s="4"/>
    </row>
    <row r="319" spans="1:10" ht="14.25" customHeight="1" x14ac:dyDescent="0.3">
      <c r="A319" s="272">
        <v>44390</v>
      </c>
      <c r="B319" s="4">
        <v>15812.35</v>
      </c>
      <c r="C319" s="272">
        <v>44390</v>
      </c>
      <c r="D319" s="4">
        <v>3809.64</v>
      </c>
      <c r="E319" s="271"/>
      <c r="F319" s="271"/>
      <c r="G319" s="273">
        <f>(B319-B318)/B318</f>
        <v>7.6309853051756875E-3</v>
      </c>
      <c r="H319" s="4">
        <f t="shared" si="4"/>
        <v>-4.3618820122676445E-3</v>
      </c>
      <c r="I319" s="271"/>
      <c r="J319" s="4"/>
    </row>
    <row r="320" spans="1:10" ht="14.25" customHeight="1" x14ac:dyDescent="0.3">
      <c r="A320" s="272">
        <v>44391</v>
      </c>
      <c r="B320" s="4">
        <v>15853.95</v>
      </c>
      <c r="C320" s="272">
        <v>44391</v>
      </c>
      <c r="D320" s="4">
        <v>3996.33</v>
      </c>
      <c r="E320" s="271"/>
      <c r="F320" s="271"/>
      <c r="G320" s="273">
        <f>(B320-B319)/B319</f>
        <v>2.6308549962529518E-3</v>
      </c>
      <c r="H320" s="4">
        <f t="shared" si="4"/>
        <v>4.9004630358774073E-2</v>
      </c>
      <c r="I320" s="271"/>
      <c r="J320" s="4"/>
    </row>
    <row r="321" spans="1:10" ht="14.25" customHeight="1" x14ac:dyDescent="0.3">
      <c r="A321" s="272">
        <v>44392</v>
      </c>
      <c r="B321" s="4">
        <v>15924.2</v>
      </c>
      <c r="C321" s="272">
        <v>44392</v>
      </c>
      <c r="D321" s="4">
        <v>4191.1899999999996</v>
      </c>
      <c r="E321" s="271"/>
      <c r="F321" s="271"/>
      <c r="G321" s="273">
        <f>(B321-B320)/B320</f>
        <v>4.4310723825923505E-3</v>
      </c>
      <c r="H321" s="4">
        <f t="shared" si="4"/>
        <v>4.8759737058751321E-2</v>
      </c>
      <c r="I321" s="271"/>
      <c r="J321" s="4"/>
    </row>
    <row r="322" spans="1:10" ht="14.25" customHeight="1" x14ac:dyDescent="0.3">
      <c r="A322" s="272">
        <v>44393</v>
      </c>
      <c r="B322" s="4">
        <v>15923.4</v>
      </c>
      <c r="C322" s="272">
        <v>44393</v>
      </c>
      <c r="D322" s="4">
        <v>4066.36</v>
      </c>
      <c r="E322" s="271"/>
      <c r="F322" s="271"/>
      <c r="G322" s="273">
        <f>(B322-B321)/B321</f>
        <v>-5.0238002537087662E-5</v>
      </c>
      <c r="H322" s="4">
        <f t="shared" si="4"/>
        <v>-2.9783903855468134E-2</v>
      </c>
      <c r="I322" s="271"/>
      <c r="J322" s="4"/>
    </row>
    <row r="323" spans="1:10" ht="14.25" customHeight="1" x14ac:dyDescent="0.3">
      <c r="A323" s="272">
        <v>44396</v>
      </c>
      <c r="B323" s="4">
        <v>15752.4</v>
      </c>
      <c r="C323" s="272">
        <v>44396</v>
      </c>
      <c r="D323" s="4">
        <v>4152.6400000000003</v>
      </c>
      <c r="E323" s="271"/>
      <c r="F323" s="271"/>
      <c r="G323" s="273">
        <f>(B323-B322)/B322</f>
        <v>-1.0738912543803459E-2</v>
      </c>
      <c r="H323" s="4">
        <f t="shared" ref="H323:H386" si="5">(D323-D322)/D322</f>
        <v>2.1217993488033573E-2</v>
      </c>
      <c r="I323" s="271"/>
      <c r="J323" s="4"/>
    </row>
    <row r="324" spans="1:10" ht="14.25" customHeight="1" x14ac:dyDescent="0.3">
      <c r="A324" s="272">
        <v>44397</v>
      </c>
      <c r="B324" s="4">
        <v>15632.1</v>
      </c>
      <c r="C324" s="272">
        <v>44397</v>
      </c>
      <c r="D324" s="4">
        <v>4131.78</v>
      </c>
      <c r="E324" s="271"/>
      <c r="F324" s="271"/>
      <c r="G324" s="273">
        <f>(B324-B323)/B323</f>
        <v>-7.6369315151976385E-3</v>
      </c>
      <c r="H324" s="4">
        <f t="shared" si="5"/>
        <v>-5.0233104723743406E-3</v>
      </c>
      <c r="I324" s="271"/>
      <c r="J324" s="4"/>
    </row>
    <row r="325" spans="1:10" ht="14.25" customHeight="1" x14ac:dyDescent="0.3">
      <c r="A325" s="272">
        <v>44399</v>
      </c>
      <c r="B325" s="4">
        <v>15824.05</v>
      </c>
      <c r="C325" s="272">
        <v>44399</v>
      </c>
      <c r="D325" s="4">
        <v>4177.82</v>
      </c>
      <c r="E325" s="271"/>
      <c r="F325" s="271"/>
      <c r="G325" s="273">
        <f>(B325-B324)/B324</f>
        <v>1.2279220322285483E-2</v>
      </c>
      <c r="H325" s="4">
        <f t="shared" si="5"/>
        <v>1.1142897250095592E-2</v>
      </c>
      <c r="I325" s="271"/>
      <c r="J325" s="4"/>
    </row>
    <row r="326" spans="1:10" ht="14.25" customHeight="1" x14ac:dyDescent="0.3">
      <c r="A326" s="272">
        <v>44400</v>
      </c>
      <c r="B326" s="4">
        <v>15856.05</v>
      </c>
      <c r="C326" s="272">
        <v>44400</v>
      </c>
      <c r="D326" s="4">
        <v>4135.2</v>
      </c>
      <c r="E326" s="271"/>
      <c r="F326" s="271"/>
      <c r="G326" s="273">
        <f>(B326-B325)/B325</f>
        <v>2.0222383018253863E-3</v>
      </c>
      <c r="H326" s="4">
        <f t="shared" si="5"/>
        <v>-1.0201492644489206E-2</v>
      </c>
      <c r="I326" s="271"/>
      <c r="J326" s="4"/>
    </row>
    <row r="327" spans="1:10" ht="14.25" customHeight="1" x14ac:dyDescent="0.3">
      <c r="A327" s="272">
        <v>44403</v>
      </c>
      <c r="B327" s="4">
        <v>15824.45</v>
      </c>
      <c r="C327" s="272">
        <v>44403</v>
      </c>
      <c r="D327" s="4">
        <v>4125.8999999999996</v>
      </c>
      <c r="E327" s="271"/>
      <c r="F327" s="271"/>
      <c r="G327" s="273">
        <f>(B327-B326)/B326</f>
        <v>-1.9929301433836638E-3</v>
      </c>
      <c r="H327" s="4">
        <f t="shared" si="5"/>
        <v>-2.2489843296576179E-3</v>
      </c>
      <c r="I327" s="271"/>
      <c r="J327" s="4"/>
    </row>
    <row r="328" spans="1:10" ht="14.25" customHeight="1" x14ac:dyDescent="0.3">
      <c r="A328" s="272">
        <v>44404</v>
      </c>
      <c r="B328" s="4">
        <v>15746.45</v>
      </c>
      <c r="C328" s="272">
        <v>44404</v>
      </c>
      <c r="D328" s="4">
        <v>4124.01</v>
      </c>
      <c r="E328" s="271"/>
      <c r="F328" s="271"/>
      <c r="G328" s="273">
        <f>(B328-B327)/B327</f>
        <v>-4.9290812634878306E-3</v>
      </c>
      <c r="H328" s="4">
        <f t="shared" si="5"/>
        <v>-4.5808187304573986E-4</v>
      </c>
      <c r="I328" s="271"/>
      <c r="J328" s="4"/>
    </row>
    <row r="329" spans="1:10" ht="14.25" customHeight="1" x14ac:dyDescent="0.3">
      <c r="A329" s="272">
        <v>44405</v>
      </c>
      <c r="B329" s="4">
        <v>15709.4</v>
      </c>
      <c r="C329" s="272">
        <v>44405</v>
      </c>
      <c r="D329" s="4">
        <v>4131.5</v>
      </c>
      <c r="E329" s="271"/>
      <c r="F329" s="271"/>
      <c r="G329" s="273">
        <f>(B329-B328)/B328</f>
        <v>-2.3529112911164795E-3</v>
      </c>
      <c r="H329" s="4">
        <f t="shared" si="5"/>
        <v>1.8161934621884479E-3</v>
      </c>
      <c r="I329" s="271"/>
      <c r="J329" s="4"/>
    </row>
    <row r="330" spans="1:10" ht="14.25" customHeight="1" x14ac:dyDescent="0.3">
      <c r="A330" s="272">
        <v>44406</v>
      </c>
      <c r="B330" s="4">
        <v>15778.45</v>
      </c>
      <c r="C330" s="272">
        <v>44406</v>
      </c>
      <c r="D330" s="4">
        <v>4399.22</v>
      </c>
      <c r="E330" s="271"/>
      <c r="F330" s="271"/>
      <c r="G330" s="273">
        <f>(B330-B329)/B329</f>
        <v>4.3954574967854342E-3</v>
      </c>
      <c r="H330" s="4">
        <f t="shared" si="5"/>
        <v>6.4799709548590156E-2</v>
      </c>
      <c r="I330" s="271"/>
      <c r="J330" s="4"/>
    </row>
    <row r="331" spans="1:10" ht="14.25" customHeight="1" x14ac:dyDescent="0.3">
      <c r="A331" s="272">
        <v>44407</v>
      </c>
      <c r="B331" s="4">
        <v>15763.05</v>
      </c>
      <c r="C331" s="272">
        <v>44407</v>
      </c>
      <c r="D331" s="4">
        <v>4451.1899999999996</v>
      </c>
      <c r="E331" s="271"/>
      <c r="F331" s="271"/>
      <c r="G331" s="273">
        <f>(B331-B330)/B330</f>
        <v>-9.7601475430105335E-4</v>
      </c>
      <c r="H331" s="4">
        <f t="shared" si="5"/>
        <v>1.1813457840253351E-2</v>
      </c>
      <c r="I331" s="271"/>
      <c r="J331" s="4"/>
    </row>
    <row r="332" spans="1:10" ht="14.25" customHeight="1" x14ac:dyDescent="0.3">
      <c r="A332" s="272">
        <v>44410</v>
      </c>
      <c r="B332" s="4">
        <v>15885.15</v>
      </c>
      <c r="C332" s="272">
        <v>44410</v>
      </c>
      <c r="D332" s="4">
        <v>4468.3900000000003</v>
      </c>
      <c r="E332" s="271"/>
      <c r="F332" s="271"/>
      <c r="G332" s="273">
        <f>(B332-B331)/B331</f>
        <v>7.7459628688610624E-3</v>
      </c>
      <c r="H332" s="4">
        <f t="shared" si="5"/>
        <v>3.8641352087870275E-3</v>
      </c>
      <c r="I332" s="271"/>
      <c r="J332" s="4"/>
    </row>
    <row r="333" spans="1:10" ht="14.25" customHeight="1" x14ac:dyDescent="0.3">
      <c r="A333" s="272">
        <v>44411</v>
      </c>
      <c r="B333" s="4">
        <v>16130.75</v>
      </c>
      <c r="C333" s="272">
        <v>44411</v>
      </c>
      <c r="D333" s="4">
        <v>4485.3500000000004</v>
      </c>
      <c r="E333" s="271"/>
      <c r="F333" s="271"/>
      <c r="G333" s="273">
        <f>(B333-B332)/B332</f>
        <v>1.5460980853186805E-2</v>
      </c>
      <c r="H333" s="4">
        <f t="shared" si="5"/>
        <v>3.7955505226714846E-3</v>
      </c>
      <c r="I333" s="271"/>
      <c r="J333" s="4"/>
    </row>
    <row r="334" spans="1:10" ht="14.25" customHeight="1" x14ac:dyDescent="0.3">
      <c r="A334" s="272">
        <v>44412</v>
      </c>
      <c r="B334" s="4">
        <v>16258.8</v>
      </c>
      <c r="C334" s="272">
        <v>44412</v>
      </c>
      <c r="D334" s="4">
        <v>4461.22</v>
      </c>
      <c r="E334" s="271"/>
      <c r="F334" s="271"/>
      <c r="G334" s="273">
        <f>(B334-B333)/B333</f>
        <v>7.9382545758876228E-3</v>
      </c>
      <c r="H334" s="4">
        <f t="shared" si="5"/>
        <v>-5.3797362524663868E-3</v>
      </c>
      <c r="I334" s="271"/>
      <c r="J334" s="4"/>
    </row>
    <row r="335" spans="1:10" ht="14.25" customHeight="1" x14ac:dyDescent="0.3">
      <c r="A335" s="272">
        <v>44413</v>
      </c>
      <c r="B335" s="4">
        <v>16294.6</v>
      </c>
      <c r="C335" s="272">
        <v>44413</v>
      </c>
      <c r="D335" s="4">
        <v>4470.53</v>
      </c>
      <c r="E335" s="271"/>
      <c r="F335" s="271"/>
      <c r="G335" s="273">
        <f>(B335-B334)/B334</f>
        <v>2.201884517922669E-3</v>
      </c>
      <c r="H335" s="4">
        <f t="shared" si="5"/>
        <v>2.0868730974933965E-3</v>
      </c>
      <c r="I335" s="271"/>
      <c r="J335" s="4"/>
    </row>
    <row r="336" spans="1:10" ht="14.25" customHeight="1" x14ac:dyDescent="0.3">
      <c r="A336" s="272">
        <v>44414</v>
      </c>
      <c r="B336" s="4">
        <v>16238.2</v>
      </c>
      <c r="C336" s="272">
        <v>44414</v>
      </c>
      <c r="D336" s="4">
        <v>4525.5</v>
      </c>
      <c r="E336" s="271"/>
      <c r="F336" s="271"/>
      <c r="G336" s="273">
        <f>(B336-B335)/B335</f>
        <v>-3.46126937758519E-3</v>
      </c>
      <c r="H336" s="4">
        <f t="shared" si="5"/>
        <v>1.229608122526865E-2</v>
      </c>
      <c r="I336" s="271"/>
      <c r="J336" s="4"/>
    </row>
    <row r="337" spans="1:10" ht="14.25" customHeight="1" x14ac:dyDescent="0.3">
      <c r="A337" s="272">
        <v>44417</v>
      </c>
      <c r="B337" s="4">
        <v>16258.25</v>
      </c>
      <c r="C337" s="272">
        <v>44417</v>
      </c>
      <c r="D337" s="4">
        <v>4512.01</v>
      </c>
      <c r="E337" s="271"/>
      <c r="F337" s="271"/>
      <c r="G337" s="273">
        <f>(B337-B336)/B336</f>
        <v>1.2347427670554168E-3</v>
      </c>
      <c r="H337" s="4">
        <f t="shared" si="5"/>
        <v>-2.9808860899347657E-3</v>
      </c>
      <c r="I337" s="271"/>
      <c r="J337" s="4"/>
    </row>
    <row r="338" spans="1:10" ht="14.25" customHeight="1" x14ac:dyDescent="0.3">
      <c r="A338" s="272">
        <v>44418</v>
      </c>
      <c r="B338" s="4">
        <v>16280.1</v>
      </c>
      <c r="C338" s="272">
        <v>44418</v>
      </c>
      <c r="D338" s="4">
        <v>4550.63</v>
      </c>
      <c r="E338" s="271"/>
      <c r="F338" s="271"/>
      <c r="G338" s="273">
        <f>(B338-B337)/B337</f>
        <v>1.3439330801285725E-3</v>
      </c>
      <c r="H338" s="4">
        <f t="shared" si="5"/>
        <v>8.5593781928674558E-3</v>
      </c>
      <c r="I338" s="271"/>
      <c r="J338" s="4"/>
    </row>
    <row r="339" spans="1:10" ht="14.25" customHeight="1" x14ac:dyDescent="0.3">
      <c r="A339" s="272">
        <v>44419</v>
      </c>
      <c r="B339" s="4">
        <v>16282.25</v>
      </c>
      <c r="C339" s="272">
        <v>44419</v>
      </c>
      <c r="D339" s="4">
        <v>4517.76</v>
      </c>
      <c r="E339" s="271"/>
      <c r="F339" s="271"/>
      <c r="G339" s="273">
        <f>(B339-B338)/B338</f>
        <v>1.3206307086563573E-4</v>
      </c>
      <c r="H339" s="4">
        <f t="shared" si="5"/>
        <v>-7.2231756921568857E-3</v>
      </c>
      <c r="I339" s="271"/>
      <c r="J339" s="4"/>
    </row>
    <row r="340" spans="1:10" ht="14.25" customHeight="1" x14ac:dyDescent="0.3">
      <c r="A340" s="272">
        <v>44420</v>
      </c>
      <c r="B340" s="4">
        <v>16364.4</v>
      </c>
      <c r="C340" s="272">
        <v>44420</v>
      </c>
      <c r="D340" s="4">
        <v>4634.3</v>
      </c>
      <c r="E340" s="271"/>
      <c r="F340" s="271"/>
      <c r="G340" s="273">
        <f>(B340-B339)/B339</f>
        <v>5.045371493497498E-3</v>
      </c>
      <c r="H340" s="4">
        <f t="shared" si="5"/>
        <v>2.5795969684091223E-2</v>
      </c>
      <c r="I340" s="271"/>
      <c r="J340" s="4"/>
    </row>
    <row r="341" spans="1:10" ht="14.25" customHeight="1" x14ac:dyDescent="0.3">
      <c r="A341" s="272">
        <v>44421</v>
      </c>
      <c r="B341" s="4">
        <v>16529.099999999999</v>
      </c>
      <c r="C341" s="272">
        <v>44421</v>
      </c>
      <c r="D341" s="4">
        <v>4620.4799999999996</v>
      </c>
      <c r="E341" s="271"/>
      <c r="F341" s="271"/>
      <c r="G341" s="273">
        <f>(B341-B340)/B340</f>
        <v>1.0064530321918244E-2</v>
      </c>
      <c r="H341" s="4">
        <f t="shared" si="5"/>
        <v>-2.9821116457718786E-3</v>
      </c>
      <c r="I341" s="271"/>
      <c r="J341" s="4"/>
    </row>
    <row r="342" spans="1:10" ht="14.25" customHeight="1" x14ac:dyDescent="0.3">
      <c r="A342" s="272">
        <v>44424</v>
      </c>
      <c r="B342" s="4">
        <v>16563.05</v>
      </c>
      <c r="C342" s="272">
        <v>44424</v>
      </c>
      <c r="D342" s="4">
        <v>4537.1400000000003</v>
      </c>
      <c r="E342" s="271"/>
      <c r="F342" s="271"/>
      <c r="G342" s="273">
        <f>(B342-B341)/B341</f>
        <v>2.0539533307924042E-3</v>
      </c>
      <c r="H342" s="4">
        <f t="shared" si="5"/>
        <v>-1.8037087055890133E-2</v>
      </c>
      <c r="I342" s="271"/>
      <c r="J342" s="4"/>
    </row>
    <row r="343" spans="1:10" ht="14.25" customHeight="1" x14ac:dyDescent="0.3">
      <c r="A343" s="272">
        <v>44425</v>
      </c>
      <c r="B343" s="4">
        <v>16614.599999999999</v>
      </c>
      <c r="C343" s="272">
        <v>44425</v>
      </c>
      <c r="D343" s="4">
        <v>4712.03</v>
      </c>
      <c r="E343" s="271"/>
      <c r="F343" s="271"/>
      <c r="G343" s="273">
        <f>(B343-B342)/B342</f>
        <v>3.1123494766965793E-3</v>
      </c>
      <c r="H343" s="4">
        <f t="shared" si="5"/>
        <v>3.8546308908254848E-2</v>
      </c>
      <c r="I343" s="271"/>
      <c r="J343" s="4"/>
    </row>
    <row r="344" spans="1:10" ht="14.25" customHeight="1" x14ac:dyDescent="0.3">
      <c r="A344" s="272">
        <v>44426</v>
      </c>
      <c r="B344" s="4">
        <v>16568.849999999999</v>
      </c>
      <c r="C344" s="272">
        <v>44426</v>
      </c>
      <c r="D344" s="4">
        <v>4733.84</v>
      </c>
      <c r="E344" s="271"/>
      <c r="F344" s="271"/>
      <c r="G344" s="273">
        <f>(B344-B343)/B343</f>
        <v>-2.7536022534397461E-3</v>
      </c>
      <c r="H344" s="4">
        <f t="shared" si="5"/>
        <v>4.6285783409699011E-3</v>
      </c>
      <c r="I344" s="271"/>
      <c r="J344" s="4"/>
    </row>
    <row r="345" spans="1:10" ht="14.25" customHeight="1" x14ac:dyDescent="0.3">
      <c r="A345" s="272">
        <v>44428</v>
      </c>
      <c r="B345" s="4">
        <v>16450.5</v>
      </c>
      <c r="C345" s="272">
        <v>44428</v>
      </c>
      <c r="D345" s="4">
        <v>4673.45</v>
      </c>
      <c r="E345" s="271"/>
      <c r="F345" s="271"/>
      <c r="G345" s="273">
        <f>(B345-B344)/B344</f>
        <v>-7.1429218080916032E-3</v>
      </c>
      <c r="H345" s="4">
        <f t="shared" si="5"/>
        <v>-1.2757085157081845E-2</v>
      </c>
      <c r="I345" s="271"/>
      <c r="J345" s="4"/>
    </row>
    <row r="346" spans="1:10" ht="14.25" customHeight="1" x14ac:dyDescent="0.3">
      <c r="A346" s="272">
        <v>44431</v>
      </c>
      <c r="B346" s="4">
        <v>16496.45</v>
      </c>
      <c r="C346" s="272">
        <v>44431</v>
      </c>
      <c r="D346" s="4">
        <v>4801.59</v>
      </c>
      <c r="E346" s="271"/>
      <c r="F346" s="271"/>
      <c r="G346" s="273">
        <f>(B346-B345)/B345</f>
        <v>2.7932281693565987E-3</v>
      </c>
      <c r="H346" s="4">
        <f t="shared" si="5"/>
        <v>2.7418716365853992E-2</v>
      </c>
      <c r="I346" s="271"/>
      <c r="J346" s="4"/>
    </row>
    <row r="347" spans="1:10" ht="14.25" customHeight="1" x14ac:dyDescent="0.3">
      <c r="A347" s="272">
        <v>44432</v>
      </c>
      <c r="B347" s="4">
        <v>16624.599999999999</v>
      </c>
      <c r="C347" s="272">
        <v>44432</v>
      </c>
      <c r="D347" s="4">
        <v>4734.3599999999997</v>
      </c>
      <c r="E347" s="271"/>
      <c r="F347" s="271"/>
      <c r="G347" s="273">
        <f>(B347-B346)/B346</f>
        <v>7.7683380363652672E-3</v>
      </c>
      <c r="H347" s="4">
        <f t="shared" si="5"/>
        <v>-1.4001611966036349E-2</v>
      </c>
      <c r="I347" s="271"/>
      <c r="J347" s="4"/>
    </row>
    <row r="348" spans="1:10" ht="14.25" customHeight="1" x14ac:dyDescent="0.3">
      <c r="A348" s="272">
        <v>44433</v>
      </c>
      <c r="B348" s="4">
        <v>16634.650000000001</v>
      </c>
      <c r="C348" s="272">
        <v>44433</v>
      </c>
      <c r="D348" s="4">
        <v>4834.66</v>
      </c>
      <c r="E348" s="271"/>
      <c r="F348" s="271"/>
      <c r="G348" s="273">
        <f>(B348-B347)/B347</f>
        <v>6.0452582317787565E-4</v>
      </c>
      <c r="H348" s="4">
        <f t="shared" si="5"/>
        <v>2.1185545670375762E-2</v>
      </c>
      <c r="I348" s="271"/>
      <c r="J348" s="4"/>
    </row>
    <row r="349" spans="1:10" ht="14.25" customHeight="1" x14ac:dyDescent="0.3">
      <c r="A349" s="272">
        <v>44434</v>
      </c>
      <c r="B349" s="4">
        <v>16636.900000000001</v>
      </c>
      <c r="C349" s="272">
        <v>44434</v>
      </c>
      <c r="D349" s="4">
        <v>4881.9799999999996</v>
      </c>
      <c r="E349" s="271"/>
      <c r="F349" s="271"/>
      <c r="G349" s="273">
        <f>(B349-B348)/B348</f>
        <v>1.3525983414138559E-4</v>
      </c>
      <c r="H349" s="4">
        <f t="shared" si="5"/>
        <v>9.7876582841398795E-3</v>
      </c>
      <c r="I349" s="271"/>
      <c r="J349" s="4"/>
    </row>
    <row r="350" spans="1:10" ht="14.25" customHeight="1" x14ac:dyDescent="0.3">
      <c r="A350" s="272">
        <v>44435</v>
      </c>
      <c r="B350" s="4">
        <v>16705.2</v>
      </c>
      <c r="C350" s="272">
        <v>44435</v>
      </c>
      <c r="D350" s="4">
        <v>4973.1000000000004</v>
      </c>
      <c r="E350" s="271"/>
      <c r="F350" s="271"/>
      <c r="G350" s="273">
        <f>(B350-B349)/B349</f>
        <v>4.1053321231719411E-3</v>
      </c>
      <c r="H350" s="4">
        <f t="shared" si="5"/>
        <v>1.8664558232520577E-2</v>
      </c>
      <c r="I350" s="271"/>
      <c r="J350" s="4"/>
    </row>
    <row r="351" spans="1:10" ht="14.25" customHeight="1" x14ac:dyDescent="0.3">
      <c r="A351" s="272">
        <v>44438</v>
      </c>
      <c r="B351" s="4">
        <v>16931.05</v>
      </c>
      <c r="C351" s="272">
        <v>44438</v>
      </c>
      <c r="D351" s="4">
        <v>5010.5</v>
      </c>
      <c r="E351" s="271"/>
      <c r="F351" s="271"/>
      <c r="G351" s="273">
        <f>(B351-B350)/B350</f>
        <v>1.3519742355673594E-2</v>
      </c>
      <c r="H351" s="4">
        <f t="shared" si="5"/>
        <v>7.5204600752045271E-3</v>
      </c>
      <c r="I351" s="271"/>
      <c r="J351" s="4"/>
    </row>
    <row r="352" spans="1:10" ht="14.25" customHeight="1" x14ac:dyDescent="0.3">
      <c r="A352" s="272">
        <v>44439</v>
      </c>
      <c r="B352" s="4">
        <v>17132.2</v>
      </c>
      <c r="C352" s="272">
        <v>44439</v>
      </c>
      <c r="D352" s="4">
        <v>5048.03</v>
      </c>
      <c r="E352" s="271"/>
      <c r="F352" s="271"/>
      <c r="G352" s="273">
        <f>(B352-B351)/B351</f>
        <v>1.1880539009689385E-2</v>
      </c>
      <c r="H352" s="4">
        <f t="shared" si="5"/>
        <v>7.4902704320925547E-3</v>
      </c>
      <c r="I352" s="271"/>
      <c r="J352" s="4"/>
    </row>
    <row r="353" spans="1:10" ht="14.25" customHeight="1" x14ac:dyDescent="0.3">
      <c r="A353" s="272">
        <v>44440</v>
      </c>
      <c r="B353" s="4">
        <v>17076.25</v>
      </c>
      <c r="C353" s="272">
        <v>44440</v>
      </c>
      <c r="D353" s="4">
        <v>5017.7700000000004</v>
      </c>
      <c r="E353" s="271"/>
      <c r="F353" s="271"/>
      <c r="G353" s="273">
        <f>(B353-B352)/B352</f>
        <v>-3.2657802267076455E-3</v>
      </c>
      <c r="H353" s="4">
        <f t="shared" si="5"/>
        <v>-5.9944176243008282E-3</v>
      </c>
      <c r="I353" s="271"/>
      <c r="J353" s="4"/>
    </row>
    <row r="354" spans="1:10" ht="14.25" customHeight="1" x14ac:dyDescent="0.3">
      <c r="A354" s="272">
        <v>44441</v>
      </c>
      <c r="B354" s="4">
        <v>17234.150000000001</v>
      </c>
      <c r="C354" s="272">
        <v>44441</v>
      </c>
      <c r="D354" s="4">
        <v>5120.7700000000004</v>
      </c>
      <c r="E354" s="271"/>
      <c r="F354" s="271"/>
      <c r="G354" s="273">
        <f>(B354-B353)/B353</f>
        <v>9.246760852060696E-3</v>
      </c>
      <c r="H354" s="4">
        <f t="shared" si="5"/>
        <v>2.0527046875404808E-2</v>
      </c>
      <c r="I354" s="271"/>
      <c r="J354" s="4"/>
    </row>
    <row r="355" spans="1:10" ht="14.25" customHeight="1" x14ac:dyDescent="0.3">
      <c r="A355" s="272">
        <v>44442</v>
      </c>
      <c r="B355" s="4">
        <v>17323.599999999999</v>
      </c>
      <c r="C355" s="272">
        <v>44442</v>
      </c>
      <c r="D355" s="4">
        <v>5189.42</v>
      </c>
      <c r="E355" s="271"/>
      <c r="F355" s="271"/>
      <c r="G355" s="273">
        <f>(B355-B354)/B354</f>
        <v>5.1902762828452279E-3</v>
      </c>
      <c r="H355" s="4">
        <f t="shared" si="5"/>
        <v>1.3406186960164122E-2</v>
      </c>
      <c r="I355" s="271"/>
      <c r="J355" s="4"/>
    </row>
    <row r="356" spans="1:10" ht="14.25" customHeight="1" x14ac:dyDescent="0.3">
      <c r="A356" s="272">
        <v>44445</v>
      </c>
      <c r="B356" s="4">
        <v>17377.8</v>
      </c>
      <c r="C356" s="272">
        <v>44445</v>
      </c>
      <c r="D356" s="4">
        <v>5173.13</v>
      </c>
      <c r="E356" s="271"/>
      <c r="F356" s="271"/>
      <c r="G356" s="273">
        <f>(B356-B355)/B355</f>
        <v>3.1286799510494775E-3</v>
      </c>
      <c r="H356" s="4">
        <f t="shared" si="5"/>
        <v>-3.1390791263763511E-3</v>
      </c>
      <c r="I356" s="271"/>
      <c r="J356" s="4"/>
    </row>
    <row r="357" spans="1:10" ht="14.25" customHeight="1" x14ac:dyDescent="0.3">
      <c r="A357" s="272">
        <v>44446</v>
      </c>
      <c r="B357" s="4">
        <v>17362.099999999999</v>
      </c>
      <c r="C357" s="272">
        <v>44446</v>
      </c>
      <c r="D357" s="4">
        <v>5135.78</v>
      </c>
      <c r="E357" s="271"/>
      <c r="F357" s="271"/>
      <c r="G357" s="273">
        <f>(B357-B356)/B356</f>
        <v>-9.034515301131747E-4</v>
      </c>
      <c r="H357" s="4">
        <f t="shared" si="5"/>
        <v>-7.2200002706292636E-3</v>
      </c>
      <c r="I357" s="271"/>
      <c r="J357" s="4"/>
    </row>
    <row r="358" spans="1:10" ht="14.25" customHeight="1" x14ac:dyDescent="0.3">
      <c r="A358" s="272">
        <v>44447</v>
      </c>
      <c r="B358" s="4">
        <v>17353.5</v>
      </c>
      <c r="C358" s="272">
        <v>44447</v>
      </c>
      <c r="D358" s="4">
        <v>5129.6099999999997</v>
      </c>
      <c r="E358" s="271"/>
      <c r="F358" s="271"/>
      <c r="G358" s="273">
        <f>(B358-B357)/B357</f>
        <v>-4.9533178590139128E-4</v>
      </c>
      <c r="H358" s="4">
        <f t="shared" si="5"/>
        <v>-1.2013754483252929E-3</v>
      </c>
      <c r="I358" s="271"/>
      <c r="J358" s="4"/>
    </row>
    <row r="359" spans="1:10" ht="14.25" customHeight="1" x14ac:dyDescent="0.3">
      <c r="A359" s="272">
        <v>44448</v>
      </c>
      <c r="B359" s="4">
        <v>17369.25</v>
      </c>
      <c r="C359" s="272">
        <v>44448</v>
      </c>
      <c r="D359" s="4">
        <v>5164.05</v>
      </c>
      <c r="E359" s="271"/>
      <c r="F359" s="271"/>
      <c r="G359" s="273">
        <f>(B359-B358)/B358</f>
        <v>9.0759789091537728E-4</v>
      </c>
      <c r="H359" s="4">
        <f t="shared" si="5"/>
        <v>6.7139607104634682E-3</v>
      </c>
      <c r="I359" s="271"/>
      <c r="J359" s="4"/>
    </row>
    <row r="360" spans="1:10" ht="14.25" customHeight="1" x14ac:dyDescent="0.3">
      <c r="A360" s="272">
        <v>44452</v>
      </c>
      <c r="B360" s="4">
        <v>17355.3</v>
      </c>
      <c r="C360" s="272">
        <v>44452</v>
      </c>
      <c r="D360" s="4">
        <v>5215.75</v>
      </c>
      <c r="E360" s="271"/>
      <c r="F360" s="271"/>
      <c r="G360" s="273">
        <f>(B360-B359)/B359</f>
        <v>-8.0314348633364868E-4</v>
      </c>
      <c r="H360" s="4">
        <f t="shared" si="5"/>
        <v>1.0011521964349651E-2</v>
      </c>
      <c r="I360" s="271"/>
      <c r="J360" s="4"/>
    </row>
    <row r="361" spans="1:10" ht="14.25" customHeight="1" x14ac:dyDescent="0.3">
      <c r="A361" s="272">
        <v>44453</v>
      </c>
      <c r="B361" s="4">
        <v>17380</v>
      </c>
      <c r="C361" s="272">
        <v>44453</v>
      </c>
      <c r="D361" s="4">
        <v>5302.64</v>
      </c>
      <c r="E361" s="271"/>
      <c r="F361" s="271"/>
      <c r="G361" s="273">
        <f>(B361-B360)/B360</f>
        <v>1.4231963722897748E-3</v>
      </c>
      <c r="H361" s="4">
        <f t="shared" si="5"/>
        <v>1.6659157359919536E-2</v>
      </c>
      <c r="I361" s="271"/>
      <c r="J361" s="4"/>
    </row>
    <row r="362" spans="1:10" ht="14.25" customHeight="1" x14ac:dyDescent="0.3">
      <c r="A362" s="272">
        <v>44454</v>
      </c>
      <c r="B362" s="4">
        <v>17519.45</v>
      </c>
      <c r="C362" s="272">
        <v>44454</v>
      </c>
      <c r="D362" s="4">
        <v>5368.64</v>
      </c>
      <c r="E362" s="271"/>
      <c r="F362" s="271"/>
      <c r="G362" s="273">
        <f>(B362-B361)/B361</f>
        <v>8.0235903337169574E-3</v>
      </c>
      <c r="H362" s="4">
        <f t="shared" si="5"/>
        <v>1.2446630357708613E-2</v>
      </c>
      <c r="I362" s="271"/>
      <c r="J362" s="4"/>
    </row>
    <row r="363" spans="1:10" ht="14.25" customHeight="1" x14ac:dyDescent="0.3">
      <c r="A363" s="272">
        <v>44455</v>
      </c>
      <c r="B363" s="4">
        <v>17629.5</v>
      </c>
      <c r="C363" s="272">
        <v>44455</v>
      </c>
      <c r="D363" s="4">
        <v>5389.97</v>
      </c>
      <c r="E363" s="271"/>
      <c r="F363" s="271"/>
      <c r="G363" s="273">
        <f>(B363-B362)/B362</f>
        <v>6.2815898900935403E-3</v>
      </c>
      <c r="H363" s="4">
        <f t="shared" si="5"/>
        <v>3.9730732550515447E-3</v>
      </c>
      <c r="I363" s="271"/>
      <c r="J363" s="4"/>
    </row>
    <row r="364" spans="1:10" ht="14.25" customHeight="1" x14ac:dyDescent="0.3">
      <c r="A364" s="272">
        <v>44456</v>
      </c>
      <c r="B364" s="4">
        <v>17585.150000000001</v>
      </c>
      <c r="C364" s="272">
        <v>44456</v>
      </c>
      <c r="D364" s="4">
        <v>5430.78</v>
      </c>
      <c r="E364" s="271"/>
      <c r="F364" s="271"/>
      <c r="G364" s="273">
        <f>(B364-B363)/B363</f>
        <v>-2.5156697580758698E-3</v>
      </c>
      <c r="H364" s="4">
        <f t="shared" si="5"/>
        <v>7.5714707131949695E-3</v>
      </c>
      <c r="I364" s="271"/>
      <c r="J364" s="4"/>
    </row>
    <row r="365" spans="1:10" ht="14.25" customHeight="1" x14ac:dyDescent="0.3">
      <c r="A365" s="272">
        <v>44459</v>
      </c>
      <c r="B365" s="4">
        <v>17396.900000000001</v>
      </c>
      <c r="C365" s="272">
        <v>44459</v>
      </c>
      <c r="D365" s="4">
        <v>5271.33</v>
      </c>
      <c r="E365" s="271"/>
      <c r="F365" s="271"/>
      <c r="G365" s="273">
        <f>(B365-B364)/B364</f>
        <v>-1.0705055117528142E-2</v>
      </c>
      <c r="H365" s="4">
        <f t="shared" si="5"/>
        <v>-2.9360423364599528E-2</v>
      </c>
      <c r="I365" s="271"/>
      <c r="J365" s="4"/>
    </row>
    <row r="366" spans="1:10" ht="14.25" customHeight="1" x14ac:dyDescent="0.3">
      <c r="A366" s="272">
        <v>44460</v>
      </c>
      <c r="B366" s="4">
        <v>17562</v>
      </c>
      <c r="C366" s="272">
        <v>44460</v>
      </c>
      <c r="D366" s="4">
        <v>5454.06</v>
      </c>
      <c r="E366" s="271"/>
      <c r="F366" s="271"/>
      <c r="G366" s="273">
        <f>(B366-B365)/B365</f>
        <v>9.4901965292666247E-3</v>
      </c>
      <c r="H366" s="4">
        <f t="shared" si="5"/>
        <v>3.4664875847272028E-2</v>
      </c>
      <c r="I366" s="271"/>
      <c r="J366" s="4"/>
    </row>
    <row r="367" spans="1:10" ht="14.25" customHeight="1" x14ac:dyDescent="0.3">
      <c r="A367" s="272">
        <v>44461</v>
      </c>
      <c r="B367" s="4">
        <v>17546.650000000001</v>
      </c>
      <c r="C367" s="272">
        <v>44461</v>
      </c>
      <c r="D367" s="4">
        <v>5557.21</v>
      </c>
      <c r="E367" s="271"/>
      <c r="F367" s="271"/>
      <c r="G367" s="273">
        <f>(B367-B366)/B366</f>
        <v>-8.7404623619169485E-4</v>
      </c>
      <c r="H367" s="4">
        <f t="shared" si="5"/>
        <v>1.8912516547305976E-2</v>
      </c>
      <c r="I367" s="271"/>
      <c r="J367" s="4"/>
    </row>
    <row r="368" spans="1:10" ht="14.25" customHeight="1" x14ac:dyDescent="0.3">
      <c r="A368" s="272">
        <v>44462</v>
      </c>
      <c r="B368" s="4">
        <v>17822.95</v>
      </c>
      <c r="C368" s="272">
        <v>44462</v>
      </c>
      <c r="D368" s="4">
        <v>5736.23</v>
      </c>
      <c r="E368" s="271"/>
      <c r="F368" s="271"/>
      <c r="G368" s="273">
        <f>(B368-B367)/B367</f>
        <v>1.5746595503985047E-2</v>
      </c>
      <c r="H368" s="4">
        <f t="shared" si="5"/>
        <v>3.2214006668813945E-2</v>
      </c>
      <c r="I368" s="271"/>
      <c r="J368" s="4"/>
    </row>
    <row r="369" spans="1:10" ht="14.25" customHeight="1" x14ac:dyDescent="0.3">
      <c r="A369" s="272">
        <v>44463</v>
      </c>
      <c r="B369" s="4">
        <v>17853.2</v>
      </c>
      <c r="C369" s="272">
        <v>44463</v>
      </c>
      <c r="D369" s="4">
        <v>5921.19</v>
      </c>
      <c r="E369" s="271"/>
      <c r="F369" s="271"/>
      <c r="G369" s="273">
        <f>(B369-B368)/B368</f>
        <v>1.6972498940972173E-3</v>
      </c>
      <c r="H369" s="4">
        <f t="shared" si="5"/>
        <v>3.2244174309607541E-2</v>
      </c>
      <c r="I369" s="271"/>
      <c r="J369" s="4"/>
    </row>
    <row r="370" spans="1:10" ht="14.25" customHeight="1" x14ac:dyDescent="0.3">
      <c r="A370" s="272">
        <v>44466</v>
      </c>
      <c r="B370" s="4">
        <v>17855.099999999999</v>
      </c>
      <c r="C370" s="272">
        <v>44466</v>
      </c>
      <c r="D370" s="4">
        <v>5682.54</v>
      </c>
      <c r="E370" s="271"/>
      <c r="F370" s="271"/>
      <c r="G370" s="273">
        <f>(B370-B369)/B369</f>
        <v>1.0642349830830423E-4</v>
      </c>
      <c r="H370" s="4">
        <f t="shared" si="5"/>
        <v>-4.0304398271293382E-2</v>
      </c>
      <c r="I370" s="271"/>
      <c r="J370" s="4"/>
    </row>
    <row r="371" spans="1:10" ht="14.25" customHeight="1" x14ac:dyDescent="0.3">
      <c r="A371" s="272">
        <v>44467</v>
      </c>
      <c r="B371" s="4">
        <v>17748.599999999999</v>
      </c>
      <c r="C371" s="272">
        <v>44467</v>
      </c>
      <c r="D371" s="4">
        <v>5484.09</v>
      </c>
      <c r="E371" s="271"/>
      <c r="F371" s="271"/>
      <c r="G371" s="273">
        <f>(B371-B370)/B370</f>
        <v>-5.9646823596619459E-3</v>
      </c>
      <c r="H371" s="4">
        <f t="shared" si="5"/>
        <v>-3.4922763412136092E-2</v>
      </c>
      <c r="I371" s="271"/>
      <c r="J371" s="4"/>
    </row>
    <row r="372" spans="1:10" ht="14.25" customHeight="1" x14ac:dyDescent="0.3">
      <c r="A372" s="272">
        <v>44468</v>
      </c>
      <c r="B372" s="4">
        <v>17711.3</v>
      </c>
      <c r="C372" s="272">
        <v>44468</v>
      </c>
      <c r="D372" s="4">
        <v>5458.67</v>
      </c>
      <c r="E372" s="271"/>
      <c r="F372" s="271"/>
      <c r="G372" s="273">
        <f>(B372-B371)/B371</f>
        <v>-2.1015742086699387E-3</v>
      </c>
      <c r="H372" s="4">
        <f t="shared" si="5"/>
        <v>-4.6352266283011534E-3</v>
      </c>
      <c r="I372" s="271"/>
      <c r="J372" s="4"/>
    </row>
    <row r="373" spans="1:10" ht="14.25" customHeight="1" x14ac:dyDescent="0.3">
      <c r="A373" s="272">
        <v>44469</v>
      </c>
      <c r="B373" s="4">
        <v>17618.150000000001</v>
      </c>
      <c r="C373" s="272">
        <v>44469</v>
      </c>
      <c r="D373" s="4">
        <v>5478.2</v>
      </c>
      <c r="E373" s="271"/>
      <c r="F373" s="271"/>
      <c r="G373" s="273">
        <f>(B373-B372)/B372</f>
        <v>-5.2593541976025376E-3</v>
      </c>
      <c r="H373" s="4">
        <f t="shared" si="5"/>
        <v>3.5777945909900664E-3</v>
      </c>
      <c r="I373" s="271"/>
      <c r="J373" s="4"/>
    </row>
    <row r="374" spans="1:10" ht="14.25" customHeight="1" x14ac:dyDescent="0.3">
      <c r="A374" s="272">
        <v>44470</v>
      </c>
      <c r="B374" s="4">
        <v>17532.05</v>
      </c>
      <c r="C374" s="272">
        <v>44470</v>
      </c>
      <c r="D374" s="4">
        <v>5464.56</v>
      </c>
      <c r="E374" s="271"/>
      <c r="F374" s="271"/>
      <c r="G374" s="273">
        <f>(B374-B373)/B373</f>
        <v>-4.8870057298866327E-3</v>
      </c>
      <c r="H374" s="4">
        <f t="shared" si="5"/>
        <v>-2.4898689350515532E-3</v>
      </c>
      <c r="I374" s="271"/>
      <c r="J374" s="4"/>
    </row>
    <row r="375" spans="1:10" ht="14.25" customHeight="1" x14ac:dyDescent="0.3">
      <c r="A375" s="272">
        <v>44473</v>
      </c>
      <c r="B375" s="4">
        <v>17691.25</v>
      </c>
      <c r="C375" s="272">
        <v>44473</v>
      </c>
      <c r="D375" s="4">
        <v>5452.54</v>
      </c>
      <c r="E375" s="271"/>
      <c r="F375" s="271"/>
      <c r="G375" s="273">
        <f>(B375-B374)/B374</f>
        <v>9.0805125470210697E-3</v>
      </c>
      <c r="H375" s="4">
        <f t="shared" si="5"/>
        <v>-2.1996281493844765E-3</v>
      </c>
      <c r="I375" s="271"/>
      <c r="J375" s="4"/>
    </row>
    <row r="376" spans="1:10" ht="14.25" customHeight="1" x14ac:dyDescent="0.3">
      <c r="A376" s="272">
        <v>44474</v>
      </c>
      <c r="B376" s="4">
        <v>17822.3</v>
      </c>
      <c r="C376" s="272">
        <v>44474</v>
      </c>
      <c r="D376" s="4">
        <v>5478.44</v>
      </c>
      <c r="E376" s="271"/>
      <c r="F376" s="271"/>
      <c r="G376" s="273">
        <f>(B376-B375)/B375</f>
        <v>7.4076167596975493E-3</v>
      </c>
      <c r="H376" s="4">
        <f t="shared" si="5"/>
        <v>4.7500797793321343E-3</v>
      </c>
      <c r="I376" s="271"/>
      <c r="J376" s="4"/>
    </row>
    <row r="377" spans="1:10" ht="14.25" customHeight="1" x14ac:dyDescent="0.3">
      <c r="A377" s="272">
        <v>44475</v>
      </c>
      <c r="B377" s="4">
        <v>17646</v>
      </c>
      <c r="C377" s="272">
        <v>44475</v>
      </c>
      <c r="D377" s="4">
        <v>5405.7</v>
      </c>
      <c r="E377" s="271"/>
      <c r="F377" s="271"/>
      <c r="G377" s="273">
        <f>(B377-B376)/B376</f>
        <v>-9.8921014683850724E-3</v>
      </c>
      <c r="H377" s="4">
        <f t="shared" si="5"/>
        <v>-1.3277502354684872E-2</v>
      </c>
      <c r="I377" s="271"/>
      <c r="J377" s="4"/>
    </row>
    <row r="378" spans="1:10" ht="14.25" customHeight="1" x14ac:dyDescent="0.3">
      <c r="A378" s="272">
        <v>44476</v>
      </c>
      <c r="B378" s="4">
        <v>17790.349999999999</v>
      </c>
      <c r="C378" s="272">
        <v>44476</v>
      </c>
      <c r="D378" s="4">
        <v>5490.03</v>
      </c>
      <c r="E378" s="271"/>
      <c r="F378" s="271"/>
      <c r="G378" s="273">
        <f>(B378-B377)/B377</f>
        <v>8.1803241527824179E-3</v>
      </c>
      <c r="H378" s="4">
        <f t="shared" si="5"/>
        <v>1.560019978911148E-2</v>
      </c>
      <c r="I378" s="271"/>
      <c r="J378" s="4"/>
    </row>
    <row r="379" spans="1:10" ht="14.25" customHeight="1" x14ac:dyDescent="0.3">
      <c r="A379" s="272">
        <v>44477</v>
      </c>
      <c r="B379" s="4">
        <v>17895.2</v>
      </c>
      <c r="C379" s="272">
        <v>44477</v>
      </c>
      <c r="D379" s="4">
        <v>5685.73</v>
      </c>
      <c r="E379" s="271"/>
      <c r="F379" s="271"/>
      <c r="G379" s="273">
        <f>(B379-B378)/B378</f>
        <v>5.8936445882178928E-3</v>
      </c>
      <c r="H379" s="4">
        <f t="shared" si="5"/>
        <v>3.56464354475294E-2</v>
      </c>
      <c r="I379" s="271"/>
      <c r="J379" s="4"/>
    </row>
    <row r="380" spans="1:10" ht="14.25" customHeight="1" x14ac:dyDescent="0.3">
      <c r="A380" s="272">
        <v>44480</v>
      </c>
      <c r="B380" s="4">
        <v>17945.95</v>
      </c>
      <c r="C380" s="272">
        <v>44480</v>
      </c>
      <c r="D380" s="4">
        <v>5586.52</v>
      </c>
      <c r="E380" s="271"/>
      <c r="F380" s="271"/>
      <c r="G380" s="273">
        <f>(B380-B379)/B379</f>
        <v>2.8359560105503151E-3</v>
      </c>
      <c r="H380" s="4">
        <f t="shared" si="5"/>
        <v>-1.7448946749141998E-2</v>
      </c>
      <c r="I380" s="271"/>
      <c r="J380" s="4"/>
    </row>
    <row r="381" spans="1:10" ht="14.25" customHeight="1" x14ac:dyDescent="0.3">
      <c r="A381" s="272">
        <v>44481</v>
      </c>
      <c r="B381" s="4">
        <v>17991.95</v>
      </c>
      <c r="C381" s="272">
        <v>44481</v>
      </c>
      <c r="D381" s="4">
        <v>5534.07</v>
      </c>
      <c r="E381" s="271"/>
      <c r="F381" s="271"/>
      <c r="G381" s="273">
        <f>(B381-B380)/B380</f>
        <v>2.5632524330002032E-3</v>
      </c>
      <c r="H381" s="4">
        <f t="shared" si="5"/>
        <v>-9.3886713016333462E-3</v>
      </c>
      <c r="I381" s="271"/>
      <c r="J381" s="4"/>
    </row>
    <row r="382" spans="1:10" ht="14.25" customHeight="1" x14ac:dyDescent="0.3">
      <c r="A382" s="272">
        <v>44482</v>
      </c>
      <c r="B382" s="4">
        <v>18161.75</v>
      </c>
      <c r="C382" s="272">
        <v>44482</v>
      </c>
      <c r="D382" s="4">
        <v>5655.13</v>
      </c>
      <c r="E382" s="271"/>
      <c r="F382" s="271"/>
      <c r="G382" s="273">
        <f>(B382-B381)/B381</f>
        <v>9.4375540172132125E-3</v>
      </c>
      <c r="H382" s="4">
        <f t="shared" si="5"/>
        <v>2.1875400925539506E-2</v>
      </c>
      <c r="I382" s="271"/>
      <c r="J382" s="4"/>
    </row>
    <row r="383" spans="1:10" ht="14.25" customHeight="1" x14ac:dyDescent="0.3">
      <c r="A383" s="272">
        <v>44483</v>
      </c>
      <c r="B383" s="4">
        <v>18338.55</v>
      </c>
      <c r="C383" s="272">
        <v>44483</v>
      </c>
      <c r="D383" s="4">
        <v>5795.34</v>
      </c>
      <c r="E383" s="271"/>
      <c r="F383" s="271"/>
      <c r="G383" s="273">
        <f>(B383-B382)/B382</f>
        <v>9.7347447244896159E-3</v>
      </c>
      <c r="H383" s="4">
        <f t="shared" si="5"/>
        <v>2.4793417657949512E-2</v>
      </c>
      <c r="I383" s="271"/>
      <c r="J383" s="4"/>
    </row>
    <row r="384" spans="1:10" ht="14.25" customHeight="1" x14ac:dyDescent="0.3">
      <c r="A384" s="272">
        <v>44487</v>
      </c>
      <c r="B384" s="4">
        <v>18477.05</v>
      </c>
      <c r="C384" s="272">
        <v>44487</v>
      </c>
      <c r="D384" s="4">
        <v>5611.89</v>
      </c>
      <c r="E384" s="271"/>
      <c r="F384" s="271"/>
      <c r="G384" s="273">
        <f>(B384-B383)/B383</f>
        <v>7.5523964544634125E-3</v>
      </c>
      <c r="H384" s="4">
        <f t="shared" si="5"/>
        <v>-3.1654743293749774E-2</v>
      </c>
      <c r="I384" s="271"/>
      <c r="J384" s="4"/>
    </row>
    <row r="385" spans="1:10" ht="14.25" customHeight="1" x14ac:dyDescent="0.3">
      <c r="A385" s="272">
        <v>44488</v>
      </c>
      <c r="B385" s="4">
        <v>18418.75</v>
      </c>
      <c r="C385" s="272">
        <v>44488</v>
      </c>
      <c r="D385" s="4">
        <v>6513.94</v>
      </c>
      <c r="E385" s="271"/>
      <c r="F385" s="271"/>
      <c r="G385" s="273">
        <f>(B385-B384)/B384</f>
        <v>-3.1552655862271996E-3</v>
      </c>
      <c r="H385" s="4">
        <f t="shared" si="5"/>
        <v>0.16073907364542056</v>
      </c>
      <c r="I385" s="271"/>
      <c r="J385" s="4"/>
    </row>
    <row r="386" spans="1:10" ht="14.25" customHeight="1" x14ac:dyDescent="0.3">
      <c r="A386" s="272">
        <v>44489</v>
      </c>
      <c r="B386" s="4">
        <v>18266.599999999999</v>
      </c>
      <c r="C386" s="272">
        <v>44489</v>
      </c>
      <c r="D386" s="4">
        <v>6594.71</v>
      </c>
      <c r="E386" s="271"/>
      <c r="F386" s="271"/>
      <c r="G386" s="273">
        <f>(B386-B385)/B385</f>
        <v>-8.2606040040720165E-3</v>
      </c>
      <c r="H386" s="4">
        <f t="shared" si="5"/>
        <v>1.2399561555679119E-2</v>
      </c>
      <c r="I386" s="271"/>
      <c r="J386" s="4"/>
    </row>
    <row r="387" spans="1:10" ht="14.25" customHeight="1" x14ac:dyDescent="0.3">
      <c r="A387" s="272">
        <v>44490</v>
      </c>
      <c r="B387" s="4">
        <v>18178.099999999999</v>
      </c>
      <c r="C387" s="272">
        <v>44490</v>
      </c>
      <c r="D387" s="4">
        <v>6322.14</v>
      </c>
      <c r="E387" s="271"/>
      <c r="F387" s="271"/>
      <c r="G387" s="273">
        <f>(B387-B386)/B386</f>
        <v>-4.8449081930955953E-3</v>
      </c>
      <c r="H387" s="4">
        <f t="shared" ref="H387:H450" si="6">(D387-D386)/D386</f>
        <v>-4.1331612762350388E-2</v>
      </c>
      <c r="I387" s="271"/>
      <c r="J387" s="4"/>
    </row>
    <row r="388" spans="1:10" ht="14.25" customHeight="1" x14ac:dyDescent="0.3">
      <c r="A388" s="272">
        <v>44491</v>
      </c>
      <c r="B388" s="4">
        <v>18114.900000000001</v>
      </c>
      <c r="C388" s="272">
        <v>44491</v>
      </c>
      <c r="D388" s="4">
        <v>6217.81</v>
      </c>
      <c r="E388" s="271"/>
      <c r="F388" s="271"/>
      <c r="G388" s="273">
        <f>(B388-B387)/B387</f>
        <v>-3.4767109873967629E-3</v>
      </c>
      <c r="H388" s="4">
        <f t="shared" si="6"/>
        <v>-1.6502323580306656E-2</v>
      </c>
      <c r="I388" s="271"/>
      <c r="J388" s="4"/>
    </row>
    <row r="389" spans="1:10" ht="14.25" customHeight="1" x14ac:dyDescent="0.3">
      <c r="A389" s="272">
        <v>44494</v>
      </c>
      <c r="B389" s="4">
        <v>18125.400000000001</v>
      </c>
      <c r="C389" s="272">
        <v>44494</v>
      </c>
      <c r="D389" s="4">
        <v>6106.33</v>
      </c>
      <c r="E389" s="271"/>
      <c r="F389" s="271"/>
      <c r="G389" s="273">
        <f>(B389-B388)/B388</f>
        <v>5.7963334050974602E-4</v>
      </c>
      <c r="H389" s="4">
        <f t="shared" si="6"/>
        <v>-1.7929142254266447E-2</v>
      </c>
      <c r="I389" s="271"/>
      <c r="J389" s="4"/>
    </row>
    <row r="390" spans="1:10" ht="14.25" customHeight="1" x14ac:dyDescent="0.3">
      <c r="A390" s="272">
        <v>44495</v>
      </c>
      <c r="B390" s="4">
        <v>18268.400000000001</v>
      </c>
      <c r="C390" s="272">
        <v>44495</v>
      </c>
      <c r="D390" s="4">
        <v>6197</v>
      </c>
      <c r="E390" s="271"/>
      <c r="F390" s="271"/>
      <c r="G390" s="273">
        <f>(B390-B389)/B389</f>
        <v>7.8894810597283371E-3</v>
      </c>
      <c r="H390" s="4">
        <f t="shared" si="6"/>
        <v>1.4848526037734625E-2</v>
      </c>
      <c r="I390" s="271"/>
      <c r="J390" s="4"/>
    </row>
    <row r="391" spans="1:10" ht="14.25" customHeight="1" x14ac:dyDescent="0.3">
      <c r="A391" s="272">
        <v>44496</v>
      </c>
      <c r="B391" s="4">
        <v>18210.95</v>
      </c>
      <c r="C391" s="272">
        <v>44496</v>
      </c>
      <c r="D391" s="4">
        <v>6341.67</v>
      </c>
      <c r="E391" s="271"/>
      <c r="F391" s="271"/>
      <c r="G391" s="273">
        <f>(B391-B390)/B390</f>
        <v>-3.1447745834337283E-3</v>
      </c>
      <c r="H391" s="4">
        <f t="shared" si="6"/>
        <v>2.334516701629822E-2</v>
      </c>
      <c r="I391" s="271"/>
      <c r="J391" s="4"/>
    </row>
    <row r="392" spans="1:10" ht="14.25" customHeight="1" x14ac:dyDescent="0.3">
      <c r="A392" s="272">
        <v>44497</v>
      </c>
      <c r="B392" s="4">
        <v>17857.25</v>
      </c>
      <c r="C392" s="272">
        <v>44497</v>
      </c>
      <c r="D392" s="4">
        <v>6371</v>
      </c>
      <c r="E392" s="271"/>
      <c r="F392" s="271"/>
      <c r="G392" s="273">
        <f>(B392-B391)/B391</f>
        <v>-1.9422380490858562E-2</v>
      </c>
      <c r="H392" s="4">
        <f t="shared" si="6"/>
        <v>4.6249647174955374E-3</v>
      </c>
      <c r="I392" s="271"/>
      <c r="J392" s="4"/>
    </row>
    <row r="393" spans="1:10" ht="14.25" customHeight="1" x14ac:dyDescent="0.3">
      <c r="A393" s="272">
        <v>44498</v>
      </c>
      <c r="B393" s="4">
        <v>17671.650000000001</v>
      </c>
      <c r="C393" s="272">
        <v>44498</v>
      </c>
      <c r="D393" s="4">
        <v>6364.29</v>
      </c>
      <c r="E393" s="271"/>
      <c r="F393" s="271"/>
      <c r="G393" s="273">
        <f>(B393-B392)/B392</f>
        <v>-1.0393537638774085E-2</v>
      </c>
      <c r="H393" s="4">
        <f t="shared" si="6"/>
        <v>-1.0532098571652858E-3</v>
      </c>
      <c r="I393" s="271"/>
      <c r="J393" s="4"/>
    </row>
    <row r="394" spans="1:10" ht="14.25" customHeight="1" x14ac:dyDescent="0.3">
      <c r="A394" s="272">
        <v>44501</v>
      </c>
      <c r="B394" s="4">
        <v>17929.650000000001</v>
      </c>
      <c r="C394" s="272">
        <v>44501</v>
      </c>
      <c r="D394" s="4">
        <v>6478.43</v>
      </c>
      <c r="E394" s="271"/>
      <c r="F394" s="271"/>
      <c r="G394" s="273">
        <f>(B394-B393)/B393</f>
        <v>1.4599655380227651E-2</v>
      </c>
      <c r="H394" s="4">
        <f t="shared" si="6"/>
        <v>1.7934443590722663E-2</v>
      </c>
      <c r="I394" s="271"/>
      <c r="J394" s="4"/>
    </row>
    <row r="395" spans="1:10" ht="14.25" customHeight="1" x14ac:dyDescent="0.3">
      <c r="A395" s="272">
        <v>44502</v>
      </c>
      <c r="B395" s="4">
        <v>17888.95</v>
      </c>
      <c r="C395" s="272">
        <v>44502</v>
      </c>
      <c r="D395" s="4">
        <v>6431.53</v>
      </c>
      <c r="E395" s="271"/>
      <c r="F395" s="271"/>
      <c r="G395" s="273">
        <f>(B395-B394)/B394</f>
        <v>-2.2699829611844474E-3</v>
      </c>
      <c r="H395" s="4">
        <f t="shared" si="6"/>
        <v>-7.2394083134340488E-3</v>
      </c>
      <c r="I395" s="271"/>
      <c r="J395" s="4"/>
    </row>
    <row r="396" spans="1:10" ht="14.25" customHeight="1" x14ac:dyDescent="0.3">
      <c r="A396" s="272">
        <v>44503</v>
      </c>
      <c r="B396" s="4">
        <v>17829.2</v>
      </c>
      <c r="C396" s="272">
        <v>44503</v>
      </c>
      <c r="D396" s="4">
        <v>6415.48</v>
      </c>
      <c r="E396" s="271"/>
      <c r="F396" s="271"/>
      <c r="G396" s="273">
        <f>(B396-B395)/B395</f>
        <v>-3.3400507016901494E-3</v>
      </c>
      <c r="H396" s="4">
        <f t="shared" si="6"/>
        <v>-2.4955181737471772E-3</v>
      </c>
      <c r="I396" s="271"/>
      <c r="J396" s="4"/>
    </row>
    <row r="397" spans="1:10" ht="14.25" customHeight="1" x14ac:dyDescent="0.3">
      <c r="A397" s="272">
        <v>44504</v>
      </c>
      <c r="B397" s="4">
        <v>17916.8</v>
      </c>
      <c r="C397" s="272">
        <v>44504</v>
      </c>
      <c r="D397" s="4">
        <v>6443.05</v>
      </c>
      <c r="E397" s="271"/>
      <c r="F397" s="271"/>
      <c r="G397" s="273">
        <f>(B397-B396)/B396</f>
        <v>4.9132883135529657E-3</v>
      </c>
      <c r="H397" s="4">
        <f t="shared" si="6"/>
        <v>4.2974181199225345E-3</v>
      </c>
      <c r="I397" s="271"/>
      <c r="J397" s="4"/>
    </row>
    <row r="398" spans="1:10" ht="14.25" customHeight="1" x14ac:dyDescent="0.3">
      <c r="A398" s="272">
        <v>44508</v>
      </c>
      <c r="B398" s="4">
        <v>18068.55</v>
      </c>
      <c r="C398" s="272">
        <v>44508</v>
      </c>
      <c r="D398" s="4">
        <v>6502.96</v>
      </c>
      <c r="E398" s="271"/>
      <c r="F398" s="271"/>
      <c r="G398" s="273">
        <f>(B398-B397)/B397</f>
        <v>8.4697044115020544E-3</v>
      </c>
      <c r="H398" s="4">
        <f t="shared" si="6"/>
        <v>9.298391289839416E-3</v>
      </c>
      <c r="I398" s="271"/>
      <c r="J398" s="4"/>
    </row>
    <row r="399" spans="1:10" ht="14.25" customHeight="1" x14ac:dyDescent="0.3">
      <c r="A399" s="272">
        <v>44509</v>
      </c>
      <c r="B399" s="4">
        <v>18044.25</v>
      </c>
      <c r="C399" s="272">
        <v>44509</v>
      </c>
      <c r="D399" s="4">
        <v>6514.15</v>
      </c>
      <c r="E399" s="271"/>
      <c r="F399" s="271"/>
      <c r="G399" s="273">
        <f>(B399-B398)/B398</f>
        <v>-1.3448782553109836E-3</v>
      </c>
      <c r="H399" s="4">
        <f t="shared" si="6"/>
        <v>1.7207548562500152E-3</v>
      </c>
      <c r="I399" s="271"/>
      <c r="J399" s="4"/>
    </row>
    <row r="400" spans="1:10" ht="14.25" customHeight="1" x14ac:dyDescent="0.3">
      <c r="A400" s="272">
        <v>44510</v>
      </c>
      <c r="B400" s="4">
        <v>18017.2</v>
      </c>
      <c r="C400" s="272">
        <v>44510</v>
      </c>
      <c r="D400" s="4">
        <v>6510.48</v>
      </c>
      <c r="E400" s="271"/>
      <c r="F400" s="271"/>
      <c r="G400" s="273">
        <f>(B400-B399)/B399</f>
        <v>-1.4990925086938649E-3</v>
      </c>
      <c r="H400" s="4">
        <f t="shared" si="6"/>
        <v>-5.6338893025184762E-4</v>
      </c>
      <c r="I400" s="271"/>
      <c r="J400" s="4"/>
    </row>
    <row r="401" spans="1:10" ht="14.25" customHeight="1" x14ac:dyDescent="0.3">
      <c r="A401" s="272">
        <v>44511</v>
      </c>
      <c r="B401" s="4">
        <v>17873.599999999999</v>
      </c>
      <c r="C401" s="272">
        <v>44511</v>
      </c>
      <c r="D401" s="4">
        <v>6618.06</v>
      </c>
      <c r="E401" s="271"/>
      <c r="F401" s="271"/>
      <c r="G401" s="273">
        <f>(B401-B400)/B400</f>
        <v>-7.9701618453478992E-3</v>
      </c>
      <c r="H401" s="4">
        <f t="shared" si="6"/>
        <v>1.6524127253290211E-2</v>
      </c>
      <c r="I401" s="271"/>
      <c r="J401" s="4"/>
    </row>
    <row r="402" spans="1:10" ht="14.25" customHeight="1" x14ac:dyDescent="0.3">
      <c r="A402" s="272">
        <v>44512</v>
      </c>
      <c r="B402" s="4">
        <v>18102.75</v>
      </c>
      <c r="C402" s="272">
        <v>44512</v>
      </c>
      <c r="D402" s="4">
        <v>6898.54</v>
      </c>
      <c r="E402" s="271"/>
      <c r="F402" s="271"/>
      <c r="G402" s="273">
        <f>(B402-B401)/B401</f>
        <v>1.2820584549279467E-2</v>
      </c>
      <c r="H402" s="4">
        <f t="shared" si="6"/>
        <v>4.2380999870052484E-2</v>
      </c>
      <c r="I402" s="271"/>
      <c r="J402" s="4"/>
    </row>
    <row r="403" spans="1:10" ht="14.25" customHeight="1" x14ac:dyDescent="0.3">
      <c r="A403" s="272">
        <v>44515</v>
      </c>
      <c r="B403" s="4">
        <v>18109.45</v>
      </c>
      <c r="C403" s="272">
        <v>44515</v>
      </c>
      <c r="D403" s="4">
        <v>6854.83</v>
      </c>
      <c r="E403" s="271"/>
      <c r="F403" s="271"/>
      <c r="G403" s="273">
        <f>(B403-B402)/B402</f>
        <v>3.7010951374795144E-4</v>
      </c>
      <c r="H403" s="4">
        <f t="shared" si="6"/>
        <v>-6.3361232956538685E-3</v>
      </c>
      <c r="I403" s="271"/>
      <c r="J403" s="4"/>
    </row>
    <row r="404" spans="1:10" ht="14.25" customHeight="1" x14ac:dyDescent="0.3">
      <c r="A404" s="272">
        <v>44516</v>
      </c>
      <c r="B404" s="4">
        <v>17999.2</v>
      </c>
      <c r="C404" s="272">
        <v>44516</v>
      </c>
      <c r="D404" s="4">
        <v>6944.3</v>
      </c>
      <c r="E404" s="271"/>
      <c r="F404" s="271"/>
      <c r="G404" s="273">
        <f>(B404-B403)/B403</f>
        <v>-6.0879816891181125E-3</v>
      </c>
      <c r="H404" s="4">
        <f t="shared" si="6"/>
        <v>1.3052110701505399E-2</v>
      </c>
      <c r="I404" s="271"/>
      <c r="J404" s="4"/>
    </row>
    <row r="405" spans="1:10" ht="14.25" customHeight="1" x14ac:dyDescent="0.3">
      <c r="A405" s="272">
        <v>44517</v>
      </c>
      <c r="B405" s="4">
        <v>17898.650000000001</v>
      </c>
      <c r="C405" s="272">
        <v>44517</v>
      </c>
      <c r="D405" s="4">
        <v>7045.02</v>
      </c>
      <c r="E405" s="271"/>
      <c r="F405" s="271"/>
      <c r="G405" s="273">
        <f>(B405-B404)/B404</f>
        <v>-5.5863593937507923E-3</v>
      </c>
      <c r="H405" s="4">
        <f t="shared" si="6"/>
        <v>1.4503981682819038E-2</v>
      </c>
      <c r="I405" s="271"/>
      <c r="J405" s="4"/>
    </row>
    <row r="406" spans="1:10" ht="14.25" customHeight="1" x14ac:dyDescent="0.3">
      <c r="A406" s="272">
        <v>44518</v>
      </c>
      <c r="B406" s="4">
        <v>17764.8</v>
      </c>
      <c r="C406" s="272">
        <v>44518</v>
      </c>
      <c r="D406" s="4">
        <v>6807.49</v>
      </c>
      <c r="E406" s="271"/>
      <c r="F406" s="271"/>
      <c r="G406" s="273">
        <f>(B406-B405)/B405</f>
        <v>-7.4782176309387679E-3</v>
      </c>
      <c r="H406" s="4">
        <f t="shared" si="6"/>
        <v>-3.3716015000667232E-2</v>
      </c>
      <c r="I406" s="271"/>
      <c r="J406" s="4"/>
    </row>
    <row r="407" spans="1:10" ht="14.25" customHeight="1" x14ac:dyDescent="0.3">
      <c r="A407" s="272">
        <v>44522</v>
      </c>
      <c r="B407" s="4">
        <v>17416.55</v>
      </c>
      <c r="C407" s="272">
        <v>44522</v>
      </c>
      <c r="D407" s="4">
        <v>6504.58</v>
      </c>
      <c r="E407" s="271"/>
      <c r="F407" s="271"/>
      <c r="G407" s="273">
        <f>(B407-B406)/B406</f>
        <v>-1.9603372962262451E-2</v>
      </c>
      <c r="H407" s="4">
        <f t="shared" si="6"/>
        <v>-4.4496576564930668E-2</v>
      </c>
      <c r="I407" s="271"/>
      <c r="J407" s="4"/>
    </row>
    <row r="408" spans="1:10" ht="14.25" customHeight="1" x14ac:dyDescent="0.3">
      <c r="A408" s="272">
        <v>44523</v>
      </c>
      <c r="B408" s="4">
        <v>17503.349999999999</v>
      </c>
      <c r="C408" s="272">
        <v>44523</v>
      </c>
      <c r="D408" s="4">
        <v>6597.67</v>
      </c>
      <c r="E408" s="271"/>
      <c r="F408" s="271"/>
      <c r="G408" s="273">
        <f>(B408-B407)/B407</f>
        <v>4.9837654414909543E-3</v>
      </c>
      <c r="H408" s="4">
        <f t="shared" si="6"/>
        <v>1.4311454390598647E-2</v>
      </c>
      <c r="I408" s="271"/>
      <c r="J408" s="4"/>
    </row>
    <row r="409" spans="1:10" ht="14.25" customHeight="1" x14ac:dyDescent="0.3">
      <c r="A409" s="272">
        <v>44524</v>
      </c>
      <c r="B409" s="4">
        <v>17415.05</v>
      </c>
      <c r="C409" s="272">
        <v>44524</v>
      </c>
      <c r="D409" s="4">
        <v>6427.86</v>
      </c>
      <c r="E409" s="271"/>
      <c r="F409" s="271"/>
      <c r="G409" s="273">
        <f>(B409-B408)/B408</f>
        <v>-5.0447485767009907E-3</v>
      </c>
      <c r="H409" s="4">
        <f t="shared" si="6"/>
        <v>-2.5737874128290806E-2</v>
      </c>
      <c r="I409" s="271"/>
      <c r="J409" s="4"/>
    </row>
    <row r="410" spans="1:10" ht="14.25" customHeight="1" x14ac:dyDescent="0.3">
      <c r="A410" s="272">
        <v>44525</v>
      </c>
      <c r="B410" s="4">
        <v>17536.25</v>
      </c>
      <c r="C410" s="272">
        <v>44525</v>
      </c>
      <c r="D410" s="4">
        <v>6523.82</v>
      </c>
      <c r="E410" s="271"/>
      <c r="F410" s="271"/>
      <c r="G410" s="273">
        <f>(B410-B409)/B409</f>
        <v>6.9594976758608632E-3</v>
      </c>
      <c r="H410" s="4">
        <f t="shared" si="6"/>
        <v>1.4928763227574969E-2</v>
      </c>
      <c r="I410" s="271"/>
      <c r="J410" s="4"/>
    </row>
    <row r="411" spans="1:10" ht="14.25" customHeight="1" x14ac:dyDescent="0.3">
      <c r="A411" s="272">
        <v>44526</v>
      </c>
      <c r="B411" s="4">
        <v>17026.45</v>
      </c>
      <c r="C411" s="272">
        <v>44526</v>
      </c>
      <c r="D411" s="4">
        <v>6331.9</v>
      </c>
      <c r="E411" s="271"/>
      <c r="F411" s="271"/>
      <c r="G411" s="273">
        <f>(B411-B410)/B410</f>
        <v>-2.9071209637180087E-2</v>
      </c>
      <c r="H411" s="4">
        <f t="shared" si="6"/>
        <v>-2.9418346919442916E-2</v>
      </c>
      <c r="I411" s="271"/>
      <c r="J411" s="4"/>
    </row>
    <row r="412" spans="1:10" ht="14.25" customHeight="1" x14ac:dyDescent="0.3">
      <c r="A412" s="272">
        <v>44529</v>
      </c>
      <c r="B412" s="4">
        <v>17053.95</v>
      </c>
      <c r="C412" s="272">
        <v>44529</v>
      </c>
      <c r="D412" s="4">
        <v>6427.38</v>
      </c>
      <c r="E412" s="271"/>
      <c r="F412" s="271"/>
      <c r="G412" s="273">
        <f>(B412-B411)/B411</f>
        <v>1.6151341001794267E-3</v>
      </c>
      <c r="H412" s="4">
        <f t="shared" si="6"/>
        <v>1.5079202135220151E-2</v>
      </c>
      <c r="I412" s="271"/>
      <c r="J412" s="4"/>
    </row>
    <row r="413" spans="1:10" ht="14.25" customHeight="1" x14ac:dyDescent="0.3">
      <c r="A413" s="272">
        <v>44530</v>
      </c>
      <c r="B413" s="4">
        <v>16983.2</v>
      </c>
      <c r="C413" s="272">
        <v>44530</v>
      </c>
      <c r="D413" s="4">
        <v>6485.62</v>
      </c>
      <c r="E413" s="271"/>
      <c r="F413" s="271"/>
      <c r="G413" s="273">
        <f>(B413-B412)/B412</f>
        <v>-4.1485990049226129E-3</v>
      </c>
      <c r="H413" s="4">
        <f t="shared" si="6"/>
        <v>9.0612349044244742E-3</v>
      </c>
      <c r="I413" s="271"/>
      <c r="J413" s="4"/>
    </row>
    <row r="414" spans="1:10" ht="14.25" customHeight="1" x14ac:dyDescent="0.3">
      <c r="A414" s="272">
        <v>44531</v>
      </c>
      <c r="B414" s="4">
        <v>17166.900000000001</v>
      </c>
      <c r="C414" s="272">
        <v>44531</v>
      </c>
      <c r="D414" s="4">
        <v>6583.25</v>
      </c>
      <c r="E414" s="271"/>
      <c r="F414" s="271"/>
      <c r="G414" s="273">
        <f>(B414-B413)/B413</f>
        <v>1.0816571670827684E-2</v>
      </c>
      <c r="H414" s="4">
        <f t="shared" si="6"/>
        <v>1.5053302536997252E-2</v>
      </c>
      <c r="I414" s="271"/>
      <c r="J414" s="4"/>
    </row>
    <row r="415" spans="1:10" ht="14.25" customHeight="1" x14ac:dyDescent="0.3">
      <c r="A415" s="272">
        <v>44532</v>
      </c>
      <c r="B415" s="4">
        <v>17401.650000000001</v>
      </c>
      <c r="C415" s="272">
        <v>44532</v>
      </c>
      <c r="D415" s="4">
        <v>6618.06</v>
      </c>
      <c r="E415" s="271"/>
      <c r="F415" s="271"/>
      <c r="G415" s="273">
        <f>(B415-B414)/B414</f>
        <v>1.3674571413592436E-2</v>
      </c>
      <c r="H415" s="4">
        <f t="shared" si="6"/>
        <v>5.2876618691376446E-3</v>
      </c>
      <c r="I415" s="271"/>
      <c r="J415" s="4"/>
    </row>
    <row r="416" spans="1:10" ht="14.25" customHeight="1" x14ac:dyDescent="0.3">
      <c r="A416" s="272">
        <v>44533</v>
      </c>
      <c r="B416" s="4">
        <v>17196.7</v>
      </c>
      <c r="C416" s="272">
        <v>44533</v>
      </c>
      <c r="D416" s="4">
        <v>6522.91</v>
      </c>
      <c r="E416" s="271"/>
      <c r="F416" s="271"/>
      <c r="G416" s="273">
        <f>(B416-B415)/B415</f>
        <v>-1.177761878902292E-2</v>
      </c>
      <c r="H416" s="4">
        <f t="shared" si="6"/>
        <v>-1.4377325077137491E-2</v>
      </c>
      <c r="I416" s="271"/>
      <c r="J416" s="4"/>
    </row>
    <row r="417" spans="1:10" ht="14.25" customHeight="1" x14ac:dyDescent="0.3">
      <c r="A417" s="272">
        <v>44536</v>
      </c>
      <c r="B417" s="4">
        <v>16912.25</v>
      </c>
      <c r="C417" s="272">
        <v>44536</v>
      </c>
      <c r="D417" s="4">
        <v>6244.04</v>
      </c>
      <c r="E417" s="271"/>
      <c r="F417" s="271"/>
      <c r="G417" s="273">
        <f>(B417-B416)/B416</f>
        <v>-1.6540964254769853E-2</v>
      </c>
      <c r="H417" s="4">
        <f t="shared" si="6"/>
        <v>-4.2752391187368809E-2</v>
      </c>
      <c r="I417" s="271"/>
      <c r="J417" s="4"/>
    </row>
    <row r="418" spans="1:10" ht="14.25" customHeight="1" x14ac:dyDescent="0.3">
      <c r="A418" s="272">
        <v>44537</v>
      </c>
      <c r="B418" s="4">
        <v>17176.7</v>
      </c>
      <c r="C418" s="272">
        <v>44537</v>
      </c>
      <c r="D418" s="4">
        <v>6244.38</v>
      </c>
      <c r="E418" s="271"/>
      <c r="F418" s="271"/>
      <c r="G418" s="273">
        <f>(B418-B417)/B417</f>
        <v>1.5636594775976037E-2</v>
      </c>
      <c r="H418" s="4">
        <f t="shared" si="6"/>
        <v>5.4451925356042806E-5</v>
      </c>
      <c r="I418" s="271"/>
      <c r="J418" s="4"/>
    </row>
    <row r="419" spans="1:10" ht="14.25" customHeight="1" x14ac:dyDescent="0.3">
      <c r="A419" s="272">
        <v>44538</v>
      </c>
      <c r="B419" s="4">
        <v>17469.75</v>
      </c>
      <c r="C419" s="272">
        <v>44538</v>
      </c>
      <c r="D419" s="4">
        <v>6331.43</v>
      </c>
      <c r="E419" s="271"/>
      <c r="F419" s="271"/>
      <c r="G419" s="273">
        <f>(B419-B418)/B418</f>
        <v>1.7060902268771026E-2</v>
      </c>
      <c r="H419" s="4">
        <f t="shared" si="6"/>
        <v>1.3940535329368196E-2</v>
      </c>
      <c r="I419" s="271"/>
      <c r="J419" s="4"/>
    </row>
    <row r="420" spans="1:10" ht="14.25" customHeight="1" x14ac:dyDescent="0.3">
      <c r="A420" s="272">
        <v>44539</v>
      </c>
      <c r="B420" s="4">
        <v>17516.849999999999</v>
      </c>
      <c r="C420" s="272">
        <v>44539</v>
      </c>
      <c r="D420" s="4">
        <v>6291.71</v>
      </c>
      <c r="E420" s="271"/>
      <c r="F420" s="271"/>
      <c r="G420" s="273">
        <f>(B420-B419)/B419</f>
        <v>2.6960889537628496E-3</v>
      </c>
      <c r="H420" s="4">
        <f t="shared" si="6"/>
        <v>-6.2734642884783145E-3</v>
      </c>
      <c r="I420" s="271"/>
      <c r="J420" s="4"/>
    </row>
    <row r="421" spans="1:10" ht="14.25" customHeight="1" x14ac:dyDescent="0.3">
      <c r="A421" s="272">
        <v>44540</v>
      </c>
      <c r="B421" s="4">
        <v>17511.3</v>
      </c>
      <c r="C421" s="272">
        <v>44540</v>
      </c>
      <c r="D421" s="4">
        <v>6298.48</v>
      </c>
      <c r="E421" s="271"/>
      <c r="F421" s="271"/>
      <c r="G421" s="273">
        <f>(B421-B420)/B420</f>
        <v>-3.168377876158826E-4</v>
      </c>
      <c r="H421" s="4">
        <f t="shared" si="6"/>
        <v>1.0760190790738173E-3</v>
      </c>
      <c r="I421" s="271"/>
      <c r="J421" s="4"/>
    </row>
    <row r="422" spans="1:10" ht="14.25" customHeight="1" x14ac:dyDescent="0.3">
      <c r="A422" s="272">
        <v>44543</v>
      </c>
      <c r="B422" s="4">
        <v>17368.25</v>
      </c>
      <c r="C422" s="272">
        <v>44543</v>
      </c>
      <c r="D422" s="4">
        <v>6448.38</v>
      </c>
      <c r="E422" s="271"/>
      <c r="F422" s="271"/>
      <c r="G422" s="273">
        <f>(B422-B421)/B421</f>
        <v>-8.1690108672685217E-3</v>
      </c>
      <c r="H422" s="4">
        <f t="shared" si="6"/>
        <v>2.3799392869390798E-2</v>
      </c>
      <c r="I422" s="271"/>
      <c r="J422" s="4"/>
    </row>
    <row r="423" spans="1:10" ht="14.25" customHeight="1" x14ac:dyDescent="0.3">
      <c r="A423" s="272">
        <v>44544</v>
      </c>
      <c r="B423" s="4">
        <v>17324.900000000001</v>
      </c>
      <c r="C423" s="272">
        <v>44544</v>
      </c>
      <c r="D423" s="4">
        <v>6352.62</v>
      </c>
      <c r="E423" s="271"/>
      <c r="F423" s="271"/>
      <c r="G423" s="273">
        <f>(B423-B422)/B422</f>
        <v>-2.4959336720739595E-3</v>
      </c>
      <c r="H423" s="4">
        <f t="shared" si="6"/>
        <v>-1.4850241455993632E-2</v>
      </c>
      <c r="I423" s="271"/>
      <c r="J423" s="4"/>
    </row>
    <row r="424" spans="1:10" ht="14.25" customHeight="1" x14ac:dyDescent="0.3">
      <c r="A424" s="272">
        <v>44545</v>
      </c>
      <c r="B424" s="4">
        <v>17221.400000000001</v>
      </c>
      <c r="C424" s="272">
        <v>44545</v>
      </c>
      <c r="D424" s="4">
        <v>6357.95</v>
      </c>
      <c r="E424" s="271"/>
      <c r="F424" s="271"/>
      <c r="G424" s="273">
        <f>(B424-B423)/B423</f>
        <v>-5.9740604563374095E-3</v>
      </c>
      <c r="H424" s="4">
        <f t="shared" si="6"/>
        <v>8.3902389880079827E-4</v>
      </c>
      <c r="I424" s="271"/>
      <c r="J424" s="4"/>
    </row>
    <row r="425" spans="1:10" ht="14.25" customHeight="1" x14ac:dyDescent="0.3">
      <c r="A425" s="272">
        <v>44546</v>
      </c>
      <c r="B425" s="4">
        <v>17248.400000000001</v>
      </c>
      <c r="C425" s="272">
        <v>44546</v>
      </c>
      <c r="D425" s="4">
        <v>6514.05</v>
      </c>
      <c r="E425" s="271"/>
      <c r="F425" s="271"/>
      <c r="G425" s="273">
        <f>(B425-B424)/B424</f>
        <v>1.5678167860917231E-3</v>
      </c>
      <c r="H425" s="4">
        <f t="shared" si="6"/>
        <v>2.4551938911127072E-2</v>
      </c>
      <c r="I425" s="271"/>
      <c r="J425" s="4"/>
    </row>
    <row r="426" spans="1:10" ht="14.25" customHeight="1" x14ac:dyDescent="0.3">
      <c r="A426" s="272">
        <v>44547</v>
      </c>
      <c r="B426" s="4">
        <v>16985.2</v>
      </c>
      <c r="C426" s="272">
        <v>44547</v>
      </c>
      <c r="D426" s="4">
        <v>6646.2</v>
      </c>
      <c r="E426" s="271"/>
      <c r="F426" s="271"/>
      <c r="G426" s="273">
        <f>(B426-B425)/B425</f>
        <v>-1.5259386377866974E-2</v>
      </c>
      <c r="H426" s="4">
        <f t="shared" si="6"/>
        <v>2.0286918276648112E-2</v>
      </c>
      <c r="I426" s="271"/>
      <c r="J426" s="4"/>
    </row>
    <row r="427" spans="1:10" ht="14.25" customHeight="1" x14ac:dyDescent="0.3">
      <c r="A427" s="272">
        <v>44550</v>
      </c>
      <c r="B427" s="4">
        <v>16614.2</v>
      </c>
      <c r="C427" s="272">
        <v>44550</v>
      </c>
      <c r="D427" s="4">
        <v>6415.48</v>
      </c>
      <c r="E427" s="271"/>
      <c r="F427" s="271"/>
      <c r="G427" s="273">
        <f>(B427-B426)/B426</f>
        <v>-2.1842545274709746E-2</v>
      </c>
      <c r="H427" s="4">
        <f t="shared" si="6"/>
        <v>-3.4714573741386097E-2</v>
      </c>
      <c r="I427" s="271"/>
      <c r="J427" s="4"/>
    </row>
    <row r="428" spans="1:10" ht="14.25" customHeight="1" x14ac:dyDescent="0.3">
      <c r="A428" s="272">
        <v>44551</v>
      </c>
      <c r="B428" s="4">
        <v>16770.849999999999</v>
      </c>
      <c r="C428" s="272">
        <v>44551</v>
      </c>
      <c r="D428" s="4">
        <v>6644.44</v>
      </c>
      <c r="E428" s="271"/>
      <c r="F428" s="271"/>
      <c r="G428" s="273">
        <f>(B428-B427)/B427</f>
        <v>9.4286814893282736E-3</v>
      </c>
      <c r="H428" s="4">
        <f t="shared" si="6"/>
        <v>3.5688678010063167E-2</v>
      </c>
      <c r="I428" s="271"/>
      <c r="J428" s="4"/>
    </row>
    <row r="429" spans="1:10" ht="14.25" customHeight="1" x14ac:dyDescent="0.3">
      <c r="A429" s="272">
        <v>44552</v>
      </c>
      <c r="B429" s="4">
        <v>16955.45</v>
      </c>
      <c r="C429" s="272">
        <v>44552</v>
      </c>
      <c r="D429" s="4">
        <v>6786.87</v>
      </c>
      <c r="E429" s="271"/>
      <c r="F429" s="271"/>
      <c r="G429" s="273">
        <f>(B429-B428)/B428</f>
        <v>1.1007194030117864E-2</v>
      </c>
      <c r="H429" s="4">
        <f t="shared" si="6"/>
        <v>2.1435967515697381E-2</v>
      </c>
      <c r="I429" s="271"/>
      <c r="J429" s="4"/>
    </row>
    <row r="430" spans="1:10" ht="14.25" customHeight="1" x14ac:dyDescent="0.3">
      <c r="A430" s="272">
        <v>44553</v>
      </c>
      <c r="B430" s="4">
        <v>17072.599999999999</v>
      </c>
      <c r="C430" s="272">
        <v>44553</v>
      </c>
      <c r="D430" s="4">
        <v>6698.77</v>
      </c>
      <c r="E430" s="271"/>
      <c r="F430" s="271"/>
      <c r="G430" s="273">
        <f>(B430-B429)/B429</f>
        <v>6.9092828559547412E-3</v>
      </c>
      <c r="H430" s="4">
        <f t="shared" si="6"/>
        <v>-1.2980947034494466E-2</v>
      </c>
      <c r="I430" s="271"/>
      <c r="J430" s="4"/>
    </row>
    <row r="431" spans="1:10" ht="14.25" customHeight="1" x14ac:dyDescent="0.3">
      <c r="A431" s="272">
        <v>44554</v>
      </c>
      <c r="B431" s="4">
        <v>17003.75</v>
      </c>
      <c r="C431" s="272">
        <v>44554</v>
      </c>
      <c r="D431" s="4">
        <v>6825.49</v>
      </c>
      <c r="E431" s="271"/>
      <c r="F431" s="271"/>
      <c r="G431" s="273">
        <f>(B431-B430)/B430</f>
        <v>-4.0327776671390736E-3</v>
      </c>
      <c r="H431" s="4">
        <f t="shared" si="6"/>
        <v>1.8916905640886213E-2</v>
      </c>
      <c r="I431" s="271"/>
      <c r="J431" s="4"/>
    </row>
    <row r="432" spans="1:10" ht="14.25" customHeight="1" x14ac:dyDescent="0.3">
      <c r="A432" s="272">
        <v>44557</v>
      </c>
      <c r="B432" s="4">
        <v>17086.25</v>
      </c>
      <c r="C432" s="272">
        <v>44557</v>
      </c>
      <c r="D432" s="4">
        <v>6839.49</v>
      </c>
      <c r="E432" s="271"/>
      <c r="F432" s="271"/>
      <c r="G432" s="273">
        <f>(B432-B431)/B431</f>
        <v>4.8518709108284937E-3</v>
      </c>
      <c r="H432" s="4">
        <f t="shared" si="6"/>
        <v>2.0511347903227461E-3</v>
      </c>
      <c r="I432" s="271"/>
      <c r="J432" s="4"/>
    </row>
    <row r="433" spans="1:10" ht="14.25" customHeight="1" x14ac:dyDescent="0.3">
      <c r="A433" s="272">
        <v>44558</v>
      </c>
      <c r="B433" s="4">
        <v>17233.25</v>
      </c>
      <c r="C433" s="272">
        <v>44558</v>
      </c>
      <c r="D433" s="4">
        <v>6925.87</v>
      </c>
      <c r="E433" s="271"/>
      <c r="F433" s="271"/>
      <c r="G433" s="273">
        <f>(B433-B432)/B432</f>
        <v>8.6034091740434561E-3</v>
      </c>
      <c r="H433" s="4">
        <f t="shared" si="6"/>
        <v>1.2629596651212315E-2</v>
      </c>
      <c r="I433" s="271"/>
      <c r="J433" s="4"/>
    </row>
    <row r="434" spans="1:10" ht="14.25" customHeight="1" x14ac:dyDescent="0.3">
      <c r="A434" s="272">
        <v>44559</v>
      </c>
      <c r="B434" s="4">
        <v>17213.599999999999</v>
      </c>
      <c r="C434" s="272">
        <v>44559</v>
      </c>
      <c r="D434" s="4">
        <v>6917.45</v>
      </c>
      <c r="E434" s="271"/>
      <c r="F434" s="271"/>
      <c r="G434" s="273">
        <f>(B434-B433)/B433</f>
        <v>-1.1402376220388758E-3</v>
      </c>
      <c r="H434" s="4">
        <f t="shared" si="6"/>
        <v>-1.2157317420049862E-3</v>
      </c>
      <c r="I434" s="271"/>
      <c r="J434" s="4"/>
    </row>
    <row r="435" spans="1:10" ht="14.25" customHeight="1" x14ac:dyDescent="0.3">
      <c r="A435" s="272">
        <v>44560</v>
      </c>
      <c r="B435" s="4">
        <v>17203.95</v>
      </c>
      <c r="C435" s="272">
        <v>44560</v>
      </c>
      <c r="D435" s="4">
        <v>6945.45</v>
      </c>
      <c r="E435" s="271"/>
      <c r="F435" s="271"/>
      <c r="G435" s="273">
        <f>(B435-B434)/B434</f>
        <v>-5.6060324394652012E-4</v>
      </c>
      <c r="H435" s="4">
        <f t="shared" si="6"/>
        <v>4.0477343529768915E-3</v>
      </c>
      <c r="I435" s="271"/>
      <c r="J435" s="4"/>
    </row>
    <row r="436" spans="1:10" ht="14.25" customHeight="1" x14ac:dyDescent="0.3">
      <c r="A436" s="272">
        <v>44561</v>
      </c>
      <c r="B436" s="4">
        <v>17354.05</v>
      </c>
      <c r="C436" s="272">
        <v>44561</v>
      </c>
      <c r="D436" s="4">
        <v>6983.07</v>
      </c>
      <c r="E436" s="271"/>
      <c r="F436" s="271"/>
      <c r="G436" s="273">
        <f>(B436-B435)/B435</f>
        <v>8.7247405392365442E-3</v>
      </c>
      <c r="H436" s="4">
        <f t="shared" si="6"/>
        <v>5.4164956914238664E-3</v>
      </c>
      <c r="I436" s="271"/>
      <c r="J436" s="4"/>
    </row>
    <row r="437" spans="1:10" ht="14.25" customHeight="1" x14ac:dyDescent="0.3">
      <c r="A437" s="272">
        <v>44564</v>
      </c>
      <c r="B437" s="4">
        <v>17625.7</v>
      </c>
      <c r="C437" s="272">
        <v>44564</v>
      </c>
      <c r="D437" s="4">
        <v>7174.36</v>
      </c>
      <c r="E437" s="271"/>
      <c r="F437" s="271"/>
      <c r="G437" s="273">
        <f>(B437-B436)/B436</f>
        <v>1.5653406553513528E-2</v>
      </c>
      <c r="H437" s="4">
        <f t="shared" si="6"/>
        <v>2.739339574141459E-2</v>
      </c>
      <c r="I437" s="271"/>
      <c r="J437" s="4"/>
    </row>
    <row r="438" spans="1:10" ht="14.25" customHeight="1" x14ac:dyDescent="0.3">
      <c r="A438" s="272">
        <v>44565</v>
      </c>
      <c r="B438" s="4">
        <v>17805.25</v>
      </c>
      <c r="C438" s="272">
        <v>44565</v>
      </c>
      <c r="D438" s="4">
        <v>7201.88</v>
      </c>
      <c r="E438" s="271"/>
      <c r="F438" s="271"/>
      <c r="G438" s="273">
        <f>(B438-B437)/B437</f>
        <v>1.0186829459255477E-2</v>
      </c>
      <c r="H438" s="4">
        <f t="shared" si="6"/>
        <v>3.8358822250347678E-3</v>
      </c>
      <c r="I438" s="271"/>
      <c r="J438" s="4"/>
    </row>
    <row r="439" spans="1:10" ht="14.25" customHeight="1" x14ac:dyDescent="0.3">
      <c r="A439" s="272">
        <v>44566</v>
      </c>
      <c r="B439" s="4">
        <v>17925.25</v>
      </c>
      <c r="C439" s="272">
        <v>44566</v>
      </c>
      <c r="D439" s="4">
        <v>6968.88</v>
      </c>
      <c r="E439" s="271"/>
      <c r="F439" s="271"/>
      <c r="G439" s="273">
        <f>(B439-B438)/B438</f>
        <v>6.7395852346920151E-3</v>
      </c>
      <c r="H439" s="4">
        <f t="shared" si="6"/>
        <v>-3.2352663471204739E-2</v>
      </c>
      <c r="I439" s="271"/>
      <c r="J439" s="4"/>
    </row>
    <row r="440" spans="1:10" ht="14.25" customHeight="1" x14ac:dyDescent="0.3">
      <c r="A440" s="272">
        <v>44567</v>
      </c>
      <c r="B440" s="4">
        <v>17745.900000000001</v>
      </c>
      <c r="C440" s="272">
        <v>44567</v>
      </c>
      <c r="D440" s="4">
        <v>6849.02</v>
      </c>
      <c r="E440" s="271"/>
      <c r="F440" s="271"/>
      <c r="G440" s="273">
        <f>(B440-B439)/B439</f>
        <v>-1.0005439254682559E-2</v>
      </c>
      <c r="H440" s="4">
        <f t="shared" si="6"/>
        <v>-1.7199320407296392E-2</v>
      </c>
      <c r="I440" s="271"/>
      <c r="J440" s="4"/>
    </row>
    <row r="441" spans="1:10" ht="14.25" customHeight="1" x14ac:dyDescent="0.3">
      <c r="A441" s="272">
        <v>44568</v>
      </c>
      <c r="B441" s="4">
        <v>17812.7</v>
      </c>
      <c r="C441" s="272">
        <v>44568</v>
      </c>
      <c r="D441" s="4">
        <v>6862.54</v>
      </c>
      <c r="E441" s="271"/>
      <c r="F441" s="271"/>
      <c r="G441" s="273">
        <f>(B441-B440)/B440</f>
        <v>3.7642497703694526E-3</v>
      </c>
      <c r="H441" s="4">
        <f t="shared" si="6"/>
        <v>1.9740050401370599E-3</v>
      </c>
      <c r="I441" s="271"/>
      <c r="J441" s="4"/>
    </row>
    <row r="442" spans="1:10" ht="14.25" customHeight="1" x14ac:dyDescent="0.3">
      <c r="A442" s="272">
        <v>44571</v>
      </c>
      <c r="B442" s="4">
        <v>18003.3</v>
      </c>
      <c r="C442" s="272">
        <v>44571</v>
      </c>
      <c r="D442" s="4">
        <v>6765.49</v>
      </c>
      <c r="E442" s="271"/>
      <c r="F442" s="271"/>
      <c r="G442" s="273">
        <f>(B442-B441)/B441</f>
        <v>1.0700230734251323E-2</v>
      </c>
      <c r="H442" s="4">
        <f t="shared" si="6"/>
        <v>-1.4141994072165726E-2</v>
      </c>
      <c r="I442" s="271"/>
      <c r="J442" s="4"/>
    </row>
    <row r="443" spans="1:10" ht="14.25" customHeight="1" x14ac:dyDescent="0.3">
      <c r="A443" s="272">
        <v>44572</v>
      </c>
      <c r="B443" s="4">
        <v>18055.75</v>
      </c>
      <c r="C443" s="272">
        <v>44572</v>
      </c>
      <c r="D443" s="4">
        <v>6832.73</v>
      </c>
      <c r="E443" s="271"/>
      <c r="F443" s="271"/>
      <c r="G443" s="273">
        <f>(B443-B442)/B442</f>
        <v>2.9133547738470576E-3</v>
      </c>
      <c r="H443" s="4">
        <f t="shared" si="6"/>
        <v>9.9386740649974777E-3</v>
      </c>
      <c r="I443" s="271"/>
      <c r="J443" s="4"/>
    </row>
    <row r="444" spans="1:10" ht="14.25" customHeight="1" x14ac:dyDescent="0.3">
      <c r="A444" s="272">
        <v>44573</v>
      </c>
      <c r="B444" s="4">
        <v>18212.349999999999</v>
      </c>
      <c r="C444" s="272">
        <v>44573</v>
      </c>
      <c r="D444" s="4">
        <v>6829.49</v>
      </c>
      <c r="E444" s="271"/>
      <c r="F444" s="271"/>
      <c r="G444" s="273">
        <f>(B444-B443)/B443</f>
        <v>8.6731373662128994E-3</v>
      </c>
      <c r="H444" s="4">
        <f t="shared" si="6"/>
        <v>-4.7418820881255103E-4</v>
      </c>
      <c r="I444" s="271"/>
      <c r="J444" s="4"/>
    </row>
    <row r="445" spans="1:10" ht="14.25" customHeight="1" x14ac:dyDescent="0.3">
      <c r="A445" s="272">
        <v>44574</v>
      </c>
      <c r="B445" s="4">
        <v>18257.8</v>
      </c>
      <c r="C445" s="272">
        <v>44574</v>
      </c>
      <c r="D445" s="4">
        <v>6793.16</v>
      </c>
      <c r="E445" s="271"/>
      <c r="F445" s="271"/>
      <c r="G445" s="273">
        <f>(B445-B444)/B444</f>
        <v>2.4955593319917931E-3</v>
      </c>
      <c r="H445" s="4">
        <f t="shared" si="6"/>
        <v>-5.3195773037225226E-3</v>
      </c>
      <c r="I445" s="271"/>
      <c r="J445" s="4"/>
    </row>
    <row r="446" spans="1:10" ht="14.25" customHeight="1" x14ac:dyDescent="0.3">
      <c r="A446" s="272">
        <v>44575</v>
      </c>
      <c r="B446" s="4">
        <v>18255.75</v>
      </c>
      <c r="C446" s="272">
        <v>44575</v>
      </c>
      <c r="D446" s="4">
        <v>6741.49</v>
      </c>
      <c r="E446" s="271"/>
      <c r="F446" s="271"/>
      <c r="G446" s="273">
        <f>(B446-B445)/B445</f>
        <v>-1.1228077862608159E-4</v>
      </c>
      <c r="H446" s="4">
        <f t="shared" si="6"/>
        <v>-7.6061803343363136E-3</v>
      </c>
      <c r="I446" s="271"/>
      <c r="J446" s="4"/>
    </row>
    <row r="447" spans="1:10" ht="14.25" customHeight="1" x14ac:dyDescent="0.3">
      <c r="A447" s="272">
        <v>44578</v>
      </c>
      <c r="B447" s="4">
        <v>18308.099999999999</v>
      </c>
      <c r="C447" s="272">
        <v>44578</v>
      </c>
      <c r="D447" s="4">
        <v>6764.97</v>
      </c>
      <c r="E447" s="271"/>
      <c r="F447" s="271"/>
      <c r="G447" s="273">
        <f>(B447-B446)/B446</f>
        <v>2.8675896635305888E-3</v>
      </c>
      <c r="H447" s="4">
        <f t="shared" si="6"/>
        <v>3.482909564502873E-3</v>
      </c>
      <c r="I447" s="271"/>
      <c r="J447" s="4"/>
    </row>
    <row r="448" spans="1:10" ht="14.25" customHeight="1" x14ac:dyDescent="0.3">
      <c r="A448" s="272">
        <v>44579</v>
      </c>
      <c r="B448" s="4">
        <v>18113.05</v>
      </c>
      <c r="C448" s="272">
        <v>44579</v>
      </c>
      <c r="D448" s="4">
        <v>6542.58</v>
      </c>
      <c r="E448" s="271"/>
      <c r="F448" s="271"/>
      <c r="G448" s="273">
        <f>(B448-B447)/B447</f>
        <v>-1.0653754349167816E-2</v>
      </c>
      <c r="H448" s="4">
        <f t="shared" si="6"/>
        <v>-3.2873759972328082E-2</v>
      </c>
      <c r="I448" s="271"/>
      <c r="J448" s="4"/>
    </row>
    <row r="449" spans="1:10" ht="14.25" customHeight="1" x14ac:dyDescent="0.3">
      <c r="A449" s="272">
        <v>44580</v>
      </c>
      <c r="B449" s="4">
        <v>17938.400000000001</v>
      </c>
      <c r="C449" s="272">
        <v>44580</v>
      </c>
      <c r="D449" s="4">
        <v>6378.33</v>
      </c>
      <c r="E449" s="271"/>
      <c r="F449" s="271"/>
      <c r="G449" s="273">
        <f>(B449-B448)/B448</f>
        <v>-9.6422192838863593E-3</v>
      </c>
      <c r="H449" s="4">
        <f t="shared" si="6"/>
        <v>-2.5104775180433407E-2</v>
      </c>
      <c r="I449" s="271"/>
      <c r="J449" s="4"/>
    </row>
    <row r="450" spans="1:10" ht="14.25" customHeight="1" x14ac:dyDescent="0.3">
      <c r="A450" s="272">
        <v>44581</v>
      </c>
      <c r="B450" s="4">
        <v>17757</v>
      </c>
      <c r="C450" s="272">
        <v>44581</v>
      </c>
      <c r="D450" s="4">
        <v>6292.05</v>
      </c>
      <c r="E450" s="271"/>
      <c r="F450" s="271"/>
      <c r="G450" s="273">
        <f>(B450-B449)/B449</f>
        <v>-1.0112384605093064E-2</v>
      </c>
      <c r="H450" s="4">
        <f t="shared" si="6"/>
        <v>-1.3527051751790789E-2</v>
      </c>
      <c r="I450" s="271"/>
      <c r="J450" s="4"/>
    </row>
    <row r="451" spans="1:10" ht="14.25" customHeight="1" x14ac:dyDescent="0.3">
      <c r="A451" s="272">
        <v>44582</v>
      </c>
      <c r="B451" s="4">
        <v>17617.150000000001</v>
      </c>
      <c r="C451" s="272">
        <v>44582</v>
      </c>
      <c r="D451" s="4">
        <v>6089.52</v>
      </c>
      <c r="E451" s="271"/>
      <c r="F451" s="271"/>
      <c r="G451" s="273">
        <f>(B451-B450)/B450</f>
        <v>-7.8757673030353404E-3</v>
      </c>
      <c r="H451" s="4">
        <f t="shared" ref="H451:H514" si="7">(D451-D450)/D450</f>
        <v>-3.2188237537845332E-2</v>
      </c>
      <c r="I451" s="271"/>
      <c r="J451" s="4"/>
    </row>
    <row r="452" spans="1:10" ht="14.25" customHeight="1" x14ac:dyDescent="0.3">
      <c r="A452" s="272">
        <v>44585</v>
      </c>
      <c r="B452" s="4">
        <v>17149.099999999999</v>
      </c>
      <c r="C452" s="272">
        <v>44585</v>
      </c>
      <c r="D452" s="4">
        <v>5685.03</v>
      </c>
      <c r="E452" s="271"/>
      <c r="F452" s="271"/>
      <c r="G452" s="273">
        <f>(B452-B451)/B451</f>
        <v>-2.6567861430481256E-2</v>
      </c>
      <c r="H452" s="4">
        <f t="shared" si="7"/>
        <v>-6.6423954597406798E-2</v>
      </c>
      <c r="I452" s="271"/>
      <c r="J452" s="4"/>
    </row>
    <row r="453" spans="1:10" ht="14.25" customHeight="1" x14ac:dyDescent="0.3">
      <c r="A453" s="272">
        <v>44586</v>
      </c>
      <c r="B453" s="4">
        <v>17277.95</v>
      </c>
      <c r="C453" s="272">
        <v>44586</v>
      </c>
      <c r="D453" s="4">
        <v>5746.98</v>
      </c>
      <c r="E453" s="271"/>
      <c r="F453" s="271"/>
      <c r="G453" s="273">
        <f>(B453-B452)/B452</f>
        <v>7.5135138287141714E-3</v>
      </c>
      <c r="H453" s="4">
        <f t="shared" si="7"/>
        <v>1.0897040121160278E-2</v>
      </c>
      <c r="I453" s="271"/>
      <c r="J453" s="4"/>
    </row>
    <row r="454" spans="1:10" ht="14.25" customHeight="1" x14ac:dyDescent="0.3">
      <c r="A454" s="272">
        <v>44588</v>
      </c>
      <c r="B454" s="4">
        <v>17110.150000000001</v>
      </c>
      <c r="C454" s="272">
        <v>44588</v>
      </c>
      <c r="D454" s="4">
        <v>5472.26</v>
      </c>
      <c r="E454" s="271"/>
      <c r="F454" s="271"/>
      <c r="G454" s="273">
        <f>(B454-B453)/B453</f>
        <v>-9.7118003003828154E-3</v>
      </c>
      <c r="H454" s="4">
        <f t="shared" si="7"/>
        <v>-4.7802498007649123E-2</v>
      </c>
      <c r="I454" s="271"/>
      <c r="J454" s="4"/>
    </row>
    <row r="455" spans="1:10" ht="14.25" customHeight="1" x14ac:dyDescent="0.3">
      <c r="A455" s="272">
        <v>44589</v>
      </c>
      <c r="B455" s="4">
        <v>17101.95</v>
      </c>
      <c r="C455" s="272">
        <v>44589</v>
      </c>
      <c r="D455" s="4">
        <v>5630.22</v>
      </c>
      <c r="E455" s="271"/>
      <c r="F455" s="271"/>
      <c r="G455" s="273">
        <f>(B455-B454)/B454</f>
        <v>-4.7924769800385895E-4</v>
      </c>
      <c r="H455" s="4">
        <f t="shared" si="7"/>
        <v>2.8865587526908449E-2</v>
      </c>
      <c r="I455" s="271"/>
      <c r="J455" s="4"/>
    </row>
    <row r="456" spans="1:10" ht="14.25" customHeight="1" x14ac:dyDescent="0.3">
      <c r="A456" s="272">
        <v>44592</v>
      </c>
      <c r="B456" s="4">
        <v>17339.849999999999</v>
      </c>
      <c r="C456" s="272">
        <v>44592</v>
      </c>
      <c r="D456" s="4">
        <v>5971.94</v>
      </c>
      <c r="E456" s="271"/>
      <c r="F456" s="271"/>
      <c r="G456" s="273">
        <f>(B456-B455)/B455</f>
        <v>1.3910694394498744E-2</v>
      </c>
      <c r="H456" s="4">
        <f t="shared" si="7"/>
        <v>6.0693898284613981E-2</v>
      </c>
      <c r="I456" s="271"/>
      <c r="J456" s="4"/>
    </row>
    <row r="457" spans="1:10" ht="14.25" customHeight="1" x14ac:dyDescent="0.3">
      <c r="A457" s="272">
        <v>44593</v>
      </c>
      <c r="B457" s="4">
        <v>17576.849999999999</v>
      </c>
      <c r="C457" s="272">
        <v>44593</v>
      </c>
      <c r="D457" s="4">
        <v>5995.8</v>
      </c>
      <c r="E457" s="271"/>
      <c r="F457" s="271"/>
      <c r="G457" s="273">
        <f>(B457-B456)/B456</f>
        <v>1.3667938303964568E-2</v>
      </c>
      <c r="H457" s="4">
        <f t="shared" si="7"/>
        <v>3.9953515942893906E-3</v>
      </c>
      <c r="I457" s="271"/>
      <c r="J457" s="4"/>
    </row>
    <row r="458" spans="1:10" ht="14.25" customHeight="1" x14ac:dyDescent="0.3">
      <c r="A458" s="272">
        <v>44594</v>
      </c>
      <c r="B458" s="4">
        <v>17780</v>
      </c>
      <c r="C458" s="272">
        <v>44594</v>
      </c>
      <c r="D458" s="4">
        <v>6092.33</v>
      </c>
      <c r="E458" s="271"/>
      <c r="F458" s="271"/>
      <c r="G458" s="273">
        <f>(B458-B457)/B457</f>
        <v>1.1557816104705989E-2</v>
      </c>
      <c r="H458" s="4">
        <f t="shared" si="7"/>
        <v>1.609960305547212E-2</v>
      </c>
      <c r="I458" s="271"/>
      <c r="J458" s="4"/>
    </row>
    <row r="459" spans="1:10" ht="14.25" customHeight="1" x14ac:dyDescent="0.3">
      <c r="A459" s="272">
        <v>44595</v>
      </c>
      <c r="B459" s="4">
        <v>17560.2</v>
      </c>
      <c r="C459" s="272">
        <v>44595</v>
      </c>
      <c r="D459" s="4">
        <v>5903.32</v>
      </c>
      <c r="E459" s="271"/>
      <c r="F459" s="271"/>
      <c r="G459" s="273">
        <f>(B459-B458)/B458</f>
        <v>-1.2362204724409407E-2</v>
      </c>
      <c r="H459" s="4">
        <f t="shared" si="7"/>
        <v>-3.102425508795489E-2</v>
      </c>
      <c r="I459" s="271"/>
      <c r="J459" s="4"/>
    </row>
    <row r="460" spans="1:10" ht="14.25" customHeight="1" x14ac:dyDescent="0.3">
      <c r="A460" s="272">
        <v>44596</v>
      </c>
      <c r="B460" s="4">
        <v>17516.3</v>
      </c>
      <c r="C460" s="272">
        <v>44596</v>
      </c>
      <c r="D460" s="4">
        <v>5983.04</v>
      </c>
      <c r="E460" s="271"/>
      <c r="F460" s="271"/>
      <c r="G460" s="273">
        <f>(B460-B459)/B459</f>
        <v>-2.4999715265202819E-3</v>
      </c>
      <c r="H460" s="4">
        <f t="shared" si="7"/>
        <v>1.3504265396421041E-2</v>
      </c>
      <c r="I460" s="271"/>
      <c r="J460" s="4"/>
    </row>
    <row r="461" spans="1:10" ht="14.25" customHeight="1" x14ac:dyDescent="0.3">
      <c r="A461" s="272">
        <v>44599</v>
      </c>
      <c r="B461" s="4">
        <v>17213.599999999999</v>
      </c>
      <c r="C461" s="272">
        <v>44599</v>
      </c>
      <c r="D461" s="4">
        <v>5836.03</v>
      </c>
      <c r="E461" s="271"/>
      <c r="F461" s="271"/>
      <c r="G461" s="273">
        <f>(B461-B460)/B460</f>
        <v>-1.7281046796412527E-2</v>
      </c>
      <c r="H461" s="4">
        <f t="shared" si="7"/>
        <v>-2.4571121035460271E-2</v>
      </c>
      <c r="I461" s="271"/>
      <c r="J461" s="4"/>
    </row>
    <row r="462" spans="1:10" ht="14.25" customHeight="1" x14ac:dyDescent="0.3">
      <c r="A462" s="272">
        <v>44600</v>
      </c>
      <c r="B462" s="4">
        <v>17266.75</v>
      </c>
      <c r="C462" s="272">
        <v>44600</v>
      </c>
      <c r="D462" s="4">
        <v>5851.56</v>
      </c>
      <c r="E462" s="271"/>
      <c r="F462" s="271"/>
      <c r="G462" s="273">
        <f>(B462-B461)/B461</f>
        <v>3.0876748617373159E-3</v>
      </c>
      <c r="H462" s="4">
        <f t="shared" si="7"/>
        <v>2.6610555463218413E-3</v>
      </c>
      <c r="I462" s="271"/>
      <c r="J462" s="4"/>
    </row>
    <row r="463" spans="1:10" ht="14.25" customHeight="1" x14ac:dyDescent="0.3">
      <c r="A463" s="272">
        <v>44601</v>
      </c>
      <c r="B463" s="4">
        <v>17463.8</v>
      </c>
      <c r="C463" s="272">
        <v>44601</v>
      </c>
      <c r="D463" s="4">
        <v>5991.32</v>
      </c>
      <c r="E463" s="271"/>
      <c r="F463" s="271"/>
      <c r="G463" s="273">
        <f>(B463-B462)/B462</f>
        <v>1.1412107084425227E-2</v>
      </c>
      <c r="H463" s="4">
        <f t="shared" si="7"/>
        <v>2.3884229162821419E-2</v>
      </c>
      <c r="I463" s="271"/>
      <c r="J463" s="4"/>
    </row>
    <row r="464" spans="1:10" ht="14.25" customHeight="1" x14ac:dyDescent="0.3">
      <c r="A464" s="272">
        <v>44602</v>
      </c>
      <c r="B464" s="4">
        <v>17605.849999999999</v>
      </c>
      <c r="C464" s="272">
        <v>44602</v>
      </c>
      <c r="D464" s="4">
        <v>6016.75</v>
      </c>
      <c r="E464" s="271"/>
      <c r="F464" s="271"/>
      <c r="G464" s="273">
        <f>(B464-B463)/B463</f>
        <v>8.1339685520905695E-3</v>
      </c>
      <c r="H464" s="4">
        <f t="shared" si="7"/>
        <v>4.2444736719120819E-3</v>
      </c>
      <c r="I464" s="271"/>
      <c r="J464" s="4"/>
    </row>
    <row r="465" spans="1:10" ht="14.25" customHeight="1" x14ac:dyDescent="0.3">
      <c r="A465" s="272">
        <v>44603</v>
      </c>
      <c r="B465" s="4">
        <v>17374.75</v>
      </c>
      <c r="C465" s="272">
        <v>44603</v>
      </c>
      <c r="D465" s="4">
        <v>5714.31</v>
      </c>
      <c r="E465" s="271"/>
      <c r="F465" s="271"/>
      <c r="G465" s="273">
        <f>(B465-B464)/B464</f>
        <v>-1.3126318808804946E-2</v>
      </c>
      <c r="H465" s="4">
        <f t="shared" si="7"/>
        <v>-5.0266339801387727E-2</v>
      </c>
      <c r="I465" s="271"/>
      <c r="J465" s="4"/>
    </row>
    <row r="466" spans="1:10" ht="14.25" customHeight="1" x14ac:dyDescent="0.3">
      <c r="A466" s="272">
        <v>44606</v>
      </c>
      <c r="B466" s="4">
        <v>16842.8</v>
      </c>
      <c r="C466" s="272">
        <v>44606</v>
      </c>
      <c r="D466" s="4">
        <v>5605.26</v>
      </c>
      <c r="E466" s="271"/>
      <c r="F466" s="271"/>
      <c r="G466" s="273">
        <f>(B466-B465)/B465</f>
        <v>-3.0616267859969251E-2</v>
      </c>
      <c r="H466" s="4">
        <f t="shared" si="7"/>
        <v>-1.908366889440723E-2</v>
      </c>
      <c r="I466" s="271"/>
      <c r="J466" s="4"/>
    </row>
    <row r="467" spans="1:10" ht="14.25" customHeight="1" x14ac:dyDescent="0.3">
      <c r="A467" s="272">
        <v>44607</v>
      </c>
      <c r="B467" s="4">
        <v>17352.45</v>
      </c>
      <c r="C467" s="272">
        <v>44607</v>
      </c>
      <c r="D467" s="4">
        <v>5812.22</v>
      </c>
      <c r="E467" s="271"/>
      <c r="F467" s="271"/>
      <c r="G467" s="273">
        <f>(B467-B466)/B466</f>
        <v>3.0259220557152106E-2</v>
      </c>
      <c r="H467" s="4">
        <f t="shared" si="7"/>
        <v>3.69224621159411E-2</v>
      </c>
      <c r="I467" s="271"/>
      <c r="J467" s="4"/>
    </row>
    <row r="468" spans="1:10" ht="14.25" customHeight="1" x14ac:dyDescent="0.3">
      <c r="A468" s="272">
        <v>44608</v>
      </c>
      <c r="B468" s="4">
        <v>17322.2</v>
      </c>
      <c r="C468" s="272">
        <v>44608</v>
      </c>
      <c r="D468" s="4">
        <v>5717.22</v>
      </c>
      <c r="E468" s="271"/>
      <c r="F468" s="271"/>
      <c r="G468" s="273">
        <f>(B468-B467)/B467</f>
        <v>-1.7432696823791451E-3</v>
      </c>
      <c r="H468" s="4">
        <f t="shared" si="7"/>
        <v>-1.6344873387449201E-2</v>
      </c>
      <c r="I468" s="271"/>
      <c r="J468" s="4"/>
    </row>
    <row r="469" spans="1:10" ht="14.25" customHeight="1" x14ac:dyDescent="0.3">
      <c r="A469" s="272">
        <v>44609</v>
      </c>
      <c r="B469" s="4">
        <v>17304.599999999999</v>
      </c>
      <c r="C469" s="272">
        <v>44609</v>
      </c>
      <c r="D469" s="4">
        <v>5651.79</v>
      </c>
      <c r="E469" s="271"/>
      <c r="F469" s="271"/>
      <c r="G469" s="273">
        <f>(B469-B468)/B468</f>
        <v>-1.0160372239093292E-3</v>
      </c>
      <c r="H469" s="4">
        <f t="shared" si="7"/>
        <v>-1.1444373314303155E-2</v>
      </c>
      <c r="I469" s="271"/>
      <c r="J469" s="4"/>
    </row>
    <row r="470" spans="1:10" ht="14.25" customHeight="1" x14ac:dyDescent="0.3">
      <c r="A470" s="272">
        <v>44610</v>
      </c>
      <c r="B470" s="4">
        <v>17276.3</v>
      </c>
      <c r="C470" s="272">
        <v>44610</v>
      </c>
      <c r="D470" s="4">
        <v>5581.74</v>
      </c>
      <c r="E470" s="271"/>
      <c r="F470" s="271"/>
      <c r="G470" s="273">
        <f>(B470-B469)/B469</f>
        <v>-1.6354033031679019E-3</v>
      </c>
      <c r="H470" s="4">
        <f t="shared" si="7"/>
        <v>-1.239430339768466E-2</v>
      </c>
      <c r="I470" s="271"/>
      <c r="J470" s="4"/>
    </row>
    <row r="471" spans="1:10" ht="14.25" customHeight="1" x14ac:dyDescent="0.3">
      <c r="A471" s="272">
        <v>44613</v>
      </c>
      <c r="B471" s="4">
        <v>17206.650000000001</v>
      </c>
      <c r="C471" s="272">
        <v>44613</v>
      </c>
      <c r="D471" s="4">
        <v>5582.36</v>
      </c>
      <c r="E471" s="271"/>
      <c r="F471" s="271"/>
      <c r="G471" s="273">
        <f>(B471-B470)/B470</f>
        <v>-4.0315345299628868E-3</v>
      </c>
      <c r="H471" s="4">
        <f t="shared" si="7"/>
        <v>1.1107647436102198E-4</v>
      </c>
      <c r="I471" s="271"/>
      <c r="J471" s="4"/>
    </row>
    <row r="472" spans="1:10" ht="14.25" customHeight="1" x14ac:dyDescent="0.3">
      <c r="A472" s="272">
        <v>44614</v>
      </c>
      <c r="B472" s="4">
        <v>17092.2</v>
      </c>
      <c r="C472" s="272">
        <v>44614</v>
      </c>
      <c r="D472" s="4">
        <v>5705.93</v>
      </c>
      <c r="E472" s="271"/>
      <c r="F472" s="271"/>
      <c r="G472" s="273">
        <f>(B472-B471)/B471</f>
        <v>-6.6514981126483495E-3</v>
      </c>
      <c r="H472" s="4">
        <f t="shared" si="7"/>
        <v>2.2135799196039065E-2</v>
      </c>
      <c r="I472" s="271"/>
      <c r="J472" s="4"/>
    </row>
    <row r="473" spans="1:10" ht="14.25" customHeight="1" x14ac:dyDescent="0.3">
      <c r="A473" s="272">
        <v>44615</v>
      </c>
      <c r="B473" s="4">
        <v>17063.25</v>
      </c>
      <c r="C473" s="272">
        <v>44615</v>
      </c>
      <c r="D473" s="4">
        <v>5630.46</v>
      </c>
      <c r="E473" s="271"/>
      <c r="F473" s="271"/>
      <c r="G473" s="273">
        <f>(B473-B472)/B472</f>
        <v>-1.6937550461614494E-3</v>
      </c>
      <c r="H473" s="4">
        <f t="shared" si="7"/>
        <v>-1.3226590582078689E-2</v>
      </c>
      <c r="I473" s="271"/>
      <c r="J473" s="4"/>
    </row>
    <row r="474" spans="1:10" ht="14.25" customHeight="1" x14ac:dyDescent="0.3">
      <c r="A474" s="272">
        <v>44616</v>
      </c>
      <c r="B474" s="4">
        <v>16247.95</v>
      </c>
      <c r="C474" s="272">
        <v>44616</v>
      </c>
      <c r="D474" s="4">
        <v>5334.4</v>
      </c>
      <c r="E474" s="271"/>
      <c r="F474" s="271"/>
      <c r="G474" s="273">
        <f>(B474-B473)/B473</f>
        <v>-4.7781049917219716E-2</v>
      </c>
      <c r="H474" s="4">
        <f t="shared" si="7"/>
        <v>-5.2581849440365515E-2</v>
      </c>
      <c r="I474" s="271"/>
      <c r="J474" s="4"/>
    </row>
    <row r="475" spans="1:10" ht="14.25" customHeight="1" x14ac:dyDescent="0.3">
      <c r="A475" s="272">
        <v>44617</v>
      </c>
      <c r="B475" s="4">
        <v>16658.400000000001</v>
      </c>
      <c r="C475" s="272">
        <v>44617</v>
      </c>
      <c r="D475" s="4">
        <v>5443.31</v>
      </c>
      <c r="E475" s="271"/>
      <c r="F475" s="271"/>
      <c r="G475" s="273">
        <f>(B475-B474)/B474</f>
        <v>2.5261648392566491E-2</v>
      </c>
      <c r="H475" s="4">
        <f t="shared" si="7"/>
        <v>2.0416541691661811E-2</v>
      </c>
      <c r="I475" s="271"/>
      <c r="J475" s="4"/>
    </row>
    <row r="476" spans="1:10" ht="14.25" customHeight="1" x14ac:dyDescent="0.3">
      <c r="A476" s="272">
        <v>44620</v>
      </c>
      <c r="B476" s="4">
        <v>16793.900000000001</v>
      </c>
      <c r="C476" s="272">
        <v>44620</v>
      </c>
      <c r="D476" s="4">
        <v>5571.41</v>
      </c>
      <c r="E476" s="271"/>
      <c r="F476" s="271"/>
      <c r="G476" s="273">
        <f>(B476-B475)/B475</f>
        <v>8.1340344811026265E-3</v>
      </c>
      <c r="H476" s="4">
        <f t="shared" si="7"/>
        <v>2.3533475036328896E-2</v>
      </c>
      <c r="I476" s="271"/>
      <c r="J476" s="4"/>
    </row>
    <row r="477" spans="1:10" ht="14.25" customHeight="1" x14ac:dyDescent="0.3">
      <c r="A477" s="272">
        <v>44622</v>
      </c>
      <c r="B477" s="4">
        <v>16605.95</v>
      </c>
      <c r="C477" s="272">
        <v>44622</v>
      </c>
      <c r="D477" s="4">
        <v>5582.36</v>
      </c>
      <c r="E477" s="271"/>
      <c r="F477" s="271"/>
      <c r="G477" s="273">
        <f>(B477-B476)/B476</f>
        <v>-1.1191563603451296E-2</v>
      </c>
      <c r="H477" s="4">
        <f t="shared" si="7"/>
        <v>1.9653911666884715E-3</v>
      </c>
      <c r="I477" s="271"/>
      <c r="J477" s="4"/>
    </row>
    <row r="478" spans="1:10" ht="14.25" customHeight="1" x14ac:dyDescent="0.3">
      <c r="A478" s="272">
        <v>44623</v>
      </c>
      <c r="B478" s="4">
        <v>16498.05</v>
      </c>
      <c r="C478" s="272">
        <v>44623</v>
      </c>
      <c r="D478" s="4">
        <v>5730.17</v>
      </c>
      <c r="E478" s="271"/>
      <c r="F478" s="271"/>
      <c r="G478" s="273">
        <f>(B478-B477)/B477</f>
        <v>-6.4976710155095884E-3</v>
      </c>
      <c r="H478" s="4">
        <f t="shared" si="7"/>
        <v>2.6478048710581261E-2</v>
      </c>
      <c r="I478" s="271"/>
      <c r="J478" s="4"/>
    </row>
    <row r="479" spans="1:10" ht="14.25" customHeight="1" x14ac:dyDescent="0.3">
      <c r="A479" s="272">
        <v>44624</v>
      </c>
      <c r="B479" s="4">
        <v>16245.35</v>
      </c>
      <c r="C479" s="272">
        <v>44624</v>
      </c>
      <c r="D479" s="4">
        <v>5817.94</v>
      </c>
      <c r="E479" s="271"/>
      <c r="F479" s="271"/>
      <c r="G479" s="273">
        <f>(B479-B478)/B478</f>
        <v>-1.5316961701534359E-2</v>
      </c>
      <c r="H479" s="4">
        <f t="shared" si="7"/>
        <v>1.5317172090880293E-2</v>
      </c>
      <c r="I479" s="271"/>
      <c r="J479" s="4"/>
    </row>
    <row r="480" spans="1:10" ht="14.25" customHeight="1" x14ac:dyDescent="0.3">
      <c r="A480" s="272">
        <v>44627</v>
      </c>
      <c r="B480" s="4">
        <v>15863.15</v>
      </c>
      <c r="C480" s="272">
        <v>44627</v>
      </c>
      <c r="D480" s="4">
        <v>5917.08</v>
      </c>
      <c r="E480" s="271"/>
      <c r="F480" s="271"/>
      <c r="G480" s="273">
        <f>(B480-B479)/B479</f>
        <v>-2.3526732264925083E-2</v>
      </c>
      <c r="H480" s="4">
        <f t="shared" si="7"/>
        <v>1.7040395741448063E-2</v>
      </c>
      <c r="I480" s="271"/>
      <c r="J480" s="4"/>
    </row>
    <row r="481" spans="1:10" ht="14.25" customHeight="1" x14ac:dyDescent="0.3">
      <c r="A481" s="272">
        <v>44628</v>
      </c>
      <c r="B481" s="4">
        <v>16013.45</v>
      </c>
      <c r="C481" s="272">
        <v>44628</v>
      </c>
      <c r="D481" s="4">
        <v>6131.38</v>
      </c>
      <c r="E481" s="271"/>
      <c r="F481" s="271"/>
      <c r="G481" s="273">
        <f>(B481-B480)/B480</f>
        <v>9.4747890551372897E-3</v>
      </c>
      <c r="H481" s="4">
        <f t="shared" si="7"/>
        <v>3.6217188207697072E-2</v>
      </c>
      <c r="I481" s="271"/>
      <c r="J481" s="4"/>
    </row>
    <row r="482" spans="1:10" ht="14.25" customHeight="1" x14ac:dyDescent="0.3">
      <c r="A482" s="272">
        <v>44629</v>
      </c>
      <c r="B482" s="4">
        <v>16345.35</v>
      </c>
      <c r="C482" s="272">
        <v>44629</v>
      </c>
      <c r="D482" s="4">
        <v>6071.18</v>
      </c>
      <c r="E482" s="271"/>
      <c r="F482" s="271"/>
      <c r="G482" s="273">
        <f>(B482-B481)/B481</f>
        <v>2.0726326931423247E-2</v>
      </c>
      <c r="H482" s="4">
        <f t="shared" si="7"/>
        <v>-9.8183443205281384E-3</v>
      </c>
      <c r="I482" s="271"/>
      <c r="J482" s="4"/>
    </row>
    <row r="483" spans="1:10" ht="14.25" customHeight="1" x14ac:dyDescent="0.3">
      <c r="A483" s="272">
        <v>44630</v>
      </c>
      <c r="B483" s="4">
        <v>16594.900000000001</v>
      </c>
      <c r="C483" s="272">
        <v>44630</v>
      </c>
      <c r="D483" s="4">
        <v>5986.47</v>
      </c>
      <c r="E483" s="271"/>
      <c r="F483" s="271"/>
      <c r="G483" s="273">
        <f>(B483-B482)/B482</f>
        <v>1.5267339029142912E-2</v>
      </c>
      <c r="H483" s="4">
        <f t="shared" si="7"/>
        <v>-1.3952806538432403E-2</v>
      </c>
      <c r="I483" s="271"/>
      <c r="J483" s="4"/>
    </row>
    <row r="484" spans="1:10" ht="14.25" customHeight="1" x14ac:dyDescent="0.3">
      <c r="A484" s="272">
        <v>44631</v>
      </c>
      <c r="B484" s="4">
        <v>16630.45</v>
      </c>
      <c r="C484" s="272">
        <v>44631</v>
      </c>
      <c r="D484" s="4">
        <v>5927.99</v>
      </c>
      <c r="E484" s="271"/>
      <c r="F484" s="271"/>
      <c r="G484" s="273">
        <f>(B484-B483)/B483</f>
        <v>2.1422244183453513E-3</v>
      </c>
      <c r="H484" s="4">
        <f t="shared" si="7"/>
        <v>-9.7686950740587478E-3</v>
      </c>
      <c r="I484" s="271"/>
      <c r="J484" s="4"/>
    </row>
    <row r="485" spans="1:10" ht="14.25" customHeight="1" x14ac:dyDescent="0.3">
      <c r="A485" s="272">
        <v>44634</v>
      </c>
      <c r="B485" s="4">
        <v>16871.3</v>
      </c>
      <c r="C485" s="272">
        <v>44634</v>
      </c>
      <c r="D485" s="4">
        <v>5973.85</v>
      </c>
      <c r="E485" s="271"/>
      <c r="F485" s="271"/>
      <c r="G485" s="273">
        <f>(B485-B484)/B484</f>
        <v>1.4482470408196923E-2</v>
      </c>
      <c r="H485" s="4">
        <f t="shared" si="7"/>
        <v>7.7361803916674255E-3</v>
      </c>
      <c r="I485" s="271"/>
      <c r="J485" s="4"/>
    </row>
    <row r="486" spans="1:10" ht="14.25" customHeight="1" x14ac:dyDescent="0.3">
      <c r="A486" s="272">
        <v>44635</v>
      </c>
      <c r="B486" s="4">
        <v>16663</v>
      </c>
      <c r="C486" s="272">
        <v>44635</v>
      </c>
      <c r="D486" s="4">
        <v>5750.46</v>
      </c>
      <c r="E486" s="271"/>
      <c r="F486" s="271"/>
      <c r="G486" s="273">
        <f>(B486-B485)/B485</f>
        <v>-1.2346410768583291E-2</v>
      </c>
      <c r="H486" s="4">
        <f t="shared" si="7"/>
        <v>-3.739464499443413E-2</v>
      </c>
      <c r="I486" s="271"/>
      <c r="J486" s="4"/>
    </row>
    <row r="487" spans="1:10" ht="14.25" customHeight="1" x14ac:dyDescent="0.3">
      <c r="A487" s="272">
        <v>44636</v>
      </c>
      <c r="B487" s="4">
        <v>16975.349999999999</v>
      </c>
      <c r="C487" s="272">
        <v>44636</v>
      </c>
      <c r="D487" s="4">
        <v>5738.93</v>
      </c>
      <c r="E487" s="271"/>
      <c r="F487" s="271"/>
      <c r="G487" s="273">
        <f>(B487-B486)/B486</f>
        <v>1.874512392726391E-2</v>
      </c>
      <c r="H487" s="4">
        <f t="shared" si="7"/>
        <v>-2.0050569867453641E-3</v>
      </c>
      <c r="I487" s="271"/>
      <c r="J487" s="4"/>
    </row>
    <row r="488" spans="1:10" ht="14.25" customHeight="1" x14ac:dyDescent="0.3">
      <c r="A488" s="272">
        <v>44637</v>
      </c>
      <c r="B488" s="4">
        <v>17287.05</v>
      </c>
      <c r="C488" s="272">
        <v>44637</v>
      </c>
      <c r="D488" s="4">
        <v>5822.89</v>
      </c>
      <c r="E488" s="271"/>
      <c r="F488" s="271"/>
      <c r="G488" s="273">
        <f>(B488-B487)/B487</f>
        <v>1.836191890005218E-2</v>
      </c>
      <c r="H488" s="4">
        <f t="shared" si="7"/>
        <v>1.4629904877738539E-2</v>
      </c>
      <c r="I488" s="271"/>
      <c r="J488" s="4"/>
    </row>
    <row r="489" spans="1:10" ht="14.25" customHeight="1" x14ac:dyDescent="0.3">
      <c r="A489" s="272">
        <v>44641</v>
      </c>
      <c r="B489" s="4">
        <v>17117.599999999999</v>
      </c>
      <c r="C489" s="272">
        <v>44641</v>
      </c>
      <c r="D489" s="4">
        <v>5707.22</v>
      </c>
      <c r="E489" s="271"/>
      <c r="F489" s="271"/>
      <c r="G489" s="273">
        <f>(B489-B488)/B488</f>
        <v>-9.8021351242693656E-3</v>
      </c>
      <c r="H489" s="4">
        <f t="shared" si="7"/>
        <v>-1.986470635715256E-2</v>
      </c>
      <c r="I489" s="271"/>
      <c r="J489" s="4"/>
    </row>
    <row r="490" spans="1:10" ht="14.25" customHeight="1" x14ac:dyDescent="0.3">
      <c r="A490" s="272">
        <v>44642</v>
      </c>
      <c r="B490" s="4">
        <v>17315.5</v>
      </c>
      <c r="C490" s="272">
        <v>44642</v>
      </c>
      <c r="D490" s="4">
        <v>5826.41</v>
      </c>
      <c r="E490" s="271"/>
      <c r="F490" s="271"/>
      <c r="G490" s="273">
        <f>(B490-B489)/B489</f>
        <v>1.1561200168247972E-2</v>
      </c>
      <c r="H490" s="4">
        <f t="shared" si="7"/>
        <v>2.0884073156457888E-2</v>
      </c>
      <c r="I490" s="271"/>
      <c r="J490" s="4"/>
    </row>
    <row r="491" spans="1:10" ht="14.25" customHeight="1" x14ac:dyDescent="0.3">
      <c r="A491" s="272">
        <v>44643</v>
      </c>
      <c r="B491" s="4">
        <v>17245.650000000001</v>
      </c>
      <c r="C491" s="272">
        <v>44643</v>
      </c>
      <c r="D491" s="4">
        <v>5783.79</v>
      </c>
      <c r="E491" s="271"/>
      <c r="F491" s="271"/>
      <c r="G491" s="273">
        <f>(B491-B490)/B490</f>
        <v>-4.033958014495599E-3</v>
      </c>
      <c r="H491" s="4">
        <f t="shared" si="7"/>
        <v>-7.3149675357552747E-3</v>
      </c>
      <c r="I491" s="271"/>
      <c r="J491" s="4"/>
    </row>
    <row r="492" spans="1:10" ht="14.25" customHeight="1" x14ac:dyDescent="0.3">
      <c r="A492" s="272">
        <v>44644</v>
      </c>
      <c r="B492" s="4">
        <v>17222.75</v>
      </c>
      <c r="C492" s="272">
        <v>44644</v>
      </c>
      <c r="D492" s="4">
        <v>5883.37</v>
      </c>
      <c r="E492" s="271"/>
      <c r="F492" s="271"/>
      <c r="G492" s="273">
        <f>(B492-B491)/B491</f>
        <v>-1.3278710863319999E-3</v>
      </c>
      <c r="H492" s="4">
        <f t="shared" si="7"/>
        <v>1.7217084299395367E-2</v>
      </c>
      <c r="I492" s="271"/>
      <c r="J492" s="4"/>
    </row>
    <row r="493" spans="1:10" ht="14.25" customHeight="1" x14ac:dyDescent="0.3">
      <c r="A493" s="272">
        <v>44645</v>
      </c>
      <c r="B493" s="4">
        <v>17153</v>
      </c>
      <c r="C493" s="272">
        <v>44645</v>
      </c>
      <c r="D493" s="4">
        <v>5888.99</v>
      </c>
      <c r="E493" s="271"/>
      <c r="F493" s="271"/>
      <c r="G493" s="273">
        <f>(B493-B492)/B492</f>
        <v>-4.0498758909001172E-3</v>
      </c>
      <c r="H493" s="4">
        <f t="shared" si="7"/>
        <v>9.5523483989616337E-4</v>
      </c>
      <c r="I493" s="271"/>
      <c r="J493" s="4"/>
    </row>
    <row r="494" spans="1:10" ht="14.25" customHeight="1" x14ac:dyDescent="0.3">
      <c r="A494" s="272">
        <v>44648</v>
      </c>
      <c r="B494" s="4">
        <v>17222</v>
      </c>
      <c r="C494" s="272">
        <v>44648</v>
      </c>
      <c r="D494" s="4">
        <v>5782.46</v>
      </c>
      <c r="E494" s="271"/>
      <c r="F494" s="271"/>
      <c r="G494" s="273">
        <f>(B494-B493)/B493</f>
        <v>4.022619949862998E-3</v>
      </c>
      <c r="H494" s="4">
        <f t="shared" si="7"/>
        <v>-1.808968940344605E-2</v>
      </c>
      <c r="I494" s="271"/>
      <c r="J494" s="4"/>
    </row>
    <row r="495" spans="1:10" ht="14.25" customHeight="1" x14ac:dyDescent="0.3">
      <c r="A495" s="272">
        <v>44649</v>
      </c>
      <c r="B495" s="4">
        <v>17325.3</v>
      </c>
      <c r="C495" s="272">
        <v>44649</v>
      </c>
      <c r="D495" s="4">
        <v>5737.55</v>
      </c>
      <c r="E495" s="271"/>
      <c r="F495" s="271"/>
      <c r="G495" s="273">
        <f>(B495-B494)/B494</f>
        <v>5.9981419115084931E-3</v>
      </c>
      <c r="H495" s="4">
        <f t="shared" si="7"/>
        <v>-7.7665906897756067E-3</v>
      </c>
      <c r="I495" s="271"/>
      <c r="J495" s="4"/>
    </row>
    <row r="496" spans="1:10" ht="14.25" customHeight="1" x14ac:dyDescent="0.3">
      <c r="A496" s="272">
        <v>44650</v>
      </c>
      <c r="B496" s="4">
        <v>17498.25</v>
      </c>
      <c r="C496" s="272">
        <v>44650</v>
      </c>
      <c r="D496" s="4">
        <v>6010.04</v>
      </c>
      <c r="E496" s="271"/>
      <c r="F496" s="271"/>
      <c r="G496" s="273">
        <f>(B496-B495)/B495</f>
        <v>9.982511125348521E-3</v>
      </c>
      <c r="H496" s="4">
        <f t="shared" si="7"/>
        <v>4.7492396580421918E-2</v>
      </c>
      <c r="I496" s="271"/>
      <c r="J496" s="4"/>
    </row>
    <row r="497" spans="1:10" ht="14.25" customHeight="1" x14ac:dyDescent="0.3">
      <c r="A497" s="272">
        <v>44651</v>
      </c>
      <c r="B497" s="4">
        <v>17464.75</v>
      </c>
      <c r="C497" s="272">
        <v>44651</v>
      </c>
      <c r="D497" s="4">
        <v>5862.46</v>
      </c>
      <c r="E497" s="271"/>
      <c r="F497" s="271"/>
      <c r="G497" s="273">
        <f>(B497-B496)/B496</f>
        <v>-1.9144771620019144E-3</v>
      </c>
      <c r="H497" s="4">
        <f t="shared" si="7"/>
        <v>-2.4555577001151394E-2</v>
      </c>
      <c r="I497" s="271"/>
      <c r="J497" s="4"/>
    </row>
    <row r="498" spans="1:10" ht="14.25" customHeight="1" x14ac:dyDescent="0.3">
      <c r="A498" s="272">
        <v>44652</v>
      </c>
      <c r="B498" s="4">
        <v>17670.45</v>
      </c>
      <c r="C498" s="272">
        <v>44652</v>
      </c>
      <c r="D498" s="4">
        <v>5879.7</v>
      </c>
      <c r="E498" s="271"/>
      <c r="F498" s="271"/>
      <c r="G498" s="273">
        <f>(B498-B497)/B497</f>
        <v>1.1778009991554459E-2</v>
      </c>
      <c r="H498" s="4">
        <f t="shared" si="7"/>
        <v>2.9407450114797853E-3</v>
      </c>
      <c r="I498" s="271"/>
      <c r="J498" s="4"/>
    </row>
    <row r="499" spans="1:10" ht="14.25" customHeight="1" x14ac:dyDescent="0.3">
      <c r="A499" s="272">
        <v>44655</v>
      </c>
      <c r="B499" s="4">
        <v>18053.400000000001</v>
      </c>
      <c r="C499" s="272">
        <v>44655</v>
      </c>
      <c r="D499" s="4">
        <v>6000.51</v>
      </c>
      <c r="E499" s="271"/>
      <c r="F499" s="271"/>
      <c r="G499" s="273">
        <f>(B499-B498)/B498</f>
        <v>2.1671774063478901E-2</v>
      </c>
      <c r="H499" s="4">
        <f t="shared" si="7"/>
        <v>2.0546966681973637E-2</v>
      </c>
      <c r="I499" s="271"/>
      <c r="J499" s="4"/>
    </row>
    <row r="500" spans="1:10" ht="14.25" customHeight="1" x14ac:dyDescent="0.3">
      <c r="A500" s="272">
        <v>44656</v>
      </c>
      <c r="B500" s="4">
        <v>17957.400000000001</v>
      </c>
      <c r="C500" s="272">
        <v>44656</v>
      </c>
      <c r="D500" s="4">
        <v>6035.99</v>
      </c>
      <c r="E500" s="271"/>
      <c r="F500" s="271"/>
      <c r="G500" s="273">
        <f>(B500-B499)/B499</f>
        <v>-5.3175579115291296E-3</v>
      </c>
      <c r="H500" s="4">
        <f t="shared" si="7"/>
        <v>5.9128307427201293E-3</v>
      </c>
      <c r="I500" s="271"/>
      <c r="J500" s="4"/>
    </row>
    <row r="501" spans="1:10" ht="14.25" customHeight="1" x14ac:dyDescent="0.3">
      <c r="A501" s="272">
        <v>44657</v>
      </c>
      <c r="B501" s="4">
        <v>17807.650000000001</v>
      </c>
      <c r="C501" s="272">
        <v>44657</v>
      </c>
      <c r="D501" s="4">
        <v>6024.47</v>
      </c>
      <c r="E501" s="271"/>
      <c r="F501" s="271"/>
      <c r="G501" s="273">
        <f>(B501-B500)/B500</f>
        <v>-8.3391805049728793E-3</v>
      </c>
      <c r="H501" s="4">
        <f t="shared" si="7"/>
        <v>-1.9085518697014951E-3</v>
      </c>
      <c r="I501" s="271"/>
      <c r="J501" s="4"/>
    </row>
    <row r="502" spans="1:10" ht="14.25" customHeight="1" x14ac:dyDescent="0.3">
      <c r="A502" s="272">
        <v>44658</v>
      </c>
      <c r="B502" s="4">
        <v>17639.55</v>
      </c>
      <c r="C502" s="272">
        <v>44658</v>
      </c>
      <c r="D502" s="4">
        <v>5910.89</v>
      </c>
      <c r="E502" s="271"/>
      <c r="F502" s="271"/>
      <c r="G502" s="273">
        <f>(B502-B501)/B501</f>
        <v>-9.4397632478177736E-3</v>
      </c>
      <c r="H502" s="4">
        <f t="shared" si="7"/>
        <v>-1.8853110730072509E-2</v>
      </c>
      <c r="I502" s="271"/>
      <c r="J502" s="4"/>
    </row>
    <row r="503" spans="1:10" ht="14.25" customHeight="1" x14ac:dyDescent="0.3">
      <c r="A503" s="272">
        <v>44659</v>
      </c>
      <c r="B503" s="4">
        <v>17784.349999999999</v>
      </c>
      <c r="C503" s="272">
        <v>44659</v>
      </c>
      <c r="D503" s="4">
        <v>5860.37</v>
      </c>
      <c r="E503" s="271"/>
      <c r="F503" s="271"/>
      <c r="G503" s="273">
        <f>(B503-B502)/B502</f>
        <v>8.2088261888766598E-3</v>
      </c>
      <c r="H503" s="4">
        <f t="shared" si="7"/>
        <v>-8.5469362481792824E-3</v>
      </c>
      <c r="I503" s="271"/>
      <c r="J503" s="4"/>
    </row>
    <row r="504" spans="1:10" ht="14.25" customHeight="1" x14ac:dyDescent="0.3">
      <c r="A504" s="272">
        <v>44662</v>
      </c>
      <c r="B504" s="4">
        <v>17674.95</v>
      </c>
      <c r="C504" s="272">
        <v>44662</v>
      </c>
      <c r="D504" s="4">
        <v>5771.36</v>
      </c>
      <c r="E504" s="271"/>
      <c r="F504" s="271"/>
      <c r="G504" s="273">
        <f>(B504-B503)/B503</f>
        <v>-6.1514758762618721E-3</v>
      </c>
      <c r="H504" s="4">
        <f t="shared" si="7"/>
        <v>-1.5188460796843923E-2</v>
      </c>
      <c r="I504" s="271"/>
      <c r="J504" s="4"/>
    </row>
    <row r="505" spans="1:10" ht="14.25" customHeight="1" x14ac:dyDescent="0.3">
      <c r="A505" s="272">
        <v>44663</v>
      </c>
      <c r="B505" s="4">
        <v>17530.3</v>
      </c>
      <c r="C505" s="272">
        <v>44663</v>
      </c>
      <c r="D505" s="4">
        <v>5629.26</v>
      </c>
      <c r="E505" s="271"/>
      <c r="F505" s="271"/>
      <c r="G505" s="273">
        <f>(B505-B504)/B504</f>
        <v>-8.1838986814673567E-3</v>
      </c>
      <c r="H505" s="4">
        <f t="shared" si="7"/>
        <v>-2.462157966233253E-2</v>
      </c>
      <c r="I505" s="271"/>
      <c r="J505" s="4"/>
    </row>
    <row r="506" spans="1:10" ht="14.25" customHeight="1" x14ac:dyDescent="0.3">
      <c r="A506" s="272">
        <v>44664</v>
      </c>
      <c r="B506" s="4">
        <v>17475.650000000001</v>
      </c>
      <c r="C506" s="272">
        <v>44664</v>
      </c>
      <c r="D506" s="4">
        <v>5751.41</v>
      </c>
      <c r="E506" s="271"/>
      <c r="F506" s="271"/>
      <c r="G506" s="273">
        <f>(B506-B505)/B505</f>
        <v>-3.1174594844353958E-3</v>
      </c>
      <c r="H506" s="4">
        <f t="shared" si="7"/>
        <v>2.1699122087094864E-2</v>
      </c>
      <c r="I506" s="271"/>
      <c r="J506" s="4"/>
    </row>
    <row r="507" spans="1:10" ht="14.25" customHeight="1" x14ac:dyDescent="0.3">
      <c r="A507" s="272">
        <v>44669</v>
      </c>
      <c r="B507" s="4">
        <v>17173.650000000001</v>
      </c>
      <c r="C507" s="272">
        <v>44669</v>
      </c>
      <c r="D507" s="4">
        <v>5594.12</v>
      </c>
      <c r="E507" s="271"/>
      <c r="F507" s="271"/>
      <c r="G507" s="273">
        <f>(B507-B506)/B506</f>
        <v>-1.7281188396425881E-2</v>
      </c>
      <c r="H507" s="4">
        <f t="shared" si="7"/>
        <v>-2.7348076384747386E-2</v>
      </c>
      <c r="I507" s="271"/>
      <c r="J507" s="4"/>
    </row>
    <row r="508" spans="1:10" ht="14.25" customHeight="1" x14ac:dyDescent="0.3">
      <c r="A508" s="272">
        <v>44670</v>
      </c>
      <c r="B508" s="4">
        <v>16958.650000000001</v>
      </c>
      <c r="C508" s="272">
        <v>44670</v>
      </c>
      <c r="D508" s="4">
        <v>5211.92</v>
      </c>
      <c r="E508" s="271"/>
      <c r="F508" s="271"/>
      <c r="G508" s="273">
        <f>(B508-B507)/B507</f>
        <v>-1.2519179091224054E-2</v>
      </c>
      <c r="H508" s="4">
        <f t="shared" si="7"/>
        <v>-6.8321737824715914E-2</v>
      </c>
      <c r="I508" s="271"/>
      <c r="J508" s="4"/>
    </row>
    <row r="509" spans="1:10" ht="14.25" customHeight="1" x14ac:dyDescent="0.3">
      <c r="A509" s="272">
        <v>44671</v>
      </c>
      <c r="B509" s="4">
        <v>17136.55</v>
      </c>
      <c r="C509" s="272">
        <v>44671</v>
      </c>
      <c r="D509" s="4">
        <v>4924.24</v>
      </c>
      <c r="E509" s="271"/>
      <c r="F509" s="271"/>
      <c r="G509" s="273">
        <f>(B509-B508)/B508</f>
        <v>1.049022180421188E-2</v>
      </c>
      <c r="H509" s="4">
        <f t="shared" si="7"/>
        <v>-5.5196549448188054E-2</v>
      </c>
      <c r="I509" s="271"/>
      <c r="J509" s="4"/>
    </row>
    <row r="510" spans="1:10" ht="14.25" customHeight="1" x14ac:dyDescent="0.3">
      <c r="A510" s="272">
        <v>44672</v>
      </c>
      <c r="B510" s="4">
        <v>17392.599999999999</v>
      </c>
      <c r="C510" s="272">
        <v>44672</v>
      </c>
      <c r="D510" s="4">
        <v>4835.34</v>
      </c>
      <c r="E510" s="271"/>
      <c r="F510" s="271"/>
      <c r="G510" s="273">
        <f>(B510-B509)/B509</f>
        <v>1.4941747317867323E-2</v>
      </c>
      <c r="H510" s="4">
        <f t="shared" si="7"/>
        <v>-1.8053547349438624E-2</v>
      </c>
      <c r="I510" s="271"/>
      <c r="J510" s="4"/>
    </row>
    <row r="511" spans="1:10" ht="14.25" customHeight="1" x14ac:dyDescent="0.3">
      <c r="A511" s="272">
        <v>44673</v>
      </c>
      <c r="B511" s="4">
        <v>17171.95</v>
      </c>
      <c r="C511" s="272">
        <v>44673</v>
      </c>
      <c r="D511" s="4">
        <v>4851.43</v>
      </c>
      <c r="E511" s="271"/>
      <c r="F511" s="271"/>
      <c r="G511" s="273">
        <f>(B511-B510)/B510</f>
        <v>-1.2686429860975233E-2</v>
      </c>
      <c r="H511" s="4">
        <f t="shared" si="7"/>
        <v>3.3275839961616235E-3</v>
      </c>
      <c r="I511" s="271"/>
      <c r="J511" s="4"/>
    </row>
    <row r="512" spans="1:10" ht="14.25" customHeight="1" x14ac:dyDescent="0.3">
      <c r="A512" s="272">
        <v>44676</v>
      </c>
      <c r="B512" s="4">
        <v>16953.95</v>
      </c>
      <c r="C512" s="272">
        <v>44676</v>
      </c>
      <c r="D512" s="4">
        <v>4624.95</v>
      </c>
      <c r="E512" s="271"/>
      <c r="F512" s="271"/>
      <c r="G512" s="273">
        <f>(B512-B511)/B511</f>
        <v>-1.2695121986728355E-2</v>
      </c>
      <c r="H512" s="4">
        <f t="shared" si="7"/>
        <v>-4.6683142908379688E-2</v>
      </c>
      <c r="I512" s="271"/>
      <c r="J512" s="4"/>
    </row>
    <row r="513" spans="1:10" ht="14.25" customHeight="1" x14ac:dyDescent="0.3">
      <c r="A513" s="272">
        <v>44677</v>
      </c>
      <c r="B513" s="4">
        <v>17200.8</v>
      </c>
      <c r="C513" s="272">
        <v>44677</v>
      </c>
      <c r="D513" s="4">
        <v>4587.8500000000004</v>
      </c>
      <c r="E513" s="271"/>
      <c r="F513" s="271"/>
      <c r="G513" s="273">
        <f>(B513-B512)/B512</f>
        <v>1.4560028783852643E-2</v>
      </c>
      <c r="H513" s="4">
        <f t="shared" si="7"/>
        <v>-8.0217083427927775E-3</v>
      </c>
      <c r="I513" s="271"/>
      <c r="J513" s="4"/>
    </row>
    <row r="514" spans="1:10" ht="14.25" customHeight="1" x14ac:dyDescent="0.3">
      <c r="A514" s="272">
        <v>44678</v>
      </c>
      <c r="B514" s="4">
        <v>17038.400000000001</v>
      </c>
      <c r="C514" s="272">
        <v>44678</v>
      </c>
      <c r="D514" s="4">
        <v>4587.71</v>
      </c>
      <c r="E514" s="271"/>
      <c r="F514" s="271"/>
      <c r="G514" s="273">
        <f>(B514-B513)/B513</f>
        <v>-9.4414213292403747E-3</v>
      </c>
      <c r="H514" s="4">
        <f t="shared" si="7"/>
        <v>-3.0515383022620052E-5</v>
      </c>
      <c r="I514" s="271"/>
      <c r="J514" s="4"/>
    </row>
    <row r="515" spans="1:10" ht="14.25" customHeight="1" x14ac:dyDescent="0.3">
      <c r="A515" s="272">
        <v>44679</v>
      </c>
      <c r="B515" s="4">
        <v>17245.05</v>
      </c>
      <c r="C515" s="272">
        <v>44679</v>
      </c>
      <c r="D515" s="4">
        <v>4653.5200000000004</v>
      </c>
      <c r="E515" s="271"/>
      <c r="F515" s="271"/>
      <c r="G515" s="273">
        <f>(B515-B514)/B514</f>
        <v>1.2128486242839574E-2</v>
      </c>
      <c r="H515" s="4">
        <f t="shared" ref="H515:H578" si="8">(D515-D514)/D514</f>
        <v>1.4344847429327573E-2</v>
      </c>
      <c r="I515" s="271"/>
      <c r="J515" s="4"/>
    </row>
    <row r="516" spans="1:10" ht="14.25" customHeight="1" x14ac:dyDescent="0.3">
      <c r="A516" s="272">
        <v>44680</v>
      </c>
      <c r="B516" s="4">
        <v>17102.55</v>
      </c>
      <c r="C516" s="272">
        <v>44680</v>
      </c>
      <c r="D516" s="4">
        <v>4608.76</v>
      </c>
      <c r="E516" s="271"/>
      <c r="F516" s="271"/>
      <c r="G516" s="273">
        <f>(B516-B515)/B515</f>
        <v>-8.2632407560430388E-3</v>
      </c>
      <c r="H516" s="4">
        <f t="shared" si="8"/>
        <v>-9.6185253313621124E-3</v>
      </c>
      <c r="I516" s="271"/>
      <c r="J516" s="4"/>
    </row>
    <row r="517" spans="1:10" ht="14.25" customHeight="1" x14ac:dyDescent="0.3">
      <c r="A517" s="272">
        <v>44683</v>
      </c>
      <c r="B517" s="4">
        <v>17069.099999999999</v>
      </c>
      <c r="C517" s="272">
        <v>44683</v>
      </c>
      <c r="D517" s="4">
        <v>4492.18</v>
      </c>
      <c r="E517" s="271"/>
      <c r="F517" s="271"/>
      <c r="G517" s="273">
        <f>(B517-B516)/B516</f>
        <v>-1.9558486892305958E-3</v>
      </c>
      <c r="H517" s="4">
        <f t="shared" si="8"/>
        <v>-2.5295307197597601E-2</v>
      </c>
      <c r="I517" s="271"/>
      <c r="J517" s="4"/>
    </row>
    <row r="518" spans="1:10" ht="14.25" customHeight="1" x14ac:dyDescent="0.3">
      <c r="A518" s="272">
        <v>44685</v>
      </c>
      <c r="B518" s="4">
        <v>16677.599999999999</v>
      </c>
      <c r="C518" s="272">
        <v>44685</v>
      </c>
      <c r="D518" s="4">
        <v>4512.66</v>
      </c>
      <c r="E518" s="271"/>
      <c r="F518" s="271"/>
      <c r="G518" s="273">
        <f>(B518-B517)/B517</f>
        <v>-2.2936182927043608E-2</v>
      </c>
      <c r="H518" s="4">
        <f t="shared" si="8"/>
        <v>4.559033698560512E-3</v>
      </c>
      <c r="I518" s="271"/>
      <c r="J518" s="4"/>
    </row>
    <row r="519" spans="1:10" ht="14.25" customHeight="1" x14ac:dyDescent="0.3">
      <c r="A519" s="272">
        <v>44686</v>
      </c>
      <c r="B519" s="4">
        <v>16682.650000000001</v>
      </c>
      <c r="C519" s="272">
        <v>44686</v>
      </c>
      <c r="D519" s="4">
        <v>4538.42</v>
      </c>
      <c r="E519" s="271"/>
      <c r="F519" s="271"/>
      <c r="G519" s="273">
        <f>(B519-B518)/B518</f>
        <v>3.0280136230650159E-4</v>
      </c>
      <c r="H519" s="4">
        <f t="shared" si="8"/>
        <v>5.7083848550522794E-3</v>
      </c>
      <c r="I519" s="271"/>
      <c r="J519" s="4"/>
    </row>
    <row r="520" spans="1:10" ht="14.25" customHeight="1" x14ac:dyDescent="0.3">
      <c r="A520" s="272">
        <v>44687</v>
      </c>
      <c r="B520" s="4">
        <v>16411.25</v>
      </c>
      <c r="C520" s="272">
        <v>44687</v>
      </c>
      <c r="D520" s="4">
        <v>4374.42</v>
      </c>
      <c r="E520" s="271"/>
      <c r="F520" s="271"/>
      <c r="G520" s="273">
        <f>(B520-B519)/B519</f>
        <v>-1.6268398605737183E-2</v>
      </c>
      <c r="H520" s="4">
        <f t="shared" si="8"/>
        <v>-3.6135923955914175E-2</v>
      </c>
      <c r="I520" s="271"/>
      <c r="J520" s="4"/>
    </row>
    <row r="521" spans="1:10" ht="14.25" customHeight="1" x14ac:dyDescent="0.3">
      <c r="A521" s="272">
        <v>44690</v>
      </c>
      <c r="B521" s="4">
        <v>16301.85</v>
      </c>
      <c r="C521" s="272">
        <v>44690</v>
      </c>
      <c r="D521" s="4">
        <v>4237.18</v>
      </c>
      <c r="E521" s="271"/>
      <c r="F521" s="271"/>
      <c r="G521" s="273">
        <f>(B521-B520)/B520</f>
        <v>-6.6661588849112434E-3</v>
      </c>
      <c r="H521" s="4">
        <f t="shared" si="8"/>
        <v>-3.1373302060615983E-2</v>
      </c>
      <c r="I521" s="271"/>
      <c r="J521" s="4"/>
    </row>
    <row r="522" spans="1:10" ht="14.25" customHeight="1" x14ac:dyDescent="0.3">
      <c r="A522" s="272">
        <v>44691</v>
      </c>
      <c r="B522" s="4">
        <v>16240.05</v>
      </c>
      <c r="C522" s="272">
        <v>44691</v>
      </c>
      <c r="D522" s="4">
        <v>4125.9799999999996</v>
      </c>
      <c r="E522" s="271"/>
      <c r="F522" s="271"/>
      <c r="G522" s="273">
        <f>(B522-B521)/B521</f>
        <v>-3.7909807782552955E-3</v>
      </c>
      <c r="H522" s="4">
        <f t="shared" si="8"/>
        <v>-2.6243869743556025E-2</v>
      </c>
      <c r="I522" s="271"/>
      <c r="J522" s="4"/>
    </row>
    <row r="523" spans="1:10" ht="14.25" customHeight="1" x14ac:dyDescent="0.3">
      <c r="A523" s="272">
        <v>44692</v>
      </c>
      <c r="B523" s="4">
        <v>16167.1</v>
      </c>
      <c r="C523" s="272">
        <v>44692</v>
      </c>
      <c r="D523" s="4">
        <v>4048.45</v>
      </c>
      <c r="E523" s="271"/>
      <c r="F523" s="271"/>
      <c r="G523" s="273">
        <f>(B523-B522)/B522</f>
        <v>-4.4919812439000442E-3</v>
      </c>
      <c r="H523" s="4">
        <f t="shared" si="8"/>
        <v>-1.8790687303379985E-2</v>
      </c>
      <c r="I523" s="271"/>
      <c r="J523" s="4"/>
    </row>
    <row r="524" spans="1:10" ht="14.25" customHeight="1" x14ac:dyDescent="0.3">
      <c r="A524" s="272">
        <v>44693</v>
      </c>
      <c r="B524" s="4">
        <v>15808</v>
      </c>
      <c r="C524" s="272">
        <v>44693</v>
      </c>
      <c r="D524" s="4">
        <v>3962.93</v>
      </c>
      <c r="E524" s="271"/>
      <c r="F524" s="271"/>
      <c r="G524" s="273">
        <f>(B524-B523)/B523</f>
        <v>-2.2211775766835137E-2</v>
      </c>
      <c r="H524" s="4">
        <f t="shared" si="8"/>
        <v>-2.1124133927799525E-2</v>
      </c>
      <c r="I524" s="271"/>
      <c r="J524" s="4"/>
    </row>
    <row r="525" spans="1:10" ht="14.25" customHeight="1" x14ac:dyDescent="0.3">
      <c r="A525" s="272">
        <v>44694</v>
      </c>
      <c r="B525" s="4">
        <v>15782.15</v>
      </c>
      <c r="C525" s="272">
        <v>44694</v>
      </c>
      <c r="D525" s="4">
        <v>3915.07</v>
      </c>
      <c r="E525" s="271"/>
      <c r="F525" s="271"/>
      <c r="G525" s="273">
        <f>(B525-B524)/B524</f>
        <v>-1.6352479757085251E-3</v>
      </c>
      <c r="H525" s="4">
        <f t="shared" si="8"/>
        <v>-1.2076922882816419E-2</v>
      </c>
      <c r="I525" s="271"/>
      <c r="J525" s="4"/>
    </row>
    <row r="526" spans="1:10" ht="14.25" customHeight="1" x14ac:dyDescent="0.3">
      <c r="A526" s="272">
        <v>44697</v>
      </c>
      <c r="B526" s="4">
        <v>15842.3</v>
      </c>
      <c r="C526" s="272">
        <v>44697</v>
      </c>
      <c r="D526" s="4">
        <v>3899.93</v>
      </c>
      <c r="E526" s="271"/>
      <c r="F526" s="271"/>
      <c r="G526" s="273">
        <f>(B526-B525)/B525</f>
        <v>3.8112677930446509E-3</v>
      </c>
      <c r="H526" s="4">
        <f t="shared" si="8"/>
        <v>-3.8671083786497628E-3</v>
      </c>
      <c r="I526" s="271"/>
      <c r="J526" s="4"/>
    </row>
    <row r="527" spans="1:10" ht="14.25" customHeight="1" x14ac:dyDescent="0.3">
      <c r="A527" s="272">
        <v>44698</v>
      </c>
      <c r="B527" s="4">
        <v>16259.3</v>
      </c>
      <c r="C527" s="272">
        <v>44698</v>
      </c>
      <c r="D527" s="4">
        <v>4078.08</v>
      </c>
      <c r="E527" s="271"/>
      <c r="F527" s="271"/>
      <c r="G527" s="273">
        <f>(B527-B526)/B526</f>
        <v>2.632193557753609E-2</v>
      </c>
      <c r="H527" s="4">
        <f t="shared" si="8"/>
        <v>4.568030708243484E-2</v>
      </c>
      <c r="I527" s="271"/>
      <c r="J527" s="4"/>
    </row>
    <row r="528" spans="1:10" ht="14.25" customHeight="1" x14ac:dyDescent="0.3">
      <c r="A528" s="272">
        <v>44699</v>
      </c>
      <c r="B528" s="4">
        <v>16240.3</v>
      </c>
      <c r="C528" s="272">
        <v>44699</v>
      </c>
      <c r="D528" s="4">
        <v>4013.45</v>
      </c>
      <c r="E528" s="271"/>
      <c r="F528" s="271"/>
      <c r="G528" s="273">
        <f>(B528-B527)/B527</f>
        <v>-1.1685619922136869E-3</v>
      </c>
      <c r="H528" s="4">
        <f t="shared" si="8"/>
        <v>-1.5848144224733234E-2</v>
      </c>
      <c r="I528" s="271"/>
      <c r="J528" s="4"/>
    </row>
    <row r="529" spans="1:10" ht="14.25" customHeight="1" x14ac:dyDescent="0.3">
      <c r="A529" s="272">
        <v>44700</v>
      </c>
      <c r="B529" s="4">
        <v>15809.4</v>
      </c>
      <c r="C529" s="272">
        <v>44700</v>
      </c>
      <c r="D529" s="4">
        <v>3801.88</v>
      </c>
      <c r="E529" s="271"/>
      <c r="F529" s="271"/>
      <c r="G529" s="273">
        <f>(B529-B528)/B528</f>
        <v>-2.6532761094314739E-2</v>
      </c>
      <c r="H529" s="4">
        <f t="shared" si="8"/>
        <v>-5.2715244988725339E-2</v>
      </c>
      <c r="I529" s="271"/>
      <c r="J529" s="4"/>
    </row>
    <row r="530" spans="1:10" ht="14.25" customHeight="1" x14ac:dyDescent="0.3">
      <c r="A530" s="272">
        <v>44701</v>
      </c>
      <c r="B530" s="4">
        <v>16266.15</v>
      </c>
      <c r="C530" s="272">
        <v>44701</v>
      </c>
      <c r="D530" s="4">
        <v>3851.07</v>
      </c>
      <c r="E530" s="271"/>
      <c r="F530" s="271"/>
      <c r="G530" s="273">
        <f>(B530-B529)/B529</f>
        <v>2.8891039508140728E-2</v>
      </c>
      <c r="H530" s="4">
        <f t="shared" si="8"/>
        <v>1.2938335770723971E-2</v>
      </c>
      <c r="I530" s="271"/>
      <c r="J530" s="4"/>
    </row>
    <row r="531" spans="1:10" ht="14.25" customHeight="1" x14ac:dyDescent="0.3">
      <c r="A531" s="272">
        <v>44704</v>
      </c>
      <c r="B531" s="4">
        <v>16214.7</v>
      </c>
      <c r="C531" s="272">
        <v>44704</v>
      </c>
      <c r="D531" s="4">
        <v>3949.79</v>
      </c>
      <c r="E531" s="271"/>
      <c r="F531" s="271"/>
      <c r="G531" s="273">
        <f>(B531-B530)/B530</f>
        <v>-3.1630103005320194E-3</v>
      </c>
      <c r="H531" s="4">
        <f t="shared" si="8"/>
        <v>2.5634434066376305E-2</v>
      </c>
      <c r="I531" s="271"/>
      <c r="J531" s="4"/>
    </row>
    <row r="532" spans="1:10" ht="14.25" customHeight="1" x14ac:dyDescent="0.3">
      <c r="A532" s="272">
        <v>44705</v>
      </c>
      <c r="B532" s="4">
        <v>16125.15</v>
      </c>
      <c r="C532" s="272">
        <v>44705</v>
      </c>
      <c r="D532" s="4">
        <v>3819.31</v>
      </c>
      <c r="E532" s="271"/>
      <c r="F532" s="271"/>
      <c r="G532" s="273">
        <f>(B532-B531)/B531</f>
        <v>-5.5227663786564718E-3</v>
      </c>
      <c r="H532" s="4">
        <f t="shared" si="8"/>
        <v>-3.3034667665875914E-2</v>
      </c>
      <c r="I532" s="271"/>
      <c r="J532" s="4"/>
    </row>
    <row r="533" spans="1:10" ht="14.25" customHeight="1" x14ac:dyDescent="0.3">
      <c r="A533" s="272">
        <v>44706</v>
      </c>
      <c r="B533" s="4">
        <v>16025.8</v>
      </c>
      <c r="C533" s="272">
        <v>44706</v>
      </c>
      <c r="D533" s="4">
        <v>3641.73</v>
      </c>
      <c r="E533" s="271"/>
      <c r="F533" s="271"/>
      <c r="G533" s="273">
        <f>(B533-B532)/B532</f>
        <v>-6.1611829967473395E-3</v>
      </c>
      <c r="H533" s="4">
        <f t="shared" si="8"/>
        <v>-4.6495309362162257E-2</v>
      </c>
      <c r="I533" s="271"/>
      <c r="J533" s="4"/>
    </row>
    <row r="534" spans="1:10" ht="14.25" customHeight="1" x14ac:dyDescent="0.3">
      <c r="A534" s="272">
        <v>44707</v>
      </c>
      <c r="B534" s="4">
        <v>16170.15</v>
      </c>
      <c r="C534" s="272">
        <v>44707</v>
      </c>
      <c r="D534" s="4">
        <v>3689.87</v>
      </c>
      <c r="E534" s="271"/>
      <c r="F534" s="271"/>
      <c r="G534" s="273">
        <f>(B534-B533)/B533</f>
        <v>9.0073506470816044E-3</v>
      </c>
      <c r="H534" s="4">
        <f t="shared" si="8"/>
        <v>1.3218992072449049E-2</v>
      </c>
      <c r="I534" s="271"/>
      <c r="J534" s="4"/>
    </row>
    <row r="535" spans="1:10" ht="14.25" customHeight="1" x14ac:dyDescent="0.3">
      <c r="A535" s="272">
        <v>44708</v>
      </c>
      <c r="B535" s="4">
        <v>16352.45</v>
      </c>
      <c r="C535" s="272">
        <v>44708</v>
      </c>
      <c r="D535" s="4">
        <v>3807.73</v>
      </c>
      <c r="E535" s="271"/>
      <c r="F535" s="271"/>
      <c r="G535" s="273">
        <f>(B535-B534)/B534</f>
        <v>1.1273859549849637E-2</v>
      </c>
      <c r="H535" s="4">
        <f t="shared" si="8"/>
        <v>3.1941504714258259E-2</v>
      </c>
      <c r="I535" s="271"/>
      <c r="J535" s="4"/>
    </row>
    <row r="536" spans="1:10" ht="14.25" customHeight="1" x14ac:dyDescent="0.3">
      <c r="A536" s="272">
        <v>44711</v>
      </c>
      <c r="B536" s="4">
        <v>16661.400000000001</v>
      </c>
      <c r="C536" s="272">
        <v>44711</v>
      </c>
      <c r="D536" s="4">
        <v>3991.64</v>
      </c>
      <c r="E536" s="271"/>
      <c r="F536" s="271"/>
      <c r="G536" s="273">
        <f>(B536-B535)/B535</f>
        <v>1.8893193374693133E-2</v>
      </c>
      <c r="H536" s="4">
        <f t="shared" si="8"/>
        <v>4.829911784711622E-2</v>
      </c>
      <c r="I536" s="271"/>
      <c r="J536" s="4"/>
    </row>
    <row r="537" spans="1:10" ht="14.25" customHeight="1" x14ac:dyDescent="0.3">
      <c r="A537" s="272">
        <v>44712</v>
      </c>
      <c r="B537" s="4">
        <v>16584.55</v>
      </c>
      <c r="C537" s="272">
        <v>44712</v>
      </c>
      <c r="D537" s="4">
        <v>4051.27</v>
      </c>
      <c r="E537" s="271"/>
      <c r="F537" s="271"/>
      <c r="G537" s="273">
        <f>(B537-B536)/B536</f>
        <v>-4.61245753658169E-3</v>
      </c>
      <c r="H537" s="4">
        <f t="shared" si="8"/>
        <v>1.4938721928831285E-2</v>
      </c>
      <c r="I537" s="271"/>
      <c r="J537" s="4"/>
    </row>
    <row r="538" spans="1:10" ht="14.25" customHeight="1" x14ac:dyDescent="0.3">
      <c r="A538" s="272">
        <v>44713</v>
      </c>
      <c r="B538" s="4">
        <v>16522.75</v>
      </c>
      <c r="C538" s="272">
        <v>44713</v>
      </c>
      <c r="D538" s="4">
        <v>4003.26</v>
      </c>
      <c r="E538" s="271"/>
      <c r="F538" s="271"/>
      <c r="G538" s="273">
        <f>(B538-B537)/B537</f>
        <v>-3.7263597746094571E-3</v>
      </c>
      <c r="H538" s="4">
        <f t="shared" si="8"/>
        <v>-1.1850604872052408E-2</v>
      </c>
      <c r="I538" s="271"/>
      <c r="J538" s="4"/>
    </row>
    <row r="539" spans="1:10" ht="14.25" customHeight="1" x14ac:dyDescent="0.3">
      <c r="A539" s="272">
        <v>44714</v>
      </c>
      <c r="B539" s="4">
        <v>16628</v>
      </c>
      <c r="C539" s="272">
        <v>44714</v>
      </c>
      <c r="D539" s="4">
        <v>4127.3599999999997</v>
      </c>
      <c r="E539" s="271"/>
      <c r="F539" s="271"/>
      <c r="G539" s="273">
        <f>(B539-B538)/B538</f>
        <v>6.3700049931155528E-3</v>
      </c>
      <c r="H539" s="4">
        <f t="shared" si="8"/>
        <v>3.0999735215798987E-2</v>
      </c>
      <c r="I539" s="271"/>
      <c r="J539" s="4"/>
    </row>
    <row r="540" spans="1:10" ht="14.25" customHeight="1" x14ac:dyDescent="0.3">
      <c r="A540" s="272">
        <v>44715</v>
      </c>
      <c r="B540" s="4">
        <v>16584.3</v>
      </c>
      <c r="C540" s="272">
        <v>44715</v>
      </c>
      <c r="D540" s="4">
        <v>4128.74</v>
      </c>
      <c r="E540" s="271"/>
      <c r="F540" s="271"/>
      <c r="G540" s="273">
        <f>(B540-B539)/B539</f>
        <v>-2.6280971854703346E-3</v>
      </c>
      <c r="H540" s="4">
        <f t="shared" si="8"/>
        <v>3.3435416343621815E-4</v>
      </c>
      <c r="I540" s="271"/>
      <c r="J540" s="4"/>
    </row>
    <row r="541" spans="1:10" ht="14.25" customHeight="1" x14ac:dyDescent="0.3">
      <c r="A541" s="272">
        <v>44718</v>
      </c>
      <c r="B541" s="4">
        <v>16569.55</v>
      </c>
      <c r="C541" s="272">
        <v>44718</v>
      </c>
      <c r="D541" s="4">
        <v>4128.79</v>
      </c>
      <c r="E541" s="271"/>
      <c r="F541" s="271"/>
      <c r="G541" s="273">
        <f>(B541-B540)/B540</f>
        <v>-8.8939539202739944E-4</v>
      </c>
      <c r="H541" s="4">
        <f t="shared" si="8"/>
        <v>1.2110232177415363E-5</v>
      </c>
      <c r="I541" s="271"/>
      <c r="J541" s="4"/>
    </row>
    <row r="542" spans="1:10" ht="14.25" customHeight="1" x14ac:dyDescent="0.3">
      <c r="A542" s="272">
        <v>44719</v>
      </c>
      <c r="B542" s="4">
        <v>16416.349999999999</v>
      </c>
      <c r="C542" s="272">
        <v>44719</v>
      </c>
      <c r="D542" s="4">
        <v>4063.65</v>
      </c>
      <c r="E542" s="271"/>
      <c r="F542" s="271"/>
      <c r="G542" s="273">
        <f>(B542-B541)/B541</f>
        <v>-9.2458757178077097E-3</v>
      </c>
      <c r="H542" s="4">
        <f t="shared" si="8"/>
        <v>-1.5777019417311095E-2</v>
      </c>
      <c r="I542" s="271"/>
      <c r="J542" s="4"/>
    </row>
    <row r="543" spans="1:10" ht="14.25" customHeight="1" x14ac:dyDescent="0.3">
      <c r="A543" s="272">
        <v>44720</v>
      </c>
      <c r="B543" s="4">
        <v>16356.25</v>
      </c>
      <c r="C543" s="272">
        <v>44720</v>
      </c>
      <c r="D543" s="4">
        <v>4109.74</v>
      </c>
      <c r="E543" s="271"/>
      <c r="F543" s="271"/>
      <c r="G543" s="273">
        <f>(B543-B542)/B542</f>
        <v>-3.6609843235553916E-3</v>
      </c>
      <c r="H543" s="4">
        <f t="shared" si="8"/>
        <v>1.1342020105077871E-2</v>
      </c>
      <c r="I543" s="271"/>
      <c r="J543" s="4"/>
    </row>
    <row r="544" spans="1:10" ht="14.25" customHeight="1" x14ac:dyDescent="0.3">
      <c r="A544" s="272">
        <v>44721</v>
      </c>
      <c r="B544" s="4">
        <v>16478.099999999999</v>
      </c>
      <c r="C544" s="272">
        <v>44721</v>
      </c>
      <c r="D544" s="4">
        <v>4162.7</v>
      </c>
      <c r="E544" s="271"/>
      <c r="F544" s="271"/>
      <c r="G544" s="273">
        <f>(B544-B543)/B543</f>
        <v>7.4497516239968543E-3</v>
      </c>
      <c r="H544" s="4">
        <f t="shared" si="8"/>
        <v>1.2886459970703753E-2</v>
      </c>
      <c r="I544" s="271"/>
      <c r="J544" s="4"/>
    </row>
    <row r="545" spans="1:10" ht="14.25" customHeight="1" x14ac:dyDescent="0.3">
      <c r="A545" s="272">
        <v>44722</v>
      </c>
      <c r="B545" s="4">
        <v>16201.8</v>
      </c>
      <c r="C545" s="272">
        <v>44722</v>
      </c>
      <c r="D545" s="4">
        <v>4125.3100000000004</v>
      </c>
      <c r="E545" s="271"/>
      <c r="F545" s="271"/>
      <c r="G545" s="273">
        <f>(B545-B544)/B544</f>
        <v>-1.6767709869463063E-2</v>
      </c>
      <c r="H545" s="4">
        <f t="shared" si="8"/>
        <v>-8.9821510077592471E-3</v>
      </c>
      <c r="I545" s="271"/>
      <c r="J545" s="4"/>
    </row>
    <row r="546" spans="1:10" ht="14.25" customHeight="1" x14ac:dyDescent="0.3">
      <c r="A546" s="272">
        <v>44725</v>
      </c>
      <c r="B546" s="4">
        <v>15774.4</v>
      </c>
      <c r="C546" s="272">
        <v>44725</v>
      </c>
      <c r="D546" s="4">
        <v>3892.4</v>
      </c>
      <c r="E546" s="271"/>
      <c r="F546" s="271"/>
      <c r="G546" s="273">
        <f>(B546-B545)/B545</f>
        <v>-2.6379784962164678E-2</v>
      </c>
      <c r="H546" s="4">
        <f t="shared" si="8"/>
        <v>-5.6458787339618184E-2</v>
      </c>
      <c r="I546" s="271"/>
      <c r="J546" s="4"/>
    </row>
    <row r="547" spans="1:10" ht="14.25" customHeight="1" x14ac:dyDescent="0.3">
      <c r="A547" s="272">
        <v>44726</v>
      </c>
      <c r="B547" s="4">
        <v>15732.1</v>
      </c>
      <c r="C547" s="272">
        <v>44726</v>
      </c>
      <c r="D547" s="4">
        <v>3991.74</v>
      </c>
      <c r="E547" s="271"/>
      <c r="F547" s="271"/>
      <c r="G547" s="273">
        <f>(B547-B546)/B546</f>
        <v>-2.6815599959427471E-3</v>
      </c>
      <c r="H547" s="4">
        <f t="shared" si="8"/>
        <v>2.5521529133696354E-2</v>
      </c>
      <c r="I547" s="271"/>
      <c r="J547" s="4"/>
    </row>
    <row r="548" spans="1:10" ht="14.25" customHeight="1" x14ac:dyDescent="0.3">
      <c r="A548" s="272">
        <v>44727</v>
      </c>
      <c r="B548" s="4">
        <v>15692.15</v>
      </c>
      <c r="C548" s="272">
        <v>44727</v>
      </c>
      <c r="D548" s="4">
        <v>4001.88</v>
      </c>
      <c r="E548" s="271"/>
      <c r="F548" s="271"/>
      <c r="G548" s="273">
        <f>(B548-B547)/B547</f>
        <v>-2.5393939779178067E-3</v>
      </c>
      <c r="H548" s="4">
        <f t="shared" si="8"/>
        <v>2.5402456071789065E-3</v>
      </c>
      <c r="I548" s="271"/>
      <c r="J548" s="4"/>
    </row>
    <row r="549" spans="1:10" ht="14.25" customHeight="1" x14ac:dyDescent="0.3">
      <c r="A549" s="272">
        <v>44728</v>
      </c>
      <c r="B549" s="4">
        <v>15360.6</v>
      </c>
      <c r="C549" s="272">
        <v>44728</v>
      </c>
      <c r="D549" s="4">
        <v>3868.02</v>
      </c>
      <c r="E549" s="271"/>
      <c r="F549" s="271"/>
      <c r="G549" s="273">
        <f>(B549-B548)/B548</f>
        <v>-2.1128398594201514E-2</v>
      </c>
      <c r="H549" s="4">
        <f t="shared" si="8"/>
        <v>-3.3449278838945724E-2</v>
      </c>
      <c r="I549" s="271"/>
      <c r="J549" s="4"/>
    </row>
    <row r="550" spans="1:10" ht="14.25" customHeight="1" x14ac:dyDescent="0.3">
      <c r="A550" s="272">
        <v>44729</v>
      </c>
      <c r="B550" s="4">
        <v>15293.5</v>
      </c>
      <c r="C550" s="272">
        <v>44729</v>
      </c>
      <c r="D550" s="4">
        <v>3812.78</v>
      </c>
      <c r="E550" s="271"/>
      <c r="F550" s="271"/>
      <c r="G550" s="273">
        <f>(B550-B549)/B549</f>
        <v>-4.3683189458745336E-3</v>
      </c>
      <c r="H550" s="4">
        <f t="shared" si="8"/>
        <v>-1.4281208473585912E-2</v>
      </c>
      <c r="I550" s="271"/>
      <c r="J550" s="4"/>
    </row>
    <row r="551" spans="1:10" ht="14.25" customHeight="1" x14ac:dyDescent="0.3">
      <c r="A551" s="272">
        <v>44732</v>
      </c>
      <c r="B551" s="4">
        <v>15350.15</v>
      </c>
      <c r="C551" s="272">
        <v>44732</v>
      </c>
      <c r="D551" s="4">
        <v>3768.54</v>
      </c>
      <c r="E551" s="271"/>
      <c r="F551" s="271"/>
      <c r="G551" s="273">
        <f>(B551-B550)/B550</f>
        <v>3.7041880537483007E-3</v>
      </c>
      <c r="H551" s="4">
        <f t="shared" si="8"/>
        <v>-1.1603082265433683E-2</v>
      </c>
      <c r="I551" s="271"/>
      <c r="J551" s="4"/>
    </row>
    <row r="552" spans="1:10" ht="14.25" customHeight="1" x14ac:dyDescent="0.3">
      <c r="A552" s="272">
        <v>44733</v>
      </c>
      <c r="B552" s="4">
        <v>15638.8</v>
      </c>
      <c r="C552" s="272">
        <v>44733</v>
      </c>
      <c r="D552" s="4">
        <v>3922.45</v>
      </c>
      <c r="E552" s="271"/>
      <c r="F552" s="271"/>
      <c r="G552" s="273">
        <f>(B552-B551)/B551</f>
        <v>1.8804376504464104E-2</v>
      </c>
      <c r="H552" s="4">
        <f t="shared" si="8"/>
        <v>4.0840749998673188E-2</v>
      </c>
      <c r="I552" s="271"/>
      <c r="J552" s="4"/>
    </row>
    <row r="553" spans="1:10" ht="14.25" customHeight="1" x14ac:dyDescent="0.3">
      <c r="A553" s="272">
        <v>44734</v>
      </c>
      <c r="B553" s="4">
        <v>15413.3</v>
      </c>
      <c r="C553" s="272">
        <v>44734</v>
      </c>
      <c r="D553" s="4">
        <v>3830.54</v>
      </c>
      <c r="E553" s="271"/>
      <c r="F553" s="271"/>
      <c r="G553" s="273">
        <f>(B553-B552)/B552</f>
        <v>-1.4419264905235697E-2</v>
      </c>
      <c r="H553" s="4">
        <f t="shared" si="8"/>
        <v>-2.3431783706611902E-2</v>
      </c>
      <c r="I553" s="271"/>
      <c r="J553" s="4"/>
    </row>
    <row r="554" spans="1:10" ht="14.25" customHeight="1" x14ac:dyDescent="0.3">
      <c r="A554" s="272">
        <v>44735</v>
      </c>
      <c r="B554" s="4">
        <v>15556.65</v>
      </c>
      <c r="C554" s="272">
        <v>44735</v>
      </c>
      <c r="D554" s="4">
        <v>3936.31</v>
      </c>
      <c r="E554" s="271"/>
      <c r="F554" s="271"/>
      <c r="G554" s="273">
        <f>(B554-B553)/B553</f>
        <v>9.3004093866985247E-3</v>
      </c>
      <c r="H554" s="4">
        <f t="shared" si="8"/>
        <v>2.7612294872263438E-2</v>
      </c>
      <c r="I554" s="271"/>
      <c r="J554" s="4"/>
    </row>
    <row r="555" spans="1:10" ht="14.25" customHeight="1" x14ac:dyDescent="0.3">
      <c r="A555" s="272">
        <v>44736</v>
      </c>
      <c r="B555" s="4">
        <v>15699.25</v>
      </c>
      <c r="C555" s="272">
        <v>44736</v>
      </c>
      <c r="D555" s="4">
        <v>3841.78</v>
      </c>
      <c r="E555" s="271"/>
      <c r="F555" s="271"/>
      <c r="G555" s="273">
        <f>(B555-B554)/B554</f>
        <v>9.1664979285386236E-3</v>
      </c>
      <c r="H555" s="4">
        <f t="shared" si="8"/>
        <v>-2.4014876877075167E-2</v>
      </c>
      <c r="I555" s="271"/>
      <c r="J555" s="4"/>
    </row>
    <row r="556" spans="1:10" ht="14.25" customHeight="1" x14ac:dyDescent="0.3">
      <c r="A556" s="272">
        <v>44739</v>
      </c>
      <c r="B556" s="4">
        <v>15832.05</v>
      </c>
      <c r="C556" s="272">
        <v>44739</v>
      </c>
      <c r="D556" s="4">
        <v>3965.17</v>
      </c>
      <c r="E556" s="271"/>
      <c r="F556" s="271"/>
      <c r="G556" s="273">
        <f>(B556-B555)/B555</f>
        <v>8.4590028186059384E-3</v>
      </c>
      <c r="H556" s="4">
        <f t="shared" si="8"/>
        <v>3.2117924503745628E-2</v>
      </c>
      <c r="I556" s="271"/>
      <c r="J556" s="4"/>
    </row>
    <row r="557" spans="1:10" ht="14.25" customHeight="1" x14ac:dyDescent="0.3">
      <c r="A557" s="272">
        <v>44740</v>
      </c>
      <c r="B557" s="4">
        <v>15850.2</v>
      </c>
      <c r="C557" s="272">
        <v>44740</v>
      </c>
      <c r="D557" s="4">
        <v>4021.64</v>
      </c>
      <c r="E557" s="271"/>
      <c r="F557" s="271"/>
      <c r="G557" s="273">
        <f>(B557-B556)/B556</f>
        <v>1.1464087089164989E-3</v>
      </c>
      <c r="H557" s="4">
        <f t="shared" si="8"/>
        <v>1.4241507930303064E-2</v>
      </c>
      <c r="I557" s="271"/>
      <c r="J557" s="4"/>
    </row>
    <row r="558" spans="1:10" ht="14.25" customHeight="1" x14ac:dyDescent="0.3">
      <c r="A558" s="272">
        <v>44741</v>
      </c>
      <c r="B558" s="4">
        <v>15799.1</v>
      </c>
      <c r="C558" s="272">
        <v>44741</v>
      </c>
      <c r="D558" s="4">
        <v>3892.4</v>
      </c>
      <c r="E558" s="271"/>
      <c r="F558" s="271"/>
      <c r="G558" s="273">
        <f>(B558-B557)/B557</f>
        <v>-3.2239340828507123E-3</v>
      </c>
      <c r="H558" s="4">
        <f t="shared" si="8"/>
        <v>-3.2136143463860463E-2</v>
      </c>
      <c r="I558" s="271"/>
      <c r="J558" s="4"/>
    </row>
    <row r="559" spans="1:10" ht="14.25" customHeight="1" x14ac:dyDescent="0.3">
      <c r="A559" s="272">
        <v>44742</v>
      </c>
      <c r="B559" s="4">
        <v>15780.25</v>
      </c>
      <c r="C559" s="272">
        <v>44742</v>
      </c>
      <c r="D559" s="4">
        <v>3814.26</v>
      </c>
      <c r="E559" s="271"/>
      <c r="F559" s="271"/>
      <c r="G559" s="273">
        <f>(B559-B558)/B558</f>
        <v>-1.1931059364141225E-3</v>
      </c>
      <c r="H559" s="4">
        <f t="shared" si="8"/>
        <v>-2.0075017983763196E-2</v>
      </c>
      <c r="I559" s="271"/>
      <c r="J559" s="4"/>
    </row>
    <row r="560" spans="1:10" ht="14.25" customHeight="1" x14ac:dyDescent="0.3">
      <c r="A560" s="272">
        <v>44743</v>
      </c>
      <c r="B560" s="4">
        <v>15752.05</v>
      </c>
      <c r="C560" s="272">
        <v>44743</v>
      </c>
      <c r="D560" s="4">
        <v>3838.58</v>
      </c>
      <c r="E560" s="271"/>
      <c r="F560" s="271"/>
      <c r="G560" s="273">
        <f>(B560-B559)/B559</f>
        <v>-1.7870439314966954E-3</v>
      </c>
      <c r="H560" s="4">
        <f t="shared" si="8"/>
        <v>6.3760729473081824E-3</v>
      </c>
      <c r="I560" s="271"/>
      <c r="J560" s="4"/>
    </row>
    <row r="561" spans="1:10" ht="14.25" customHeight="1" x14ac:dyDescent="0.3">
      <c r="A561" s="272">
        <v>44746</v>
      </c>
      <c r="B561" s="4">
        <v>15835.35</v>
      </c>
      <c r="C561" s="272">
        <v>44746</v>
      </c>
      <c r="D561" s="4">
        <v>3814.93</v>
      </c>
      <c r="E561" s="271"/>
      <c r="F561" s="271"/>
      <c r="G561" s="273">
        <f>(B561-B560)/B560</f>
        <v>5.2882005834161963E-3</v>
      </c>
      <c r="H561" s="4">
        <f t="shared" si="8"/>
        <v>-6.1611325021232047E-3</v>
      </c>
      <c r="I561" s="271"/>
      <c r="J561" s="4"/>
    </row>
    <row r="562" spans="1:10" ht="14.25" customHeight="1" x14ac:dyDescent="0.3">
      <c r="A562" s="272">
        <v>44747</v>
      </c>
      <c r="B562" s="4">
        <v>15810.85</v>
      </c>
      <c r="C562" s="272">
        <v>44747</v>
      </c>
      <c r="D562" s="4">
        <v>3798.57</v>
      </c>
      <c r="E562" s="271"/>
      <c r="F562" s="271"/>
      <c r="G562" s="273">
        <f>(B562-B561)/B561</f>
        <v>-1.5471713602793749E-3</v>
      </c>
      <c r="H562" s="4">
        <f t="shared" si="8"/>
        <v>-4.2884142041923895E-3</v>
      </c>
      <c r="I562" s="271"/>
      <c r="J562" s="4"/>
    </row>
    <row r="563" spans="1:10" ht="14.25" customHeight="1" x14ac:dyDescent="0.3">
      <c r="A563" s="272">
        <v>44748</v>
      </c>
      <c r="B563" s="4">
        <v>15989.8</v>
      </c>
      <c r="C563" s="272">
        <v>44748</v>
      </c>
      <c r="D563" s="4">
        <v>3850.09</v>
      </c>
      <c r="E563" s="271"/>
      <c r="F563" s="271"/>
      <c r="G563" s="273">
        <f>(B563-B562)/B562</f>
        <v>1.1318177074603763E-2</v>
      </c>
      <c r="H563" s="4">
        <f t="shared" si="8"/>
        <v>1.3562998707408309E-2</v>
      </c>
      <c r="I563" s="271"/>
      <c r="J563" s="4"/>
    </row>
    <row r="564" spans="1:10" ht="14.25" customHeight="1" x14ac:dyDescent="0.3">
      <c r="A564" s="272">
        <v>44749</v>
      </c>
      <c r="B564" s="4">
        <v>16132.9</v>
      </c>
      <c r="C564" s="272">
        <v>44749</v>
      </c>
      <c r="D564" s="4">
        <v>3881.23</v>
      </c>
      <c r="E564" s="271"/>
      <c r="F564" s="271"/>
      <c r="G564" s="273">
        <f>(B564-B563)/B563</f>
        <v>8.9494552777395816E-3</v>
      </c>
      <c r="H564" s="4">
        <f t="shared" si="8"/>
        <v>8.0881226153154528E-3</v>
      </c>
      <c r="I564" s="271"/>
      <c r="J564" s="4"/>
    </row>
    <row r="565" spans="1:10" ht="14.25" customHeight="1" x14ac:dyDescent="0.3">
      <c r="A565" s="272">
        <v>44750</v>
      </c>
      <c r="B565" s="4">
        <v>16220.6</v>
      </c>
      <c r="C565" s="272">
        <v>44750</v>
      </c>
      <c r="D565" s="4">
        <v>3902.91</v>
      </c>
      <c r="E565" s="271"/>
      <c r="F565" s="271"/>
      <c r="G565" s="273">
        <f>(B565-B564)/B564</f>
        <v>5.4360964240775514E-3</v>
      </c>
      <c r="H565" s="4">
        <f t="shared" si="8"/>
        <v>5.5858580913782062E-3</v>
      </c>
      <c r="I565" s="271"/>
      <c r="J565" s="4"/>
    </row>
    <row r="566" spans="1:10" ht="14.25" customHeight="1" x14ac:dyDescent="0.3">
      <c r="A566" s="272">
        <v>44753</v>
      </c>
      <c r="B566" s="4">
        <v>16216</v>
      </c>
      <c r="C566" s="272">
        <v>44753</v>
      </c>
      <c r="D566" s="4">
        <v>3795.11</v>
      </c>
      <c r="E566" s="271"/>
      <c r="F566" s="271"/>
      <c r="G566" s="273">
        <f>(B566-B565)/B565</f>
        <v>-2.8359000283592243E-4</v>
      </c>
      <c r="H566" s="4">
        <f t="shared" si="8"/>
        <v>-2.7620416560976229E-2</v>
      </c>
      <c r="I566" s="271"/>
      <c r="J566" s="4"/>
    </row>
    <row r="567" spans="1:10" ht="14.25" customHeight="1" x14ac:dyDescent="0.3">
      <c r="A567" s="272">
        <v>44754</v>
      </c>
      <c r="B567" s="4">
        <v>16058.3</v>
      </c>
      <c r="C567" s="272">
        <v>44754</v>
      </c>
      <c r="D567" s="4">
        <v>3823.47</v>
      </c>
      <c r="E567" s="271"/>
      <c r="F567" s="271"/>
      <c r="G567" s="273">
        <f>(B567-B566)/B566</f>
        <v>-9.724962999506705E-3</v>
      </c>
      <c r="H567" s="4">
        <f t="shared" si="8"/>
        <v>7.472774175188511E-3</v>
      </c>
      <c r="I567" s="271"/>
      <c r="J567" s="4"/>
    </row>
    <row r="568" spans="1:10" ht="14.25" customHeight="1" x14ac:dyDescent="0.3">
      <c r="A568" s="272">
        <v>44755</v>
      </c>
      <c r="B568" s="4">
        <v>15966.65</v>
      </c>
      <c r="C568" s="272">
        <v>44755</v>
      </c>
      <c r="D568" s="4">
        <v>3852.63</v>
      </c>
      <c r="E568" s="271"/>
      <c r="F568" s="271"/>
      <c r="G568" s="273">
        <f>(B568-B567)/B567</f>
        <v>-5.7073289202468278E-3</v>
      </c>
      <c r="H568" s="4">
        <f t="shared" si="8"/>
        <v>7.6265800437822998E-3</v>
      </c>
      <c r="I568" s="271"/>
      <c r="J568" s="4"/>
    </row>
    <row r="569" spans="1:10" ht="14.25" customHeight="1" x14ac:dyDescent="0.3">
      <c r="A569" s="272">
        <v>44756</v>
      </c>
      <c r="B569" s="4">
        <v>15938.65</v>
      </c>
      <c r="C569" s="272">
        <v>44756</v>
      </c>
      <c r="D569" s="4">
        <v>3716.54</v>
      </c>
      <c r="E569" s="271"/>
      <c r="F569" s="271"/>
      <c r="G569" s="273">
        <f>(B569-B568)/B568</f>
        <v>-1.7536552752142748E-3</v>
      </c>
      <c r="H569" s="4">
        <f t="shared" si="8"/>
        <v>-3.5323921580842216E-2</v>
      </c>
      <c r="I569" s="271"/>
      <c r="J569" s="4"/>
    </row>
    <row r="570" spans="1:10" ht="14.25" customHeight="1" x14ac:dyDescent="0.3">
      <c r="A570" s="272">
        <v>44757</v>
      </c>
      <c r="B570" s="4">
        <v>16049.2</v>
      </c>
      <c r="C570" s="272">
        <v>44757</v>
      </c>
      <c r="D570" s="4">
        <v>3813.39</v>
      </c>
      <c r="E570" s="271"/>
      <c r="F570" s="271"/>
      <c r="G570" s="273">
        <f>(B570-B569)/B569</f>
        <v>6.9359701103921031E-3</v>
      </c>
      <c r="H570" s="4">
        <f t="shared" si="8"/>
        <v>2.6059184079816149E-2</v>
      </c>
      <c r="I570" s="271"/>
      <c r="J570" s="4"/>
    </row>
    <row r="571" spans="1:10" ht="14.25" customHeight="1" x14ac:dyDescent="0.3">
      <c r="A571" s="272">
        <v>44760</v>
      </c>
      <c r="B571" s="4">
        <v>16278.5</v>
      </c>
      <c r="C571" s="272">
        <v>44760</v>
      </c>
      <c r="D571" s="4">
        <v>4044.81</v>
      </c>
      <c r="E571" s="271"/>
      <c r="F571" s="271"/>
      <c r="G571" s="273">
        <f>(B571-B570)/B570</f>
        <v>1.428731650175705E-2</v>
      </c>
      <c r="H571" s="4">
        <f t="shared" si="8"/>
        <v>6.0686161132220959E-2</v>
      </c>
      <c r="I571" s="271"/>
      <c r="J571" s="4"/>
    </row>
    <row r="572" spans="1:10" ht="14.25" customHeight="1" x14ac:dyDescent="0.3">
      <c r="A572" s="272">
        <v>44761</v>
      </c>
      <c r="B572" s="4">
        <v>16340.55</v>
      </c>
      <c r="C572" s="272">
        <v>44761</v>
      </c>
      <c r="D572" s="4">
        <v>4136.1499999999996</v>
      </c>
      <c r="E572" s="271"/>
      <c r="F572" s="271"/>
      <c r="G572" s="273">
        <f>(B572-B571)/B571</f>
        <v>3.8117762693122385E-3</v>
      </c>
      <c r="H572" s="4">
        <f t="shared" si="8"/>
        <v>2.2582024866433698E-2</v>
      </c>
      <c r="I572" s="271"/>
      <c r="J572" s="4"/>
    </row>
    <row r="573" spans="1:10" ht="14.25" customHeight="1" x14ac:dyDescent="0.3">
      <c r="A573" s="272">
        <v>44762</v>
      </c>
      <c r="B573" s="4">
        <v>16520.849999999999</v>
      </c>
      <c r="C573" s="272">
        <v>44762</v>
      </c>
      <c r="D573" s="4">
        <v>4264.43</v>
      </c>
      <c r="E573" s="271"/>
      <c r="F573" s="271"/>
      <c r="G573" s="273">
        <f>(B573-B572)/B572</f>
        <v>1.1033900327712303E-2</v>
      </c>
      <c r="H573" s="4">
        <f t="shared" si="8"/>
        <v>3.1014349092755501E-2</v>
      </c>
      <c r="I573" s="271"/>
      <c r="J573" s="4"/>
    </row>
    <row r="574" spans="1:10" ht="14.25" customHeight="1" x14ac:dyDescent="0.3">
      <c r="A574" s="272">
        <v>44763</v>
      </c>
      <c r="B574" s="4">
        <v>16605.25</v>
      </c>
      <c r="C574" s="272">
        <v>44763</v>
      </c>
      <c r="D574" s="4">
        <v>4346.2700000000004</v>
      </c>
      <c r="E574" s="271"/>
      <c r="F574" s="271"/>
      <c r="G574" s="273">
        <f>(B574-B573)/B573</f>
        <v>5.1086959811390735E-3</v>
      </c>
      <c r="H574" s="4">
        <f t="shared" si="8"/>
        <v>1.9191310444772253E-2</v>
      </c>
      <c r="I574" s="271"/>
      <c r="J574" s="4"/>
    </row>
    <row r="575" spans="1:10" ht="14.25" customHeight="1" x14ac:dyDescent="0.3">
      <c r="A575" s="272">
        <v>44764</v>
      </c>
      <c r="B575" s="4">
        <v>16719.45</v>
      </c>
      <c r="C575" s="272">
        <v>44764</v>
      </c>
      <c r="D575" s="4">
        <v>4322.1400000000003</v>
      </c>
      <c r="E575" s="271"/>
      <c r="F575" s="271"/>
      <c r="G575" s="273">
        <f>(B575-B574)/B574</f>
        <v>6.8773430089881654E-3</v>
      </c>
      <c r="H575" s="4">
        <f t="shared" si="8"/>
        <v>-5.5518870203646129E-3</v>
      </c>
      <c r="I575" s="271"/>
      <c r="J575" s="4"/>
    </row>
    <row r="576" spans="1:10" ht="14.25" customHeight="1" x14ac:dyDescent="0.3">
      <c r="A576" s="272">
        <v>44767</v>
      </c>
      <c r="B576" s="4">
        <v>16631</v>
      </c>
      <c r="C576" s="272">
        <v>44767</v>
      </c>
      <c r="D576" s="4">
        <v>4318.3</v>
      </c>
      <c r="E576" s="271"/>
      <c r="F576" s="271"/>
      <c r="G576" s="273">
        <f>(B576-B575)/B575</f>
        <v>-5.2902457915781154E-3</v>
      </c>
      <c r="H576" s="4">
        <f t="shared" si="8"/>
        <v>-8.8844877768886363E-4</v>
      </c>
      <c r="I576" s="271"/>
      <c r="J576" s="4"/>
    </row>
    <row r="577" spans="1:10" ht="14.25" customHeight="1" x14ac:dyDescent="0.3">
      <c r="A577" s="272">
        <v>44768</v>
      </c>
      <c r="B577" s="4">
        <v>16483.849999999999</v>
      </c>
      <c r="C577" s="272">
        <v>44768</v>
      </c>
      <c r="D577" s="4">
        <v>4138.9799999999996</v>
      </c>
      <c r="E577" s="271"/>
      <c r="F577" s="271"/>
      <c r="G577" s="273">
        <f>(B577-B576)/B576</f>
        <v>-8.8479345800012901E-3</v>
      </c>
      <c r="H577" s="4">
        <f t="shared" si="8"/>
        <v>-4.1525600351990509E-2</v>
      </c>
      <c r="I577" s="271"/>
      <c r="J577" s="4"/>
    </row>
    <row r="578" spans="1:10" ht="14.25" customHeight="1" x14ac:dyDescent="0.3">
      <c r="A578" s="272">
        <v>44769</v>
      </c>
      <c r="B578" s="4">
        <v>16641.8</v>
      </c>
      <c r="C578" s="272">
        <v>44769</v>
      </c>
      <c r="D578" s="4">
        <v>4233.97</v>
      </c>
      <c r="E578" s="271"/>
      <c r="F578" s="271"/>
      <c r="G578" s="273">
        <f>(B578-B577)/B577</f>
        <v>9.5821061220528417E-3</v>
      </c>
      <c r="H578" s="4">
        <f t="shared" si="8"/>
        <v>2.2950098816616825E-2</v>
      </c>
      <c r="I578" s="271"/>
      <c r="J578" s="4"/>
    </row>
    <row r="579" spans="1:10" ht="14.25" customHeight="1" x14ac:dyDescent="0.3">
      <c r="A579" s="272">
        <v>44770</v>
      </c>
      <c r="B579" s="4">
        <v>16929.599999999999</v>
      </c>
      <c r="C579" s="272">
        <v>44770</v>
      </c>
      <c r="D579" s="4">
        <v>4460.59</v>
      </c>
      <c r="E579" s="271"/>
      <c r="F579" s="271"/>
      <c r="G579" s="273">
        <f>(B579-B578)/B578</f>
        <v>1.7293802353110798E-2</v>
      </c>
      <c r="H579" s="4">
        <f t="shared" ref="H579:H642" si="9">(D579-D578)/D578</f>
        <v>5.352423375697038E-2</v>
      </c>
      <c r="I579" s="271"/>
      <c r="J579" s="4"/>
    </row>
    <row r="580" spans="1:10" ht="14.25" customHeight="1" x14ac:dyDescent="0.3">
      <c r="A580" s="272">
        <v>44771</v>
      </c>
      <c r="B580" s="4">
        <v>17158.25</v>
      </c>
      <c r="C580" s="272">
        <v>44771</v>
      </c>
      <c r="D580" s="4">
        <v>4538.93</v>
      </c>
      <c r="E580" s="271"/>
      <c r="F580" s="271"/>
      <c r="G580" s="273">
        <f>(B580-B579)/B579</f>
        <v>1.3505930441357237E-2</v>
      </c>
      <c r="H580" s="4">
        <f t="shared" si="9"/>
        <v>1.7562699104826971E-2</v>
      </c>
      <c r="I580" s="271"/>
      <c r="J580" s="4"/>
    </row>
    <row r="581" spans="1:10" ht="14.25" customHeight="1" x14ac:dyDescent="0.3">
      <c r="A581" s="272">
        <v>44774</v>
      </c>
      <c r="B581" s="4">
        <v>17340.05</v>
      </c>
      <c r="C581" s="272">
        <v>44774</v>
      </c>
      <c r="D581" s="4">
        <v>4575.68</v>
      </c>
      <c r="E581" s="271"/>
      <c r="F581" s="271"/>
      <c r="G581" s="273">
        <f>(B581-B580)/B580</f>
        <v>1.0595486136406642E-2</v>
      </c>
      <c r="H581" s="4">
        <f t="shared" si="9"/>
        <v>8.0966218910624305E-3</v>
      </c>
      <c r="I581" s="271"/>
      <c r="J581" s="4"/>
    </row>
    <row r="582" spans="1:10" ht="14.25" customHeight="1" x14ac:dyDescent="0.3">
      <c r="A582" s="272">
        <v>44775</v>
      </c>
      <c r="B582" s="4">
        <v>17345.45</v>
      </c>
      <c r="C582" s="272">
        <v>44775</v>
      </c>
      <c r="D582" s="4">
        <v>4500.79</v>
      </c>
      <c r="E582" s="271"/>
      <c r="F582" s="271"/>
      <c r="G582" s="273">
        <f>(B582-B581)/B581</f>
        <v>3.114177871460264E-4</v>
      </c>
      <c r="H582" s="4">
        <f t="shared" si="9"/>
        <v>-1.6366966221414155E-2</v>
      </c>
      <c r="I582" s="271"/>
      <c r="J582" s="4"/>
    </row>
    <row r="583" spans="1:10" ht="14.25" customHeight="1" x14ac:dyDescent="0.3">
      <c r="A583" s="272">
        <v>44776</v>
      </c>
      <c r="B583" s="4">
        <v>17388.150000000001</v>
      </c>
      <c r="C583" s="272">
        <v>44776</v>
      </c>
      <c r="D583" s="4">
        <v>4591.8900000000003</v>
      </c>
      <c r="E583" s="271"/>
      <c r="F583" s="271"/>
      <c r="G583" s="273">
        <f>(B583-B582)/B582</f>
        <v>2.461740687039006E-3</v>
      </c>
      <c r="H583" s="4">
        <f t="shared" si="9"/>
        <v>2.0240891043572431E-2</v>
      </c>
      <c r="I583" s="271"/>
      <c r="J583" s="4"/>
    </row>
    <row r="584" spans="1:10" ht="14.25" customHeight="1" x14ac:dyDescent="0.3">
      <c r="A584" s="272">
        <v>44777</v>
      </c>
      <c r="B584" s="4">
        <v>17382</v>
      </c>
      <c r="C584" s="272">
        <v>44777</v>
      </c>
      <c r="D584" s="4">
        <v>4706.3500000000004</v>
      </c>
      <c r="E584" s="271"/>
      <c r="F584" s="271"/>
      <c r="G584" s="273">
        <f>(B584-B583)/B583</f>
        <v>-3.5368915036973193E-4</v>
      </c>
      <c r="H584" s="4">
        <f t="shared" si="9"/>
        <v>2.4926555296403013E-2</v>
      </c>
      <c r="I584" s="271"/>
      <c r="J584" s="4"/>
    </row>
    <row r="585" spans="1:10" ht="14.25" customHeight="1" x14ac:dyDescent="0.3">
      <c r="A585" s="272">
        <v>44778</v>
      </c>
      <c r="B585" s="4">
        <v>17397.5</v>
      </c>
      <c r="C585" s="272">
        <v>44778</v>
      </c>
      <c r="D585" s="4">
        <v>4725.6400000000003</v>
      </c>
      <c r="E585" s="271"/>
      <c r="F585" s="271"/>
      <c r="G585" s="273">
        <f>(B585-B584)/B584</f>
        <v>8.9172707398458174E-4</v>
      </c>
      <c r="H585" s="4">
        <f t="shared" si="9"/>
        <v>4.0987176899295553E-3</v>
      </c>
      <c r="I585" s="271"/>
      <c r="J585" s="4"/>
    </row>
    <row r="586" spans="1:10" ht="14.25" customHeight="1" x14ac:dyDescent="0.3">
      <c r="A586" s="272">
        <v>44781</v>
      </c>
      <c r="B586" s="4">
        <v>17525.099999999999</v>
      </c>
      <c r="C586" s="272">
        <v>44781</v>
      </c>
      <c r="D586" s="4">
        <v>4701.51</v>
      </c>
      <c r="E586" s="271"/>
      <c r="F586" s="271"/>
      <c r="G586" s="273">
        <f>(B586-B585)/B585</f>
        <v>7.3343871245867822E-3</v>
      </c>
      <c r="H586" s="4">
        <f t="shared" si="9"/>
        <v>-5.1061866752440113E-3</v>
      </c>
      <c r="I586" s="271"/>
      <c r="J586" s="4"/>
    </row>
    <row r="587" spans="1:10" ht="14.25" customHeight="1" x14ac:dyDescent="0.3">
      <c r="A587" s="272">
        <v>44783</v>
      </c>
      <c r="B587" s="4">
        <v>17534.75</v>
      </c>
      <c r="C587" s="272">
        <v>44783</v>
      </c>
      <c r="D587" s="4">
        <v>4659.68</v>
      </c>
      <c r="E587" s="271"/>
      <c r="F587" s="271"/>
      <c r="G587" s="273">
        <f>(B587-B586)/B586</f>
        <v>5.5063879806685587E-4</v>
      </c>
      <c r="H587" s="4">
        <f t="shared" si="9"/>
        <v>-8.8971415566488059E-3</v>
      </c>
      <c r="I587" s="271"/>
      <c r="J587" s="4"/>
    </row>
    <row r="588" spans="1:10" ht="14.25" customHeight="1" x14ac:dyDescent="0.3">
      <c r="A588" s="272">
        <v>44784</v>
      </c>
      <c r="B588" s="4">
        <v>17659</v>
      </c>
      <c r="C588" s="272">
        <v>44784</v>
      </c>
      <c r="D588" s="4">
        <v>4798.7</v>
      </c>
      <c r="E588" s="271"/>
      <c r="F588" s="271"/>
      <c r="G588" s="273">
        <f>(B588-B587)/B587</f>
        <v>7.0859293688247619E-3</v>
      </c>
      <c r="H588" s="4">
        <f t="shared" si="9"/>
        <v>2.9834666758232223E-2</v>
      </c>
      <c r="I588" s="271"/>
      <c r="J588" s="4"/>
    </row>
    <row r="589" spans="1:10" ht="14.25" customHeight="1" x14ac:dyDescent="0.3">
      <c r="A589" s="272">
        <v>44785</v>
      </c>
      <c r="B589" s="4">
        <v>17698.150000000001</v>
      </c>
      <c r="C589" s="272">
        <v>44785</v>
      </c>
      <c r="D589" s="4">
        <v>4712.25</v>
      </c>
      <c r="E589" s="271"/>
      <c r="F589" s="271"/>
      <c r="G589" s="273">
        <f>(B589-B588)/B588</f>
        <v>2.2169998301150378E-3</v>
      </c>
      <c r="H589" s="4">
        <f t="shared" si="9"/>
        <v>-1.8015295809281642E-2</v>
      </c>
      <c r="I589" s="271"/>
      <c r="J589" s="4"/>
    </row>
    <row r="590" spans="1:10" ht="14.25" customHeight="1" x14ac:dyDescent="0.3">
      <c r="A590" s="272">
        <v>44789</v>
      </c>
      <c r="B590" s="4">
        <v>17825.25</v>
      </c>
      <c r="C590" s="272">
        <v>44789</v>
      </c>
      <c r="D590" s="4">
        <v>4688.84</v>
      </c>
      <c r="E590" s="271"/>
      <c r="F590" s="271"/>
      <c r="G590" s="273">
        <f>(B590-B589)/B589</f>
        <v>7.181541573554215E-3</v>
      </c>
      <c r="H590" s="4">
        <f t="shared" si="9"/>
        <v>-4.9679028065149032E-3</v>
      </c>
      <c r="I590" s="271"/>
      <c r="J590" s="4"/>
    </row>
    <row r="591" spans="1:10" ht="14.25" customHeight="1" x14ac:dyDescent="0.3">
      <c r="A591" s="272">
        <v>44790</v>
      </c>
      <c r="B591" s="4">
        <v>17944.25</v>
      </c>
      <c r="C591" s="272">
        <v>44790</v>
      </c>
      <c r="D591" s="4">
        <v>4759.8900000000003</v>
      </c>
      <c r="E591" s="271"/>
      <c r="F591" s="271"/>
      <c r="G591" s="273">
        <f>(B591-B590)/B590</f>
        <v>6.675923198833116E-3</v>
      </c>
      <c r="H591" s="4">
        <f t="shared" si="9"/>
        <v>1.5153001595277335E-2</v>
      </c>
      <c r="I591" s="271"/>
      <c r="J591" s="4"/>
    </row>
    <row r="592" spans="1:10" ht="14.25" customHeight="1" x14ac:dyDescent="0.3">
      <c r="A592" s="272">
        <v>44791</v>
      </c>
      <c r="B592" s="4">
        <v>17956.5</v>
      </c>
      <c r="C592" s="272">
        <v>44791</v>
      </c>
      <c r="D592" s="4">
        <v>4724.49</v>
      </c>
      <c r="E592" s="271"/>
      <c r="F592" s="271"/>
      <c r="G592" s="273">
        <f>(B592-B591)/B591</f>
        <v>6.8266993605193866E-4</v>
      </c>
      <c r="H592" s="4">
        <f t="shared" si="9"/>
        <v>-7.4371466567505849E-3</v>
      </c>
      <c r="I592" s="271"/>
      <c r="J592" s="4"/>
    </row>
    <row r="593" spans="1:10" ht="14.25" customHeight="1" x14ac:dyDescent="0.3">
      <c r="A593" s="272">
        <v>44792</v>
      </c>
      <c r="B593" s="4">
        <v>17758.45</v>
      </c>
      <c r="C593" s="272">
        <v>44792</v>
      </c>
      <c r="D593" s="4">
        <v>4694.3100000000004</v>
      </c>
      <c r="E593" s="271"/>
      <c r="F593" s="271"/>
      <c r="G593" s="273">
        <f>(B593-B592)/B592</f>
        <v>-1.102943223902204E-2</v>
      </c>
      <c r="H593" s="4">
        <f t="shared" si="9"/>
        <v>-6.3879910847518748E-3</v>
      </c>
      <c r="I593" s="271"/>
      <c r="J593" s="4"/>
    </row>
    <row r="594" spans="1:10" ht="14.25" customHeight="1" x14ac:dyDescent="0.3">
      <c r="A594" s="272">
        <v>44795</v>
      </c>
      <c r="B594" s="4">
        <v>17490.7</v>
      </c>
      <c r="C594" s="272">
        <v>44795</v>
      </c>
      <c r="D594" s="4">
        <v>4530.25</v>
      </c>
      <c r="E594" s="271"/>
      <c r="F594" s="271"/>
      <c r="G594" s="273">
        <f>(B594-B593)/B593</f>
        <v>-1.507732938403971E-2</v>
      </c>
      <c r="H594" s="4">
        <f t="shared" si="9"/>
        <v>-3.4948693205178266E-2</v>
      </c>
      <c r="I594" s="271"/>
      <c r="J594" s="4"/>
    </row>
    <row r="595" spans="1:10" ht="14.25" customHeight="1" x14ac:dyDescent="0.3">
      <c r="A595" s="272">
        <v>44796</v>
      </c>
      <c r="B595" s="4">
        <v>17577.5</v>
      </c>
      <c r="C595" s="272">
        <v>44796</v>
      </c>
      <c r="D595" s="4">
        <v>4475.6499999999996</v>
      </c>
      <c r="E595" s="271"/>
      <c r="F595" s="271"/>
      <c r="G595" s="273">
        <f>(B595-B594)/B594</f>
        <v>4.9626372872440365E-3</v>
      </c>
      <c r="H595" s="4">
        <f t="shared" si="9"/>
        <v>-1.2052314993653852E-2</v>
      </c>
      <c r="I595" s="271"/>
      <c r="J595" s="4"/>
    </row>
    <row r="596" spans="1:10" ht="14.25" customHeight="1" x14ac:dyDescent="0.3">
      <c r="A596" s="272">
        <v>44797</v>
      </c>
      <c r="B596" s="4">
        <v>17604.95</v>
      </c>
      <c r="C596" s="272">
        <v>44797</v>
      </c>
      <c r="D596" s="4">
        <v>4469.51</v>
      </c>
      <c r="E596" s="271"/>
      <c r="F596" s="271"/>
      <c r="G596" s="273">
        <f>(B596-B595)/B595</f>
        <v>1.5616555255298381E-3</v>
      </c>
      <c r="H596" s="4">
        <f t="shared" si="9"/>
        <v>-1.371867773395913E-3</v>
      </c>
      <c r="I596" s="271"/>
      <c r="J596" s="4"/>
    </row>
    <row r="597" spans="1:10" ht="14.25" customHeight="1" x14ac:dyDescent="0.3">
      <c r="A597" s="272">
        <v>44798</v>
      </c>
      <c r="B597" s="4">
        <v>17522.45</v>
      </c>
      <c r="C597" s="272">
        <v>44798</v>
      </c>
      <c r="D597" s="4">
        <v>4443.8999999999996</v>
      </c>
      <c r="E597" s="271"/>
      <c r="F597" s="271"/>
      <c r="G597" s="273">
        <f>(B597-B596)/B596</f>
        <v>-4.6861820113093195E-3</v>
      </c>
      <c r="H597" s="4">
        <f t="shared" si="9"/>
        <v>-5.7299346013322669E-3</v>
      </c>
      <c r="I597" s="271"/>
      <c r="J597" s="4"/>
    </row>
    <row r="598" spans="1:10" ht="14.25" customHeight="1" x14ac:dyDescent="0.3">
      <c r="A598" s="272">
        <v>44799</v>
      </c>
      <c r="B598" s="4">
        <v>17558.900000000001</v>
      </c>
      <c r="C598" s="272">
        <v>44799</v>
      </c>
      <c r="D598" s="4">
        <v>4470.04</v>
      </c>
      <c r="E598" s="271"/>
      <c r="F598" s="271"/>
      <c r="G598" s="273">
        <f>(B598-B597)/B597</f>
        <v>2.0801885581069272E-3</v>
      </c>
      <c r="H598" s="4">
        <f t="shared" si="9"/>
        <v>5.882220572020147E-3</v>
      </c>
      <c r="I598" s="271"/>
      <c r="J598" s="4"/>
    </row>
    <row r="599" spans="1:10" ht="14.25" customHeight="1" x14ac:dyDescent="0.3">
      <c r="A599" s="272">
        <v>44802</v>
      </c>
      <c r="B599" s="4">
        <v>17312.900000000001</v>
      </c>
      <c r="C599" s="272">
        <v>44802</v>
      </c>
      <c r="D599" s="4">
        <v>4290.53</v>
      </c>
      <c r="E599" s="271"/>
      <c r="F599" s="271"/>
      <c r="G599" s="273">
        <f>(B599-B598)/B598</f>
        <v>-1.4009989236227781E-2</v>
      </c>
      <c r="H599" s="4">
        <f t="shared" si="9"/>
        <v>-4.0158477329061984E-2</v>
      </c>
      <c r="I599" s="271"/>
      <c r="J599" s="4"/>
    </row>
    <row r="600" spans="1:10" ht="14.25" customHeight="1" x14ac:dyDescent="0.3">
      <c r="A600" s="272">
        <v>44803</v>
      </c>
      <c r="B600" s="4">
        <v>17759.3</v>
      </c>
      <c r="C600" s="272">
        <v>44803</v>
      </c>
      <c r="D600" s="4">
        <v>4453.49</v>
      </c>
      <c r="E600" s="271"/>
      <c r="F600" s="271"/>
      <c r="G600" s="273">
        <f>(B600-B599)/B599</f>
        <v>2.5784241808131381E-2</v>
      </c>
      <c r="H600" s="4">
        <f t="shared" si="9"/>
        <v>3.7981321654900452E-2</v>
      </c>
      <c r="I600" s="271"/>
      <c r="J600" s="4"/>
    </row>
    <row r="601" spans="1:10" ht="14.25" customHeight="1" x14ac:dyDescent="0.3">
      <c r="A601" s="272">
        <v>44805</v>
      </c>
      <c r="B601" s="4">
        <v>17542.8</v>
      </c>
      <c r="C601" s="272">
        <v>44805</v>
      </c>
      <c r="D601" s="4">
        <v>4350.01</v>
      </c>
      <c r="E601" s="271"/>
      <c r="F601" s="271"/>
      <c r="G601" s="273">
        <f>(B601-B600)/B600</f>
        <v>-1.219079580839335E-2</v>
      </c>
      <c r="H601" s="4">
        <f t="shared" si="9"/>
        <v>-2.3235709522194857E-2</v>
      </c>
      <c r="I601" s="271"/>
      <c r="J601" s="4"/>
    </row>
    <row r="602" spans="1:10" ht="14.25" customHeight="1" x14ac:dyDescent="0.3">
      <c r="A602" s="272">
        <v>44806</v>
      </c>
      <c r="B602" s="4">
        <v>17539.45</v>
      </c>
      <c r="C602" s="272">
        <v>44806</v>
      </c>
      <c r="D602" s="4">
        <v>4338.6400000000003</v>
      </c>
      <c r="E602" s="271"/>
      <c r="F602" s="271"/>
      <c r="G602" s="273">
        <f>(B602-B601)/B601</f>
        <v>-1.909615340765753E-4</v>
      </c>
      <c r="H602" s="4">
        <f t="shared" si="9"/>
        <v>-2.6137870947422859E-3</v>
      </c>
      <c r="I602" s="271"/>
      <c r="J602" s="4"/>
    </row>
    <row r="603" spans="1:10" ht="14.25" customHeight="1" x14ac:dyDescent="0.3">
      <c r="A603" s="272">
        <v>44809</v>
      </c>
      <c r="B603" s="4">
        <v>17665.8</v>
      </c>
      <c r="C603" s="272">
        <v>44809</v>
      </c>
      <c r="D603" s="4">
        <v>4314.18</v>
      </c>
      <c r="E603" s="271"/>
      <c r="F603" s="271"/>
      <c r="G603" s="273">
        <f>(B603-B602)/B602</f>
        <v>7.2037606652431254E-3</v>
      </c>
      <c r="H603" s="4">
        <f t="shared" si="9"/>
        <v>-5.6377113565541353E-3</v>
      </c>
      <c r="I603" s="271"/>
      <c r="J603" s="4"/>
    </row>
    <row r="604" spans="1:10" ht="14.25" customHeight="1" x14ac:dyDescent="0.3">
      <c r="A604" s="272">
        <v>44810</v>
      </c>
      <c r="B604" s="4">
        <v>17655.599999999999</v>
      </c>
      <c r="C604" s="272">
        <v>44810</v>
      </c>
      <c r="D604" s="4">
        <v>4280.21</v>
      </c>
      <c r="E604" s="271"/>
      <c r="F604" s="271"/>
      <c r="G604" s="273">
        <f>(B604-B603)/B603</f>
        <v>-5.7738681520229645E-4</v>
      </c>
      <c r="H604" s="4">
        <f t="shared" si="9"/>
        <v>-7.8740339995086554E-3</v>
      </c>
      <c r="I604" s="271"/>
      <c r="J604" s="4"/>
    </row>
    <row r="605" spans="1:10" ht="14.25" customHeight="1" x14ac:dyDescent="0.3">
      <c r="A605" s="272">
        <v>44811</v>
      </c>
      <c r="B605" s="4">
        <v>17624.400000000001</v>
      </c>
      <c r="C605" s="272">
        <v>44811</v>
      </c>
      <c r="D605" s="4">
        <v>4327.37</v>
      </c>
      <c r="E605" s="271"/>
      <c r="F605" s="271"/>
      <c r="G605" s="273">
        <f>(B605-B604)/B604</f>
        <v>-1.7671447019640845E-3</v>
      </c>
      <c r="H605" s="4">
        <f t="shared" si="9"/>
        <v>1.1018150978573447E-2</v>
      </c>
      <c r="I605" s="271"/>
      <c r="J605" s="4"/>
    </row>
    <row r="606" spans="1:10" ht="14.25" customHeight="1" x14ac:dyDescent="0.3">
      <c r="A606" s="272">
        <v>44812</v>
      </c>
      <c r="B606" s="4">
        <v>17798.75</v>
      </c>
      <c r="C606" s="272">
        <v>44812</v>
      </c>
      <c r="D606" s="4">
        <v>4340.04</v>
      </c>
      <c r="E606" s="271"/>
      <c r="F606" s="271"/>
      <c r="G606" s="273">
        <f>(B606-B605)/B605</f>
        <v>9.8925353487210078E-3</v>
      </c>
      <c r="H606" s="4">
        <f t="shared" si="9"/>
        <v>2.9278753607849739E-3</v>
      </c>
      <c r="I606" s="271"/>
      <c r="J606" s="4"/>
    </row>
    <row r="607" spans="1:10" ht="14.25" customHeight="1" x14ac:dyDescent="0.3">
      <c r="A607" s="272">
        <v>44813</v>
      </c>
      <c r="B607" s="4">
        <v>17833.349999999999</v>
      </c>
      <c r="C607" s="272">
        <v>44813</v>
      </c>
      <c r="D607" s="4">
        <v>4484.1000000000004</v>
      </c>
      <c r="E607" s="271"/>
      <c r="F607" s="271"/>
      <c r="G607" s="273">
        <f>(B607-B606)/B606</f>
        <v>1.9439567385349278E-3</v>
      </c>
      <c r="H607" s="4">
        <f t="shared" si="9"/>
        <v>3.3193242458594945E-2</v>
      </c>
      <c r="I607" s="271"/>
      <c r="J607" s="4"/>
    </row>
    <row r="608" spans="1:10" ht="14.25" customHeight="1" x14ac:dyDescent="0.3">
      <c r="A608" s="272">
        <v>44816</v>
      </c>
      <c r="B608" s="4">
        <v>17936.349999999999</v>
      </c>
      <c r="C608" s="272">
        <v>44816</v>
      </c>
      <c r="D608" s="4">
        <v>4616.9799999999996</v>
      </c>
      <c r="E608" s="271"/>
      <c r="F608" s="271"/>
      <c r="G608" s="273">
        <f>(B608-B607)/B607</f>
        <v>5.775695536733144E-3</v>
      </c>
      <c r="H608" s="4">
        <f t="shared" si="9"/>
        <v>2.9633594255257283E-2</v>
      </c>
      <c r="I608" s="271"/>
      <c r="J608" s="4"/>
    </row>
    <row r="609" spans="1:10" ht="14.25" customHeight="1" x14ac:dyDescent="0.3">
      <c r="A609" s="272">
        <v>44817</v>
      </c>
      <c r="B609" s="4">
        <v>18070.05</v>
      </c>
      <c r="C609" s="272">
        <v>44817</v>
      </c>
      <c r="D609" s="4">
        <v>4584.17</v>
      </c>
      <c r="E609" s="271"/>
      <c r="F609" s="271"/>
      <c r="G609" s="273">
        <f>(B609-B608)/B608</f>
        <v>7.4541364324403094E-3</v>
      </c>
      <c r="H609" s="4">
        <f t="shared" si="9"/>
        <v>-7.1063768957196028E-3</v>
      </c>
      <c r="I609" s="271"/>
      <c r="J609" s="4"/>
    </row>
    <row r="610" spans="1:10" ht="14.25" customHeight="1" x14ac:dyDescent="0.3">
      <c r="A610" s="272">
        <v>44818</v>
      </c>
      <c r="B610" s="4">
        <v>18003.75</v>
      </c>
      <c r="C610" s="272">
        <v>44818</v>
      </c>
      <c r="D610" s="4">
        <v>4431.09</v>
      </c>
      <c r="E610" s="271"/>
      <c r="F610" s="271"/>
      <c r="G610" s="273">
        <f>(B610-B609)/B609</f>
        <v>-3.6690545958643875E-3</v>
      </c>
      <c r="H610" s="4">
        <f t="shared" si="9"/>
        <v>-3.3393176954606814E-2</v>
      </c>
      <c r="I610" s="271"/>
      <c r="J610" s="4"/>
    </row>
    <row r="611" spans="1:10" ht="14.25" customHeight="1" x14ac:dyDescent="0.3">
      <c r="A611" s="272">
        <v>44819</v>
      </c>
      <c r="B611" s="4">
        <v>17877.400000000001</v>
      </c>
      <c r="C611" s="272">
        <v>44819</v>
      </c>
      <c r="D611" s="4">
        <v>4410.08</v>
      </c>
      <c r="E611" s="271"/>
      <c r="F611" s="271"/>
      <c r="G611" s="273">
        <f>(B611-B610)/B610</f>
        <v>-7.0179823647850336E-3</v>
      </c>
      <c r="H611" s="4">
        <f t="shared" si="9"/>
        <v>-4.7414970131503123E-3</v>
      </c>
      <c r="I611" s="271"/>
      <c r="J611" s="4"/>
    </row>
    <row r="612" spans="1:10" ht="14.25" customHeight="1" x14ac:dyDescent="0.3">
      <c r="A612" s="272">
        <v>44820</v>
      </c>
      <c r="B612" s="4">
        <v>17530.849999999999</v>
      </c>
      <c r="C612" s="272">
        <v>44820</v>
      </c>
      <c r="D612" s="4">
        <v>4201.92</v>
      </c>
      <c r="E612" s="271"/>
      <c r="F612" s="271"/>
      <c r="G612" s="273">
        <f>(B612-B611)/B611</f>
        <v>-1.9384809871681726E-2</v>
      </c>
      <c r="H612" s="4">
        <f t="shared" si="9"/>
        <v>-4.7200957805754055E-2</v>
      </c>
      <c r="I612" s="271"/>
      <c r="J612" s="4"/>
    </row>
    <row r="613" spans="1:10" ht="14.25" customHeight="1" x14ac:dyDescent="0.3">
      <c r="A613" s="272">
        <v>44823</v>
      </c>
      <c r="B613" s="4">
        <v>17622.25</v>
      </c>
      <c r="C613" s="272">
        <v>44823</v>
      </c>
      <c r="D613" s="4">
        <v>4177.6499999999996</v>
      </c>
      <c r="E613" s="271"/>
      <c r="F613" s="271"/>
      <c r="G613" s="273">
        <f>(B613-B612)/B612</f>
        <v>5.2136661941663675E-3</v>
      </c>
      <c r="H613" s="4">
        <f t="shared" si="9"/>
        <v>-5.7759310029701742E-3</v>
      </c>
      <c r="I613" s="271"/>
      <c r="J613" s="4"/>
    </row>
    <row r="614" spans="1:10" ht="14.25" customHeight="1" x14ac:dyDescent="0.3">
      <c r="A614" s="272">
        <v>44824</v>
      </c>
      <c r="B614" s="4">
        <v>17816.25</v>
      </c>
      <c r="C614" s="272">
        <v>44824</v>
      </c>
      <c r="D614" s="4">
        <v>4227.1099999999997</v>
      </c>
      <c r="E614" s="271"/>
      <c r="F614" s="271"/>
      <c r="G614" s="273">
        <f>(B614-B613)/B613</f>
        <v>1.1008809885230319E-2</v>
      </c>
      <c r="H614" s="4">
        <f t="shared" si="9"/>
        <v>1.1839191890177502E-2</v>
      </c>
      <c r="I614" s="271"/>
      <c r="J614" s="4"/>
    </row>
    <row r="615" spans="1:10" ht="14.25" customHeight="1" x14ac:dyDescent="0.3">
      <c r="A615" s="272">
        <v>44825</v>
      </c>
      <c r="B615" s="4">
        <v>17718.349999999999</v>
      </c>
      <c r="C615" s="272">
        <v>44825</v>
      </c>
      <c r="D615" s="4">
        <v>4232.05</v>
      </c>
      <c r="E615" s="271"/>
      <c r="F615" s="271"/>
      <c r="G615" s="273">
        <f>(B615-B614)/B614</f>
        <v>-5.4949835122431179E-3</v>
      </c>
      <c r="H615" s="4">
        <f t="shared" si="9"/>
        <v>1.1686471371694868E-3</v>
      </c>
      <c r="I615" s="271"/>
      <c r="J615" s="4"/>
    </row>
    <row r="616" spans="1:10" ht="14.25" customHeight="1" x14ac:dyDescent="0.3">
      <c r="A616" s="272">
        <v>44826</v>
      </c>
      <c r="B616" s="4">
        <v>17629.8</v>
      </c>
      <c r="C616" s="272">
        <v>44826</v>
      </c>
      <c r="D616" s="4">
        <v>4252.1000000000004</v>
      </c>
      <c r="E616" s="271"/>
      <c r="F616" s="271"/>
      <c r="G616" s="273">
        <f>(B616-B615)/B615</f>
        <v>-4.997643685783342E-3</v>
      </c>
      <c r="H616" s="4">
        <f t="shared" si="9"/>
        <v>4.7376566912017059E-3</v>
      </c>
      <c r="I616" s="271"/>
      <c r="J616" s="4"/>
    </row>
    <row r="617" spans="1:10" ht="14.25" customHeight="1" x14ac:dyDescent="0.3">
      <c r="A617" s="272">
        <v>44827</v>
      </c>
      <c r="B617" s="4">
        <v>17327.349999999999</v>
      </c>
      <c r="C617" s="272">
        <v>44827</v>
      </c>
      <c r="D617" s="4">
        <v>4238.7700000000004</v>
      </c>
      <c r="E617" s="271"/>
      <c r="F617" s="271"/>
      <c r="G617" s="273">
        <f>(B617-B616)/B616</f>
        <v>-1.7155611521401305E-2</v>
      </c>
      <c r="H617" s="4">
        <f t="shared" si="9"/>
        <v>-3.1349215681663006E-3</v>
      </c>
      <c r="I617" s="271"/>
      <c r="J617" s="4"/>
    </row>
    <row r="618" spans="1:10" ht="14.25" customHeight="1" x14ac:dyDescent="0.3">
      <c r="A618" s="272">
        <v>44830</v>
      </c>
      <c r="B618" s="4">
        <v>17016.3</v>
      </c>
      <c r="C618" s="272">
        <v>44830</v>
      </c>
      <c r="D618" s="4">
        <v>4232.05</v>
      </c>
      <c r="E618" s="271"/>
      <c r="F618" s="271"/>
      <c r="G618" s="273">
        <f>(B618-B617)/B617</f>
        <v>-1.7951388989083692E-2</v>
      </c>
      <c r="H618" s="4">
        <f t="shared" si="9"/>
        <v>-1.5853655659543344E-3</v>
      </c>
      <c r="I618" s="271"/>
      <c r="J618" s="4"/>
    </row>
    <row r="619" spans="1:10" ht="14.25" customHeight="1" x14ac:dyDescent="0.3">
      <c r="A619" s="272">
        <v>44831</v>
      </c>
      <c r="B619" s="4">
        <v>17007.400000000001</v>
      </c>
      <c r="C619" s="272">
        <v>44831</v>
      </c>
      <c r="D619" s="4">
        <v>4330.0600000000004</v>
      </c>
      <c r="E619" s="271"/>
      <c r="F619" s="271"/>
      <c r="G619" s="273">
        <f>(B619-B618)/B618</f>
        <v>-5.2302792028806604E-4</v>
      </c>
      <c r="H619" s="4">
        <f t="shared" si="9"/>
        <v>2.3158989142377857E-2</v>
      </c>
      <c r="I619" s="271"/>
      <c r="J619" s="4"/>
    </row>
    <row r="620" spans="1:10" ht="14.25" customHeight="1" x14ac:dyDescent="0.3">
      <c r="A620" s="272">
        <v>44832</v>
      </c>
      <c r="B620" s="4">
        <v>16858.599999999999</v>
      </c>
      <c r="C620" s="272">
        <v>44832</v>
      </c>
      <c r="D620" s="4">
        <v>4342.63</v>
      </c>
      <c r="E620" s="271"/>
      <c r="F620" s="271"/>
      <c r="G620" s="273">
        <f>(B620-B619)/B619</f>
        <v>-8.7491327304586759E-3</v>
      </c>
      <c r="H620" s="4">
        <f t="shared" si="9"/>
        <v>2.9029620836662096E-3</v>
      </c>
      <c r="I620" s="271"/>
      <c r="J620" s="4"/>
    </row>
    <row r="621" spans="1:10" ht="14.25" customHeight="1" x14ac:dyDescent="0.3">
      <c r="A621" s="272">
        <v>44833</v>
      </c>
      <c r="B621" s="4">
        <v>16818.099999999999</v>
      </c>
      <c r="C621" s="272">
        <v>44833</v>
      </c>
      <c r="D621" s="4">
        <v>4260.21</v>
      </c>
      <c r="E621" s="271"/>
      <c r="F621" s="271"/>
      <c r="G621" s="273">
        <f>(B621-B620)/B620</f>
        <v>-2.4023347134400248E-3</v>
      </c>
      <c r="H621" s="4">
        <f t="shared" si="9"/>
        <v>-1.8979282140085634E-2</v>
      </c>
      <c r="I621" s="271"/>
      <c r="J621" s="4"/>
    </row>
    <row r="622" spans="1:10" ht="14.25" customHeight="1" x14ac:dyDescent="0.3">
      <c r="A622" s="272">
        <v>44834</v>
      </c>
      <c r="B622" s="4">
        <v>17094.349999999999</v>
      </c>
      <c r="C622" s="272">
        <v>44834</v>
      </c>
      <c r="D622" s="4">
        <v>4277.1000000000004</v>
      </c>
      <c r="E622" s="271"/>
      <c r="F622" s="271"/>
      <c r="G622" s="273">
        <f>(B622-B621)/B621</f>
        <v>1.6425755584756899E-2</v>
      </c>
      <c r="H622" s="4">
        <f t="shared" si="9"/>
        <v>3.9645932946968171E-3</v>
      </c>
      <c r="I622" s="271"/>
      <c r="J622" s="4"/>
    </row>
    <row r="623" spans="1:10" ht="14.25" customHeight="1" x14ac:dyDescent="0.3">
      <c r="A623" s="272">
        <v>44837</v>
      </c>
      <c r="B623" s="4">
        <v>16887.349999999999</v>
      </c>
      <c r="C623" s="272">
        <v>44837</v>
      </c>
      <c r="D623" s="4">
        <v>4270.24</v>
      </c>
      <c r="E623" s="271"/>
      <c r="F623" s="271"/>
      <c r="G623" s="273">
        <f>(B623-B622)/B622</f>
        <v>-1.2109264172080249E-2</v>
      </c>
      <c r="H623" s="4">
        <f t="shared" si="9"/>
        <v>-1.6038904865447574E-3</v>
      </c>
      <c r="I623" s="271"/>
      <c r="J623" s="4"/>
    </row>
    <row r="624" spans="1:10" ht="14.25" customHeight="1" x14ac:dyDescent="0.3">
      <c r="A624" s="272">
        <v>44838</v>
      </c>
      <c r="B624" s="4">
        <v>17274.3</v>
      </c>
      <c r="C624" s="272">
        <v>44838</v>
      </c>
      <c r="D624" s="4">
        <v>4402.0600000000004</v>
      </c>
      <c r="E624" s="271"/>
      <c r="F624" s="271"/>
      <c r="G624" s="273">
        <f>(B624-B623)/B623</f>
        <v>2.2913601009039355E-2</v>
      </c>
      <c r="H624" s="4">
        <f t="shared" si="9"/>
        <v>3.0869459327813101E-2</v>
      </c>
      <c r="I624" s="271"/>
      <c r="J624" s="4"/>
    </row>
    <row r="625" spans="1:10" ht="14.25" customHeight="1" x14ac:dyDescent="0.3">
      <c r="A625" s="272">
        <v>44840</v>
      </c>
      <c r="B625" s="4">
        <v>17331.8</v>
      </c>
      <c r="C625" s="272">
        <v>44840</v>
      </c>
      <c r="D625" s="4">
        <v>4477.09</v>
      </c>
      <c r="E625" s="271"/>
      <c r="F625" s="271"/>
      <c r="G625" s="273">
        <f>(B625-B624)/B624</f>
        <v>3.3286442865991675E-3</v>
      </c>
      <c r="H625" s="4">
        <f t="shared" si="9"/>
        <v>1.7044292899233482E-2</v>
      </c>
      <c r="I625" s="271"/>
      <c r="J625" s="4"/>
    </row>
    <row r="626" spans="1:10" ht="14.25" customHeight="1" x14ac:dyDescent="0.3">
      <c r="A626" s="272">
        <v>44841</v>
      </c>
      <c r="B626" s="4">
        <v>17314.650000000001</v>
      </c>
      <c r="C626" s="272">
        <v>44841</v>
      </c>
      <c r="D626" s="4">
        <v>4456.8999999999996</v>
      </c>
      <c r="E626" s="271"/>
      <c r="F626" s="271"/>
      <c r="G626" s="273">
        <f>(B626-B625)/B625</f>
        <v>-9.8951061055388466E-4</v>
      </c>
      <c r="H626" s="4">
        <f t="shared" si="9"/>
        <v>-4.5096256720326168E-3</v>
      </c>
      <c r="I626" s="271"/>
      <c r="J626" s="4"/>
    </row>
    <row r="627" spans="1:10" ht="14.25" customHeight="1" x14ac:dyDescent="0.3">
      <c r="A627" s="272">
        <v>44844</v>
      </c>
      <c r="B627" s="4">
        <v>17241</v>
      </c>
      <c r="C627" s="272">
        <v>44844</v>
      </c>
      <c r="D627" s="4">
        <v>4507.03</v>
      </c>
      <c r="E627" s="271"/>
      <c r="F627" s="271"/>
      <c r="G627" s="273">
        <f>(B627-B626)/B626</f>
        <v>-4.2536233767359695E-3</v>
      </c>
      <c r="H627" s="4">
        <f t="shared" si="9"/>
        <v>1.1247728241602934E-2</v>
      </c>
      <c r="I627" s="271"/>
      <c r="J627" s="4"/>
    </row>
    <row r="628" spans="1:10" ht="14.25" customHeight="1" x14ac:dyDescent="0.3">
      <c r="A628" s="272">
        <v>44845</v>
      </c>
      <c r="B628" s="4">
        <v>16983.55</v>
      </c>
      <c r="C628" s="272">
        <v>44845</v>
      </c>
      <c r="D628" s="4">
        <v>4417.99</v>
      </c>
      <c r="E628" s="271"/>
      <c r="F628" s="271"/>
      <c r="G628" s="273">
        <f>(B628-B627)/B627</f>
        <v>-1.4932428513427338E-2</v>
      </c>
      <c r="H628" s="4">
        <f t="shared" si="9"/>
        <v>-1.9755803711091334E-2</v>
      </c>
      <c r="I628" s="271"/>
      <c r="J628" s="4"/>
    </row>
    <row r="629" spans="1:10" ht="14.25" customHeight="1" x14ac:dyDescent="0.3">
      <c r="A629" s="272">
        <v>44846</v>
      </c>
      <c r="B629" s="4">
        <v>17123.599999999999</v>
      </c>
      <c r="C629" s="272">
        <v>44846</v>
      </c>
      <c r="D629" s="4">
        <v>4454.07</v>
      </c>
      <c r="E629" s="271"/>
      <c r="F629" s="271"/>
      <c r="G629" s="273">
        <f>(B629-B628)/B628</f>
        <v>8.2462147195373914E-3</v>
      </c>
      <c r="H629" s="4">
        <f t="shared" si="9"/>
        <v>8.1666097026022993E-3</v>
      </c>
      <c r="I629" s="271"/>
      <c r="J629" s="4"/>
    </row>
    <row r="630" spans="1:10" ht="14.25" customHeight="1" x14ac:dyDescent="0.3">
      <c r="A630" s="272">
        <v>44847</v>
      </c>
      <c r="B630" s="4">
        <v>17014.349999999999</v>
      </c>
      <c r="C630" s="272">
        <v>44847</v>
      </c>
      <c r="D630" s="4">
        <v>4410.41</v>
      </c>
      <c r="E630" s="271"/>
      <c r="F630" s="271"/>
      <c r="G630" s="273">
        <f>(B630-B629)/B629</f>
        <v>-6.3800836272746393E-3</v>
      </c>
      <c r="H630" s="4">
        <f t="shared" si="9"/>
        <v>-9.8022707321617879E-3</v>
      </c>
      <c r="I630" s="271"/>
      <c r="J630" s="4"/>
    </row>
    <row r="631" spans="1:10" ht="14.25" customHeight="1" x14ac:dyDescent="0.3">
      <c r="A631" s="272">
        <v>44848</v>
      </c>
      <c r="B631" s="4">
        <v>17185.7</v>
      </c>
      <c r="C631" s="272">
        <v>44848</v>
      </c>
      <c r="D631" s="4">
        <v>4479.25</v>
      </c>
      <c r="E631" s="271"/>
      <c r="F631" s="271"/>
      <c r="G631" s="273">
        <f>(B631-B630)/B630</f>
        <v>1.0070910731235821E-2</v>
      </c>
      <c r="H631" s="4">
        <f t="shared" si="9"/>
        <v>1.5608526191442552E-2</v>
      </c>
      <c r="I631" s="271"/>
      <c r="J631" s="4"/>
    </row>
    <row r="632" spans="1:10" ht="14.25" customHeight="1" x14ac:dyDescent="0.3">
      <c r="A632" s="272">
        <v>44851</v>
      </c>
      <c r="B632" s="4">
        <v>17311.8</v>
      </c>
      <c r="C632" s="272">
        <v>44851</v>
      </c>
      <c r="D632" s="4">
        <v>4453.63</v>
      </c>
      <c r="E632" s="271"/>
      <c r="F632" s="271"/>
      <c r="G632" s="273">
        <f>(B632-B631)/B631</f>
        <v>7.3374957086414019E-3</v>
      </c>
      <c r="H632" s="4">
        <f t="shared" si="9"/>
        <v>-5.7197075403248067E-3</v>
      </c>
      <c r="I632" s="271"/>
      <c r="J632" s="4"/>
    </row>
    <row r="633" spans="1:10" ht="14.25" customHeight="1" x14ac:dyDescent="0.3">
      <c r="A633" s="272">
        <v>44852</v>
      </c>
      <c r="B633" s="4">
        <v>17486.95</v>
      </c>
      <c r="C633" s="272">
        <v>44852</v>
      </c>
      <c r="D633" s="4">
        <v>4530.92</v>
      </c>
      <c r="E633" s="271"/>
      <c r="F633" s="271"/>
      <c r="G633" s="273">
        <f>(B633-B632)/B632</f>
        <v>1.0117376587067866E-2</v>
      </c>
      <c r="H633" s="4">
        <f t="shared" si="9"/>
        <v>1.735438282928756E-2</v>
      </c>
      <c r="I633" s="271"/>
      <c r="J633" s="4"/>
    </row>
    <row r="634" spans="1:10" ht="14.25" customHeight="1" x14ac:dyDescent="0.3">
      <c r="A634" s="272">
        <v>44853</v>
      </c>
      <c r="B634" s="4">
        <v>17512.25</v>
      </c>
      <c r="C634" s="272">
        <v>44853</v>
      </c>
      <c r="D634" s="4">
        <v>4504.25</v>
      </c>
      <c r="E634" s="271"/>
      <c r="F634" s="271"/>
      <c r="G634" s="273">
        <f>(B634-B633)/B633</f>
        <v>1.4467931800570867E-3</v>
      </c>
      <c r="H634" s="4">
        <f t="shared" si="9"/>
        <v>-5.8862217827726094E-3</v>
      </c>
      <c r="I634" s="271"/>
      <c r="J634" s="4"/>
    </row>
    <row r="635" spans="1:10" ht="14.25" customHeight="1" x14ac:dyDescent="0.3">
      <c r="A635" s="272">
        <v>44854</v>
      </c>
      <c r="B635" s="4">
        <v>17563.95</v>
      </c>
      <c r="C635" s="272">
        <v>44854</v>
      </c>
      <c r="D635" s="4">
        <v>4565.6499999999996</v>
      </c>
      <c r="E635" s="271"/>
      <c r="F635" s="271"/>
      <c r="G635" s="273">
        <f>(B635-B634)/B634</f>
        <v>2.9522191608731445E-3</v>
      </c>
      <c r="H635" s="4">
        <f t="shared" si="9"/>
        <v>1.3631570183715299E-2</v>
      </c>
      <c r="I635" s="271"/>
      <c r="J635" s="4"/>
    </row>
    <row r="636" spans="1:10" ht="14.25" customHeight="1" x14ac:dyDescent="0.3">
      <c r="A636" s="272">
        <v>44855</v>
      </c>
      <c r="B636" s="4">
        <v>17576.3</v>
      </c>
      <c r="C636" s="272">
        <v>44855</v>
      </c>
      <c r="D636" s="4">
        <v>4572.03</v>
      </c>
      <c r="E636" s="271"/>
      <c r="F636" s="271"/>
      <c r="G636" s="273">
        <f>(B636-B635)/B635</f>
        <v>7.0314479373936639E-4</v>
      </c>
      <c r="H636" s="4">
        <f t="shared" si="9"/>
        <v>1.397391390054014E-3</v>
      </c>
      <c r="I636" s="271"/>
      <c r="J636" s="4"/>
    </row>
    <row r="637" spans="1:10" ht="14.25" customHeight="1" x14ac:dyDescent="0.3">
      <c r="A637" s="272">
        <v>44858</v>
      </c>
      <c r="B637" s="4">
        <v>17730.75</v>
      </c>
      <c r="C637" s="272">
        <v>44858</v>
      </c>
      <c r="D637" s="4">
        <v>4546.17</v>
      </c>
      <c r="E637" s="271"/>
      <c r="F637" s="271"/>
      <c r="G637" s="273">
        <f>(B637-B636)/B636</f>
        <v>8.7874012164107767E-3</v>
      </c>
      <c r="H637" s="4">
        <f t="shared" si="9"/>
        <v>-5.6561308652829647E-3</v>
      </c>
      <c r="I637" s="271"/>
      <c r="J637" s="4"/>
    </row>
    <row r="638" spans="1:10" ht="14.25" customHeight="1" x14ac:dyDescent="0.3">
      <c r="A638" s="272">
        <v>44859</v>
      </c>
      <c r="B638" s="4">
        <v>17656.349999999999</v>
      </c>
      <c r="C638" s="272">
        <v>44859</v>
      </c>
      <c r="D638" s="4">
        <v>4614.68</v>
      </c>
      <c r="E638" s="271"/>
      <c r="F638" s="271"/>
      <c r="G638" s="273">
        <f>(B638-B637)/B637</f>
        <v>-4.1960999957701426E-3</v>
      </c>
      <c r="H638" s="4">
        <f t="shared" si="9"/>
        <v>1.5069828009071419E-2</v>
      </c>
      <c r="I638" s="271"/>
      <c r="J638" s="4"/>
    </row>
    <row r="639" spans="1:10" ht="14.25" customHeight="1" x14ac:dyDescent="0.3">
      <c r="A639" s="272">
        <v>44861</v>
      </c>
      <c r="B639" s="4">
        <v>17736.95</v>
      </c>
      <c r="C639" s="272">
        <v>44861</v>
      </c>
      <c r="D639" s="4">
        <v>4486.6400000000003</v>
      </c>
      <c r="E639" s="271"/>
      <c r="F639" s="271"/>
      <c r="G639" s="273">
        <f>(B639-B638)/B638</f>
        <v>4.564929897742296E-3</v>
      </c>
      <c r="H639" s="4">
        <f t="shared" si="9"/>
        <v>-2.7746235925351262E-2</v>
      </c>
      <c r="I639" s="271"/>
      <c r="J639" s="4"/>
    </row>
    <row r="640" spans="1:10" ht="14.25" customHeight="1" x14ac:dyDescent="0.3">
      <c r="A640" s="272">
        <v>44862</v>
      </c>
      <c r="B640" s="4">
        <v>17786.8</v>
      </c>
      <c r="C640" s="272">
        <v>44862</v>
      </c>
      <c r="D640" s="4">
        <v>4398.2700000000004</v>
      </c>
      <c r="E640" s="271"/>
      <c r="F640" s="271"/>
      <c r="G640" s="273">
        <f>(B640-B639)/B639</f>
        <v>2.8105170280120621E-3</v>
      </c>
      <c r="H640" s="4">
        <f t="shared" si="9"/>
        <v>-1.9696253766738558E-2</v>
      </c>
      <c r="I640" s="271"/>
      <c r="J640" s="4"/>
    </row>
    <row r="641" spans="1:10" ht="14.25" customHeight="1" x14ac:dyDescent="0.3">
      <c r="A641" s="272">
        <v>44865</v>
      </c>
      <c r="B641" s="4">
        <v>18012.2</v>
      </c>
      <c r="C641" s="272">
        <v>44865</v>
      </c>
      <c r="D641" s="4">
        <v>4547.66</v>
      </c>
      <c r="E641" s="271"/>
      <c r="F641" s="271"/>
      <c r="G641" s="273">
        <f>(B641-B640)/B640</f>
        <v>1.2672318798209991E-2</v>
      </c>
      <c r="H641" s="4">
        <f t="shared" si="9"/>
        <v>3.3965627394407213E-2</v>
      </c>
      <c r="I641" s="271"/>
      <c r="J641" s="4"/>
    </row>
    <row r="642" spans="1:10" ht="14.25" customHeight="1" x14ac:dyDescent="0.3">
      <c r="A642" s="272">
        <v>44866</v>
      </c>
      <c r="B642" s="4">
        <v>18145.400000000001</v>
      </c>
      <c r="C642" s="272">
        <v>44866</v>
      </c>
      <c r="D642" s="4">
        <v>4649.17</v>
      </c>
      <c r="E642" s="271"/>
      <c r="F642" s="271"/>
      <c r="G642" s="273">
        <f>(B642-B641)/B641</f>
        <v>7.3949878415740843E-3</v>
      </c>
      <c r="H642" s="4">
        <f t="shared" si="9"/>
        <v>2.2321369671435467E-2</v>
      </c>
      <c r="I642" s="271"/>
      <c r="J642" s="4"/>
    </row>
    <row r="643" spans="1:10" ht="14.25" customHeight="1" x14ac:dyDescent="0.3">
      <c r="A643" s="272">
        <v>44867</v>
      </c>
      <c r="B643" s="4">
        <v>18082.849999999999</v>
      </c>
      <c r="C643" s="272">
        <v>44867</v>
      </c>
      <c r="D643" s="4">
        <v>4662.8</v>
      </c>
      <c r="E643" s="271"/>
      <c r="F643" s="271"/>
      <c r="G643" s="273">
        <f>(B643-B642)/B642</f>
        <v>-3.4471546507656432E-3</v>
      </c>
      <c r="H643" s="4">
        <f t="shared" ref="H643:H706" si="10">(D643-D642)/D642</f>
        <v>2.9317060894740584E-3</v>
      </c>
      <c r="I643" s="271"/>
      <c r="J643" s="4"/>
    </row>
    <row r="644" spans="1:10" ht="14.25" customHeight="1" x14ac:dyDescent="0.3">
      <c r="A644" s="272">
        <v>44868</v>
      </c>
      <c r="B644" s="4">
        <v>18052.7</v>
      </c>
      <c r="C644" s="272">
        <v>44868</v>
      </c>
      <c r="D644" s="4">
        <v>4642.79</v>
      </c>
      <c r="E644" s="271"/>
      <c r="F644" s="271"/>
      <c r="G644" s="273">
        <f>(B644-B643)/B643</f>
        <v>-1.6673256704555874E-3</v>
      </c>
      <c r="H644" s="4">
        <f t="shared" si="10"/>
        <v>-4.2914128849618725E-3</v>
      </c>
      <c r="I644" s="271"/>
      <c r="J644" s="4"/>
    </row>
    <row r="645" spans="1:10" ht="14.25" customHeight="1" x14ac:dyDescent="0.3">
      <c r="A645" s="272">
        <v>44869</v>
      </c>
      <c r="B645" s="4">
        <v>18117.150000000001</v>
      </c>
      <c r="C645" s="272">
        <v>44869</v>
      </c>
      <c r="D645" s="4">
        <v>4611.99</v>
      </c>
      <c r="E645" s="271"/>
      <c r="F645" s="271"/>
      <c r="G645" s="273">
        <f>(B645-B644)/B644</f>
        <v>3.5701030870728878E-3</v>
      </c>
      <c r="H645" s="4">
        <f t="shared" si="10"/>
        <v>-6.6339420908548916E-3</v>
      </c>
      <c r="I645" s="271"/>
      <c r="J645" s="4"/>
    </row>
    <row r="646" spans="1:10" ht="14.25" customHeight="1" x14ac:dyDescent="0.3">
      <c r="A646" s="272">
        <v>44872</v>
      </c>
      <c r="B646" s="4">
        <v>18202.8</v>
      </c>
      <c r="C646" s="272">
        <v>44872</v>
      </c>
      <c r="D646" s="4">
        <v>4663.37</v>
      </c>
      <c r="E646" s="271"/>
      <c r="F646" s="271"/>
      <c r="G646" s="273">
        <f>(B646-B645)/B645</f>
        <v>4.7275647659812837E-3</v>
      </c>
      <c r="H646" s="4">
        <f t="shared" si="10"/>
        <v>1.1140527191082399E-2</v>
      </c>
      <c r="I646" s="271"/>
      <c r="J646" s="4"/>
    </row>
    <row r="647" spans="1:10" ht="14.25" customHeight="1" x14ac:dyDescent="0.3">
      <c r="A647" s="272">
        <v>44874</v>
      </c>
      <c r="B647" s="4">
        <v>18157</v>
      </c>
      <c r="C647" s="272">
        <v>44874</v>
      </c>
      <c r="D647" s="4">
        <v>4640.92</v>
      </c>
      <c r="E647" s="271"/>
      <c r="F647" s="271"/>
      <c r="G647" s="273">
        <f>(B647-B646)/B646</f>
        <v>-2.5160964247258263E-3</v>
      </c>
      <c r="H647" s="4">
        <f t="shared" si="10"/>
        <v>-4.8141151141770479E-3</v>
      </c>
      <c r="I647" s="271"/>
      <c r="J647" s="4"/>
    </row>
    <row r="648" spans="1:10" ht="14.25" customHeight="1" x14ac:dyDescent="0.3">
      <c r="A648" s="272">
        <v>44875</v>
      </c>
      <c r="B648" s="4">
        <v>18028.2</v>
      </c>
      <c r="C648" s="272">
        <v>44875</v>
      </c>
      <c r="D648" s="4">
        <v>4665.34</v>
      </c>
      <c r="E648" s="271"/>
      <c r="F648" s="271"/>
      <c r="G648" s="273">
        <f>(B648-B647)/B647</f>
        <v>-7.0936828771272385E-3</v>
      </c>
      <c r="H648" s="4">
        <f t="shared" si="10"/>
        <v>5.2618877291571659E-3</v>
      </c>
      <c r="I648" s="271"/>
      <c r="J648" s="4"/>
    </row>
    <row r="649" spans="1:10" ht="14.25" customHeight="1" x14ac:dyDescent="0.3">
      <c r="A649" s="272">
        <v>44876</v>
      </c>
      <c r="B649" s="4">
        <v>18349.7</v>
      </c>
      <c r="C649" s="272">
        <v>44876</v>
      </c>
      <c r="D649" s="4">
        <v>4852.91</v>
      </c>
      <c r="E649" s="271"/>
      <c r="F649" s="271"/>
      <c r="G649" s="273">
        <f>(B649-B648)/B648</f>
        <v>1.7833172474234809E-2</v>
      </c>
      <c r="H649" s="4">
        <f t="shared" si="10"/>
        <v>4.0205001136037179E-2</v>
      </c>
      <c r="I649" s="271"/>
      <c r="J649" s="4"/>
    </row>
    <row r="650" spans="1:10" ht="14.25" customHeight="1" x14ac:dyDescent="0.3">
      <c r="A650" s="272">
        <v>44879</v>
      </c>
      <c r="B650" s="4">
        <v>18329.150000000001</v>
      </c>
      <c r="C650" s="272">
        <v>44879</v>
      </c>
      <c r="D650" s="4">
        <v>4946.6499999999996</v>
      </c>
      <c r="E650" s="271"/>
      <c r="F650" s="271"/>
      <c r="G650" s="273">
        <f>(B650-B649)/B649</f>
        <v>-1.1199093173184995E-3</v>
      </c>
      <c r="H650" s="4">
        <f t="shared" si="10"/>
        <v>1.9316245304363728E-2</v>
      </c>
      <c r="I650" s="271"/>
      <c r="J650" s="4"/>
    </row>
    <row r="651" spans="1:10" ht="14.25" customHeight="1" x14ac:dyDescent="0.3">
      <c r="A651" s="272">
        <v>44880</v>
      </c>
      <c r="B651" s="4">
        <v>18403.400000000001</v>
      </c>
      <c r="C651" s="272">
        <v>44880</v>
      </c>
      <c r="D651" s="4">
        <v>4927.22</v>
      </c>
      <c r="E651" s="271"/>
      <c r="F651" s="271"/>
      <c r="G651" s="273">
        <f>(B651-B650)/B650</f>
        <v>4.0509243472828796E-3</v>
      </c>
      <c r="H651" s="4">
        <f t="shared" si="10"/>
        <v>-3.9279108083247012E-3</v>
      </c>
      <c r="I651" s="271"/>
      <c r="J651" s="4"/>
    </row>
    <row r="652" spans="1:10" ht="14.25" customHeight="1" x14ac:dyDescent="0.3">
      <c r="A652" s="272">
        <v>44881</v>
      </c>
      <c r="B652" s="4">
        <v>18409.650000000001</v>
      </c>
      <c r="C652" s="272">
        <v>44881</v>
      </c>
      <c r="D652" s="4">
        <v>4843.3599999999997</v>
      </c>
      <c r="E652" s="271"/>
      <c r="F652" s="271"/>
      <c r="G652" s="273">
        <f>(B652-B651)/B651</f>
        <v>3.3961115880761162E-4</v>
      </c>
      <c r="H652" s="4">
        <f t="shared" si="10"/>
        <v>-1.7019739325623898E-2</v>
      </c>
      <c r="I652" s="271"/>
      <c r="J652" s="4"/>
    </row>
    <row r="653" spans="1:10" ht="14.25" customHeight="1" x14ac:dyDescent="0.3">
      <c r="A653" s="272">
        <v>44882</v>
      </c>
      <c r="B653" s="4">
        <v>18343.900000000001</v>
      </c>
      <c r="C653" s="272">
        <v>44882</v>
      </c>
      <c r="D653" s="4">
        <v>4730.1000000000004</v>
      </c>
      <c r="E653" s="271"/>
      <c r="F653" s="271"/>
      <c r="G653" s="273">
        <f>(B653-B652)/B652</f>
        <v>-3.571496470601016E-3</v>
      </c>
      <c r="H653" s="4">
        <f t="shared" si="10"/>
        <v>-2.3384592514287462E-2</v>
      </c>
      <c r="I653" s="271"/>
      <c r="J653" s="4"/>
    </row>
    <row r="654" spans="1:10" ht="14.25" customHeight="1" x14ac:dyDescent="0.3">
      <c r="A654" s="272">
        <v>44883</v>
      </c>
      <c r="B654" s="4">
        <v>18307.650000000001</v>
      </c>
      <c r="C654" s="272">
        <v>44883</v>
      </c>
      <c r="D654" s="4">
        <v>4697.38</v>
      </c>
      <c r="E654" s="271"/>
      <c r="F654" s="271"/>
      <c r="G654" s="273">
        <f>(B654-B653)/B653</f>
        <v>-1.9761337556353882E-3</v>
      </c>
      <c r="H654" s="4">
        <f t="shared" si="10"/>
        <v>-6.9174013234393041E-3</v>
      </c>
      <c r="I654" s="271"/>
      <c r="J654" s="4"/>
    </row>
    <row r="655" spans="1:10" ht="14.25" customHeight="1" x14ac:dyDescent="0.3">
      <c r="A655" s="272">
        <v>44886</v>
      </c>
      <c r="B655" s="4">
        <v>18159.95</v>
      </c>
      <c r="C655" s="272">
        <v>44886</v>
      </c>
      <c r="D655" s="4">
        <v>4573.57</v>
      </c>
      <c r="E655" s="271"/>
      <c r="F655" s="271"/>
      <c r="G655" s="273">
        <f>(B655-B654)/B654</f>
        <v>-8.0676657025888481E-3</v>
      </c>
      <c r="H655" s="4">
        <f t="shared" si="10"/>
        <v>-2.6357245954127705E-2</v>
      </c>
      <c r="I655" s="271"/>
      <c r="J655" s="4"/>
    </row>
    <row r="656" spans="1:10" ht="14.25" customHeight="1" x14ac:dyDescent="0.3">
      <c r="A656" s="272">
        <v>44887</v>
      </c>
      <c r="B656" s="4">
        <v>18244.2</v>
      </c>
      <c r="C656" s="272">
        <v>44887</v>
      </c>
      <c r="D656" s="4">
        <v>4563.3</v>
      </c>
      <c r="E656" s="271"/>
      <c r="F656" s="271"/>
      <c r="G656" s="273">
        <f>(B656-B655)/B655</f>
        <v>4.6393299541022965E-3</v>
      </c>
      <c r="H656" s="4">
        <f t="shared" si="10"/>
        <v>-2.2455106186194873E-3</v>
      </c>
      <c r="I656" s="271"/>
      <c r="J656" s="4"/>
    </row>
    <row r="657" spans="1:10" ht="14.25" customHeight="1" x14ac:dyDescent="0.3">
      <c r="A657" s="272">
        <v>44888</v>
      </c>
      <c r="B657" s="4">
        <v>18267.25</v>
      </c>
      <c r="C657" s="272">
        <v>44888</v>
      </c>
      <c r="D657" s="4">
        <v>4549.7700000000004</v>
      </c>
      <c r="E657" s="271"/>
      <c r="F657" s="271"/>
      <c r="G657" s="273">
        <f>(B657-B656)/B656</f>
        <v>1.2634152223720016E-3</v>
      </c>
      <c r="H657" s="4">
        <f t="shared" si="10"/>
        <v>-2.9649595687330976E-3</v>
      </c>
      <c r="I657" s="271"/>
      <c r="J657" s="4"/>
    </row>
    <row r="658" spans="1:10" ht="14.25" customHeight="1" x14ac:dyDescent="0.3">
      <c r="A658" s="272">
        <v>44889</v>
      </c>
      <c r="B658" s="4">
        <v>18484.099999999999</v>
      </c>
      <c r="C658" s="272">
        <v>44889</v>
      </c>
      <c r="D658" s="4">
        <v>4745.0200000000004</v>
      </c>
      <c r="E658" s="271"/>
      <c r="F658" s="271"/>
      <c r="G658" s="273">
        <f>(B658-B657)/B657</f>
        <v>1.1870971273727493E-2</v>
      </c>
      <c r="H658" s="4">
        <f t="shared" si="10"/>
        <v>4.291425720421032E-2</v>
      </c>
      <c r="I658" s="271"/>
      <c r="J658" s="4"/>
    </row>
    <row r="659" spans="1:10" ht="14.25" customHeight="1" x14ac:dyDescent="0.3">
      <c r="A659" s="272">
        <v>44890</v>
      </c>
      <c r="B659" s="4">
        <v>18512.75</v>
      </c>
      <c r="C659" s="272">
        <v>44890</v>
      </c>
      <c r="D659" s="4">
        <v>4738.0600000000004</v>
      </c>
      <c r="E659" s="271"/>
      <c r="F659" s="271"/>
      <c r="G659" s="273">
        <f>(B659-B658)/B658</f>
        <v>1.5499807943043728E-3</v>
      </c>
      <c r="H659" s="4">
        <f t="shared" si="10"/>
        <v>-1.4668009829252638E-3</v>
      </c>
      <c r="I659" s="271"/>
      <c r="J659" s="4"/>
    </row>
    <row r="660" spans="1:10" ht="14.25" customHeight="1" x14ac:dyDescent="0.3">
      <c r="A660" s="272">
        <v>44893</v>
      </c>
      <c r="B660" s="4">
        <v>18562.75</v>
      </c>
      <c r="C660" s="272">
        <v>44893</v>
      </c>
      <c r="D660" s="4">
        <v>4740.9399999999996</v>
      </c>
      <c r="E660" s="271"/>
      <c r="F660" s="271"/>
      <c r="G660" s="273">
        <f>(B660-B659)/B659</f>
        <v>2.7008413120687092E-3</v>
      </c>
      <c r="H660" s="4">
        <f t="shared" si="10"/>
        <v>6.0784371662646721E-4</v>
      </c>
      <c r="I660" s="271"/>
      <c r="J660" s="4"/>
    </row>
    <row r="661" spans="1:10" ht="14.25" customHeight="1" x14ac:dyDescent="0.3">
      <c r="A661" s="272">
        <v>44894</v>
      </c>
      <c r="B661" s="4">
        <v>18618.05</v>
      </c>
      <c r="C661" s="272">
        <v>44894</v>
      </c>
      <c r="D661" s="4">
        <v>4712.97</v>
      </c>
      <c r="E661" s="271"/>
      <c r="F661" s="271"/>
      <c r="G661" s="273">
        <f>(B661-B660)/B660</f>
        <v>2.9790844567749537E-3</v>
      </c>
      <c r="H661" s="4">
        <f t="shared" si="10"/>
        <v>-5.8996739043310712E-3</v>
      </c>
      <c r="I661" s="271"/>
      <c r="J661" s="4"/>
    </row>
    <row r="662" spans="1:10" ht="14.25" customHeight="1" x14ac:dyDescent="0.3">
      <c r="A662" s="272">
        <v>44895</v>
      </c>
      <c r="B662" s="4">
        <v>18758.349999999999</v>
      </c>
      <c r="C662" s="272">
        <v>44895</v>
      </c>
      <c r="D662" s="4">
        <v>4642.3599999999997</v>
      </c>
      <c r="E662" s="271"/>
      <c r="F662" s="271"/>
      <c r="G662" s="273">
        <f>(B662-B661)/B661</f>
        <v>7.5356978845797108E-3</v>
      </c>
      <c r="H662" s="4">
        <f t="shared" si="10"/>
        <v>-1.498206014466474E-2</v>
      </c>
      <c r="I662" s="271"/>
      <c r="J662" s="4"/>
    </row>
    <row r="663" spans="1:10" ht="14.25" customHeight="1" x14ac:dyDescent="0.3">
      <c r="A663" s="272">
        <v>44896</v>
      </c>
      <c r="B663" s="4">
        <v>18812.5</v>
      </c>
      <c r="C663" s="272">
        <v>44896</v>
      </c>
      <c r="D663" s="4">
        <v>4642.3599999999997</v>
      </c>
      <c r="E663" s="271"/>
      <c r="F663" s="271"/>
      <c r="G663" s="273">
        <f>(B663-B662)/B662</f>
        <v>2.8867144498317529E-3</v>
      </c>
      <c r="H663" s="4">
        <f t="shared" si="10"/>
        <v>0</v>
      </c>
      <c r="I663" s="271"/>
      <c r="J663" s="4"/>
    </row>
    <row r="664" spans="1:10" ht="14.25" customHeight="1" x14ac:dyDescent="0.3">
      <c r="A664" s="272">
        <v>44897</v>
      </c>
      <c r="B664" s="4">
        <v>18696.099999999999</v>
      </c>
      <c r="C664" s="272">
        <v>44897</v>
      </c>
      <c r="D664" s="4">
        <v>4642.3599999999997</v>
      </c>
      <c r="E664" s="271"/>
      <c r="F664" s="271"/>
      <c r="G664" s="273">
        <f>(B664-B663)/B663</f>
        <v>-6.1873754152824692E-3</v>
      </c>
      <c r="H664" s="4">
        <f t="shared" si="10"/>
        <v>0</v>
      </c>
      <c r="I664" s="271"/>
      <c r="J664" s="4"/>
    </row>
    <row r="665" spans="1:10" ht="14.25" customHeight="1" x14ac:dyDescent="0.3">
      <c r="A665" s="272">
        <v>44900</v>
      </c>
      <c r="B665" s="4">
        <v>18701.05</v>
      </c>
      <c r="C665" s="272">
        <v>44900</v>
      </c>
      <c r="D665" s="4">
        <v>4773.66</v>
      </c>
      <c r="E665" s="271"/>
      <c r="F665" s="271"/>
      <c r="G665" s="273">
        <f>(B665-B664)/B664</f>
        <v>2.6476109990857601E-4</v>
      </c>
      <c r="H665" s="4">
        <f t="shared" si="10"/>
        <v>2.8283028459662799E-2</v>
      </c>
      <c r="I665" s="271"/>
      <c r="J665" s="4"/>
    </row>
    <row r="666" spans="1:10" ht="14.25" customHeight="1" x14ac:dyDescent="0.3">
      <c r="A666" s="272">
        <v>44901</v>
      </c>
      <c r="B666" s="4">
        <v>18642.75</v>
      </c>
      <c r="C666" s="272">
        <v>44901</v>
      </c>
      <c r="D666" s="4">
        <v>4620.29</v>
      </c>
      <c r="E666" s="271"/>
      <c r="F666" s="271"/>
      <c r="G666" s="273">
        <f>(B666-B665)/B665</f>
        <v>-3.1174720136034756E-3</v>
      </c>
      <c r="H666" s="4">
        <f t="shared" si="10"/>
        <v>-3.2128387861724526E-2</v>
      </c>
      <c r="I666" s="271"/>
      <c r="J666" s="4"/>
    </row>
    <row r="667" spans="1:10" ht="14.25" customHeight="1" x14ac:dyDescent="0.3">
      <c r="A667" s="272">
        <v>44902</v>
      </c>
      <c r="B667" s="4">
        <v>18560.5</v>
      </c>
      <c r="C667" s="272">
        <v>44902</v>
      </c>
      <c r="D667" s="4">
        <v>4497.53</v>
      </c>
      <c r="E667" s="271"/>
      <c r="F667" s="271"/>
      <c r="G667" s="273">
        <f>(B667-B666)/B666</f>
        <v>-4.4119027503989484E-3</v>
      </c>
      <c r="H667" s="4">
        <f t="shared" si="10"/>
        <v>-2.6569760772592245E-2</v>
      </c>
      <c r="I667" s="271"/>
      <c r="J667" s="4"/>
    </row>
    <row r="668" spans="1:10" ht="14.25" customHeight="1" x14ac:dyDescent="0.3">
      <c r="A668" s="272">
        <v>44903</v>
      </c>
      <c r="B668" s="4">
        <v>18609.349999999999</v>
      </c>
      <c r="C668" s="272">
        <v>44903</v>
      </c>
      <c r="D668" s="4">
        <v>4373.95</v>
      </c>
      <c r="E668" s="271"/>
      <c r="F668" s="271"/>
      <c r="G668" s="273">
        <f>(B668-B667)/B667</f>
        <v>2.6319334069663286E-3</v>
      </c>
      <c r="H668" s="4">
        <f t="shared" si="10"/>
        <v>-2.7477304209199256E-2</v>
      </c>
      <c r="I668" s="271"/>
      <c r="J668" s="4"/>
    </row>
    <row r="669" spans="1:10" ht="14.25" customHeight="1" x14ac:dyDescent="0.3">
      <c r="A669" s="272">
        <v>44904</v>
      </c>
      <c r="B669" s="4">
        <v>18496.599999999999</v>
      </c>
      <c r="C669" s="272">
        <v>44904</v>
      </c>
      <c r="D669" s="4">
        <v>4223.2700000000004</v>
      </c>
      <c r="E669" s="271"/>
      <c r="F669" s="271"/>
      <c r="G669" s="273">
        <f>(B669-B668)/B668</f>
        <v>-6.0587822788007112E-3</v>
      </c>
      <c r="H669" s="4">
        <f t="shared" si="10"/>
        <v>-3.4449410715714487E-2</v>
      </c>
      <c r="I669" s="271"/>
      <c r="J669" s="4"/>
    </row>
    <row r="670" spans="1:10" ht="14.25" customHeight="1" x14ac:dyDescent="0.3">
      <c r="A670" s="272">
        <v>44907</v>
      </c>
      <c r="B670" s="4">
        <v>18497.150000000001</v>
      </c>
      <c r="C670" s="272">
        <v>44907</v>
      </c>
      <c r="D670" s="4">
        <v>4155.34</v>
      </c>
      <c r="E670" s="271"/>
      <c r="F670" s="271"/>
      <c r="G670" s="273">
        <f>(B670-B669)/B669</f>
        <v>2.9735194576457857E-5</v>
      </c>
      <c r="H670" s="4">
        <f t="shared" si="10"/>
        <v>-1.6084692667056637E-2</v>
      </c>
      <c r="I670" s="271"/>
      <c r="J670" s="4"/>
    </row>
    <row r="671" spans="1:10" ht="14.25" customHeight="1" x14ac:dyDescent="0.3">
      <c r="A671" s="272">
        <v>44908</v>
      </c>
      <c r="B671" s="4">
        <v>18608</v>
      </c>
      <c r="C671" s="272">
        <v>44908</v>
      </c>
      <c r="D671" s="4">
        <v>4142.72</v>
      </c>
      <c r="E671" s="271"/>
      <c r="F671" s="271"/>
      <c r="G671" s="273">
        <f>(B671-B670)/B670</f>
        <v>5.9928151093546055E-3</v>
      </c>
      <c r="H671" s="4">
        <f t="shared" si="10"/>
        <v>-3.0370559328478271E-3</v>
      </c>
      <c r="I671" s="271"/>
      <c r="J671" s="4"/>
    </row>
    <row r="672" spans="1:10" ht="14.25" customHeight="1" x14ac:dyDescent="0.3">
      <c r="A672" s="272">
        <v>44909</v>
      </c>
      <c r="B672" s="4">
        <v>18660.3</v>
      </c>
      <c r="C672" s="272">
        <v>44909</v>
      </c>
      <c r="D672" s="4">
        <v>4262.99</v>
      </c>
      <c r="E672" s="271"/>
      <c r="F672" s="271"/>
      <c r="G672" s="273">
        <f>(B672-B671)/B671</f>
        <v>2.8106190885640193E-3</v>
      </c>
      <c r="H672" s="4">
        <f t="shared" si="10"/>
        <v>2.9031650702919704E-2</v>
      </c>
      <c r="I672" s="271"/>
      <c r="J672" s="4"/>
    </row>
    <row r="673" spans="1:10" ht="14.25" customHeight="1" x14ac:dyDescent="0.3">
      <c r="A673" s="272">
        <v>44910</v>
      </c>
      <c r="B673" s="4">
        <v>18414.900000000001</v>
      </c>
      <c r="C673" s="272">
        <v>44910</v>
      </c>
      <c r="D673" s="4">
        <v>4155.68</v>
      </c>
      <c r="E673" s="271"/>
      <c r="F673" s="271"/>
      <c r="G673" s="273">
        <f>(B673-B672)/B672</f>
        <v>-1.3150913972444056E-2</v>
      </c>
      <c r="H673" s="4">
        <f t="shared" si="10"/>
        <v>-2.5172472841831554E-2</v>
      </c>
      <c r="I673" s="271"/>
      <c r="J673" s="4"/>
    </row>
    <row r="674" spans="1:10" ht="14.25" customHeight="1" x14ac:dyDescent="0.3">
      <c r="A674" s="272">
        <v>44911</v>
      </c>
      <c r="B674" s="4">
        <v>18269</v>
      </c>
      <c r="C674" s="272">
        <v>44911</v>
      </c>
      <c r="D674" s="4">
        <v>4160.5200000000004</v>
      </c>
      <c r="E674" s="271"/>
      <c r="F674" s="271"/>
      <c r="G674" s="273">
        <f>(B674-B673)/B673</f>
        <v>-7.9229319735649641E-3</v>
      </c>
      <c r="H674" s="4">
        <f t="shared" si="10"/>
        <v>1.1646710045047129E-3</v>
      </c>
      <c r="I674" s="271"/>
      <c r="J674" s="4"/>
    </row>
    <row r="675" spans="1:10" ht="14.25" customHeight="1" x14ac:dyDescent="0.3">
      <c r="A675" s="272">
        <v>44914</v>
      </c>
      <c r="B675" s="4">
        <v>18420.45</v>
      </c>
      <c r="C675" s="272">
        <v>44914</v>
      </c>
      <c r="D675" s="4">
        <v>4195.3</v>
      </c>
      <c r="E675" s="271"/>
      <c r="F675" s="271"/>
      <c r="G675" s="273">
        <f>(B675-B674)/B674</f>
        <v>8.2899994526247044E-3</v>
      </c>
      <c r="H675" s="4">
        <f t="shared" si="10"/>
        <v>8.3595319815791633E-3</v>
      </c>
      <c r="I675" s="271"/>
      <c r="J675" s="4"/>
    </row>
    <row r="676" spans="1:10" ht="14.25" customHeight="1" x14ac:dyDescent="0.3">
      <c r="A676" s="272">
        <v>44915</v>
      </c>
      <c r="B676" s="4">
        <v>18385.3</v>
      </c>
      <c r="C676" s="272">
        <v>44915</v>
      </c>
      <c r="D676" s="4">
        <v>4185.32</v>
      </c>
      <c r="E676" s="271"/>
      <c r="F676" s="271"/>
      <c r="G676" s="273">
        <f>(B676-B675)/B675</f>
        <v>-1.9082052827157562E-3</v>
      </c>
      <c r="H676" s="4">
        <f t="shared" si="10"/>
        <v>-2.3788525254452536E-3</v>
      </c>
      <c r="I676" s="271"/>
      <c r="J676" s="4"/>
    </row>
    <row r="677" spans="1:10" ht="14.25" customHeight="1" x14ac:dyDescent="0.3">
      <c r="A677" s="272">
        <v>44916</v>
      </c>
      <c r="B677" s="4">
        <v>18199.099999999999</v>
      </c>
      <c r="C677" s="272">
        <v>44916</v>
      </c>
      <c r="D677" s="4">
        <v>4244.8599999999997</v>
      </c>
      <c r="E677" s="271"/>
      <c r="F677" s="271"/>
      <c r="G677" s="273">
        <f>(B677-B676)/B676</f>
        <v>-1.0127656334136551E-2</v>
      </c>
      <c r="H677" s="4">
        <f t="shared" si="10"/>
        <v>1.4225913430753197E-2</v>
      </c>
      <c r="I677" s="271"/>
      <c r="J677" s="4"/>
    </row>
    <row r="678" spans="1:10" ht="14.25" customHeight="1" x14ac:dyDescent="0.3">
      <c r="A678" s="272">
        <v>44917</v>
      </c>
      <c r="B678" s="4">
        <v>18127.349999999999</v>
      </c>
      <c r="C678" s="272">
        <v>44917</v>
      </c>
      <c r="D678" s="4">
        <v>4200.96</v>
      </c>
      <c r="E678" s="271"/>
      <c r="F678" s="271"/>
      <c r="G678" s="273">
        <f>(B678-B677)/B677</f>
        <v>-3.9425026512300062E-3</v>
      </c>
      <c r="H678" s="4">
        <f t="shared" si="10"/>
        <v>-1.0341919403702274E-2</v>
      </c>
      <c r="I678" s="271"/>
      <c r="J678" s="4"/>
    </row>
    <row r="679" spans="1:10" ht="14.25" customHeight="1" x14ac:dyDescent="0.3">
      <c r="A679" s="272">
        <v>44918</v>
      </c>
      <c r="B679" s="4">
        <v>17806.8</v>
      </c>
      <c r="C679" s="272">
        <v>44918</v>
      </c>
      <c r="D679" s="4">
        <v>4093.55</v>
      </c>
      <c r="E679" s="271"/>
      <c r="F679" s="271"/>
      <c r="G679" s="273">
        <f>(B679-B678)/B678</f>
        <v>-1.7683224519855319E-2</v>
      </c>
      <c r="H679" s="4">
        <f t="shared" si="10"/>
        <v>-2.5567965417428361E-2</v>
      </c>
      <c r="I679" s="271"/>
      <c r="J679" s="4"/>
    </row>
    <row r="680" spans="1:10" ht="14.25" customHeight="1" x14ac:dyDescent="0.3">
      <c r="A680" s="272">
        <v>44921</v>
      </c>
      <c r="B680" s="4">
        <v>18014.599999999999</v>
      </c>
      <c r="C680" s="272">
        <v>44921</v>
      </c>
      <c r="D680" s="4">
        <v>4172.6099999999997</v>
      </c>
      <c r="E680" s="271"/>
      <c r="F680" s="271"/>
      <c r="G680" s="273">
        <f>(B680-B679)/B679</f>
        <v>1.1669699216029792E-2</v>
      </c>
      <c r="H680" s="4">
        <f t="shared" si="10"/>
        <v>1.9313309963234718E-2</v>
      </c>
      <c r="I680" s="271"/>
      <c r="J680" s="4"/>
    </row>
    <row r="681" spans="1:10" ht="14.25" customHeight="1" x14ac:dyDescent="0.3">
      <c r="A681" s="272">
        <v>44922</v>
      </c>
      <c r="B681" s="4">
        <v>18132.3</v>
      </c>
      <c r="C681" s="272">
        <v>44922</v>
      </c>
      <c r="D681" s="4">
        <v>4212.43</v>
      </c>
      <c r="E681" s="271"/>
      <c r="F681" s="271"/>
      <c r="G681" s="273">
        <f>(B681-B680)/B680</f>
        <v>6.5335894219133777E-3</v>
      </c>
      <c r="H681" s="4">
        <f t="shared" si="10"/>
        <v>9.5431875972114867E-3</v>
      </c>
      <c r="I681" s="271"/>
      <c r="J681" s="4"/>
    </row>
    <row r="682" spans="1:10" ht="14.25" customHeight="1" x14ac:dyDescent="0.3">
      <c r="A682" s="272">
        <v>44923</v>
      </c>
      <c r="B682" s="4">
        <v>18122.5</v>
      </c>
      <c r="C682" s="272">
        <v>44923</v>
      </c>
      <c r="D682" s="4">
        <v>4156.3500000000004</v>
      </c>
      <c r="E682" s="271"/>
      <c r="F682" s="271"/>
      <c r="G682" s="273">
        <f>(B682-B681)/B681</f>
        <v>-5.4047197542503008E-4</v>
      </c>
      <c r="H682" s="4">
        <f t="shared" si="10"/>
        <v>-1.3312980868524799E-2</v>
      </c>
      <c r="I682" s="271"/>
      <c r="J682" s="4"/>
    </row>
    <row r="683" spans="1:10" ht="14.25" customHeight="1" x14ac:dyDescent="0.3">
      <c r="A683" s="272">
        <v>44924</v>
      </c>
      <c r="B683" s="4">
        <v>18191</v>
      </c>
      <c r="C683" s="272">
        <v>44924</v>
      </c>
      <c r="D683" s="4">
        <v>4240.97</v>
      </c>
      <c r="E683" s="271"/>
      <c r="F683" s="271"/>
      <c r="G683" s="273">
        <f>(B683-B682)/B682</f>
        <v>3.7798317009242652E-3</v>
      </c>
      <c r="H683" s="4">
        <f t="shared" si="10"/>
        <v>2.0359209402480514E-2</v>
      </c>
      <c r="I683" s="271"/>
      <c r="J683" s="4"/>
    </row>
    <row r="684" spans="1:10" ht="14.25" customHeight="1" x14ac:dyDescent="0.3">
      <c r="A684" s="272">
        <v>44925</v>
      </c>
      <c r="B684" s="4">
        <v>18105.3</v>
      </c>
      <c r="C684" s="272">
        <v>44925</v>
      </c>
      <c r="D684" s="4">
        <v>4188.3900000000003</v>
      </c>
      <c r="E684" s="271"/>
      <c r="F684" s="271"/>
      <c r="G684" s="273">
        <f>(B684-B683)/B683</f>
        <v>-4.7111208839536439E-3</v>
      </c>
      <c r="H684" s="4">
        <f t="shared" si="10"/>
        <v>-1.2398107036833536E-2</v>
      </c>
      <c r="I684" s="271"/>
      <c r="J684" s="4"/>
    </row>
    <row r="685" spans="1:10" ht="14.25" customHeight="1" x14ac:dyDescent="0.3">
      <c r="A685" s="272">
        <v>44928</v>
      </c>
      <c r="B685" s="4">
        <v>18197.45</v>
      </c>
      <c r="C685" s="272">
        <v>44928</v>
      </c>
      <c r="D685" s="4">
        <v>4146.8500000000004</v>
      </c>
      <c r="E685" s="271"/>
      <c r="F685" s="271"/>
      <c r="G685" s="273">
        <f>(B685-B684)/B684</f>
        <v>5.0896698756718456E-3</v>
      </c>
      <c r="H685" s="4">
        <f t="shared" si="10"/>
        <v>-9.917892077862844E-3</v>
      </c>
      <c r="I685" s="271"/>
      <c r="J685" s="4"/>
    </row>
    <row r="686" spans="1:10" ht="14.25" customHeight="1" x14ac:dyDescent="0.3">
      <c r="A686" s="272">
        <v>44929</v>
      </c>
      <c r="B686" s="4">
        <v>18232.55</v>
      </c>
      <c r="C686" s="272">
        <v>44929</v>
      </c>
      <c r="D686" s="4">
        <v>4172.8</v>
      </c>
      <c r="E686" s="271"/>
      <c r="F686" s="271"/>
      <c r="G686" s="273">
        <f>(B686-B685)/B685</f>
        <v>1.9288416783669439E-3</v>
      </c>
      <c r="H686" s="4">
        <f t="shared" si="10"/>
        <v>6.2577619156708869E-3</v>
      </c>
      <c r="I686" s="271"/>
      <c r="J686" s="4"/>
    </row>
    <row r="687" spans="1:10" ht="14.25" customHeight="1" x14ac:dyDescent="0.3">
      <c r="A687" s="272">
        <v>44930</v>
      </c>
      <c r="B687" s="4">
        <v>18042.95</v>
      </c>
      <c r="C687" s="272">
        <v>44930</v>
      </c>
      <c r="D687" s="4">
        <v>4104.49</v>
      </c>
      <c r="E687" s="271"/>
      <c r="F687" s="271"/>
      <c r="G687" s="273">
        <f>(B687-B686)/B686</f>
        <v>-1.0398984234240332E-2</v>
      </c>
      <c r="H687" s="4">
        <f t="shared" si="10"/>
        <v>-1.6370302914110523E-2</v>
      </c>
      <c r="I687" s="271"/>
      <c r="J687" s="4"/>
    </row>
    <row r="688" spans="1:10" ht="14.25" customHeight="1" x14ac:dyDescent="0.3">
      <c r="A688" s="272">
        <v>44931</v>
      </c>
      <c r="B688" s="4">
        <v>17992.150000000001</v>
      </c>
      <c r="C688" s="272">
        <v>44931</v>
      </c>
      <c r="D688" s="4">
        <v>4087.46</v>
      </c>
      <c r="E688" s="271"/>
      <c r="F688" s="271"/>
      <c r="G688" s="273">
        <f>(B688-B687)/B687</f>
        <v>-2.8155041165662639E-3</v>
      </c>
      <c r="H688" s="4">
        <f t="shared" si="10"/>
        <v>-4.1491147499445108E-3</v>
      </c>
      <c r="I688" s="271"/>
      <c r="J688" s="4"/>
    </row>
    <row r="689" spans="1:10" ht="14.25" customHeight="1" x14ac:dyDescent="0.3">
      <c r="A689" s="272">
        <v>44932</v>
      </c>
      <c r="B689" s="4">
        <v>17859.45</v>
      </c>
      <c r="C689" s="272">
        <v>44932</v>
      </c>
      <c r="D689" s="4">
        <v>4027.4</v>
      </c>
      <c r="E689" s="271"/>
      <c r="F689" s="271"/>
      <c r="G689" s="273">
        <f>(B689-B688)/B688</f>
        <v>-7.3754387330030443E-3</v>
      </c>
      <c r="H689" s="4">
        <f t="shared" si="10"/>
        <v>-1.4693721773424069E-2</v>
      </c>
      <c r="I689" s="271"/>
      <c r="J689" s="4"/>
    </row>
    <row r="690" spans="1:10" ht="14.25" customHeight="1" x14ac:dyDescent="0.3">
      <c r="A690" s="272">
        <v>44935</v>
      </c>
      <c r="B690" s="4">
        <v>18101.2</v>
      </c>
      <c r="C690" s="272">
        <v>44935</v>
      </c>
      <c r="D690" s="4">
        <v>4121.09</v>
      </c>
      <c r="E690" s="271"/>
      <c r="F690" s="271"/>
      <c r="G690" s="273">
        <f>(B690-B689)/B689</f>
        <v>1.3536251116355766E-2</v>
      </c>
      <c r="H690" s="4">
        <f t="shared" si="10"/>
        <v>2.326314744003577E-2</v>
      </c>
      <c r="I690" s="271"/>
      <c r="J690" s="4"/>
    </row>
    <row r="691" spans="1:10" ht="14.25" customHeight="1" x14ac:dyDescent="0.3">
      <c r="A691" s="272">
        <v>44936</v>
      </c>
      <c r="B691" s="4">
        <v>17914.150000000001</v>
      </c>
      <c r="C691" s="272">
        <v>44936</v>
      </c>
      <c r="D691" s="4">
        <v>4060.02</v>
      </c>
      <c r="E691" s="271"/>
      <c r="F691" s="271"/>
      <c r="G691" s="273">
        <f>(B691-B690)/B690</f>
        <v>-1.0333569045146138E-2</v>
      </c>
      <c r="H691" s="4">
        <f t="shared" si="10"/>
        <v>-1.481889500107985E-2</v>
      </c>
      <c r="I691" s="271"/>
      <c r="J691" s="4"/>
    </row>
    <row r="692" spans="1:10" ht="14.25" customHeight="1" x14ac:dyDescent="0.3">
      <c r="A692" s="272">
        <v>44937</v>
      </c>
      <c r="B692" s="4">
        <v>17895.7</v>
      </c>
      <c r="C692" s="272">
        <v>44937</v>
      </c>
      <c r="D692" s="4">
        <v>4054.17</v>
      </c>
      <c r="E692" s="271"/>
      <c r="F692" s="271"/>
      <c r="G692" s="273">
        <f>(B692-B691)/B691</f>
        <v>-1.0299121085845951E-3</v>
      </c>
      <c r="H692" s="4">
        <f t="shared" si="10"/>
        <v>-1.4408796015782949E-3</v>
      </c>
      <c r="I692" s="271"/>
      <c r="J692" s="4"/>
    </row>
    <row r="693" spans="1:10" ht="14.25" customHeight="1" x14ac:dyDescent="0.3">
      <c r="A693" s="272">
        <v>44938</v>
      </c>
      <c r="B693" s="4">
        <v>17858.2</v>
      </c>
      <c r="C693" s="272">
        <v>44938</v>
      </c>
      <c r="D693" s="4">
        <v>4102.76</v>
      </c>
      <c r="E693" s="271"/>
      <c r="F693" s="271"/>
      <c r="G693" s="273">
        <f>(B693-B692)/B692</f>
        <v>-2.0954754494096348E-3</v>
      </c>
      <c r="H693" s="4">
        <f t="shared" si="10"/>
        <v>1.1985190556883442E-2</v>
      </c>
      <c r="I693" s="271"/>
      <c r="J693" s="4"/>
    </row>
    <row r="694" spans="1:10" ht="14.25" customHeight="1" x14ac:dyDescent="0.3">
      <c r="A694" s="272">
        <v>44939</v>
      </c>
      <c r="B694" s="4">
        <v>17956.599999999999</v>
      </c>
      <c r="C694" s="272">
        <v>44939</v>
      </c>
      <c r="D694" s="4">
        <v>4113.6000000000004</v>
      </c>
      <c r="E694" s="271"/>
      <c r="F694" s="271"/>
      <c r="G694" s="273">
        <f>(B694-B693)/B693</f>
        <v>5.5100738036307027E-3</v>
      </c>
      <c r="H694" s="4">
        <f t="shared" si="10"/>
        <v>2.6421238385867427E-3</v>
      </c>
      <c r="I694" s="271"/>
      <c r="J694" s="4"/>
    </row>
    <row r="695" spans="1:10" ht="14.25" customHeight="1" x14ac:dyDescent="0.3">
      <c r="A695" s="272">
        <v>44942</v>
      </c>
      <c r="B695" s="4">
        <v>17894.849999999999</v>
      </c>
      <c r="C695" s="272">
        <v>44942</v>
      </c>
      <c r="D695" s="4">
        <v>4103.58</v>
      </c>
      <c r="E695" s="271"/>
      <c r="F695" s="271"/>
      <c r="G695" s="273">
        <f>(B695-B694)/B694</f>
        <v>-3.4388469977612692E-3</v>
      </c>
      <c r="H695" s="4">
        <f t="shared" si="10"/>
        <v>-2.4358226371062903E-3</v>
      </c>
      <c r="I695" s="271"/>
      <c r="J695" s="4"/>
    </row>
    <row r="696" spans="1:10" ht="14.25" customHeight="1" x14ac:dyDescent="0.3">
      <c r="A696" s="272">
        <v>44943</v>
      </c>
      <c r="B696" s="4">
        <v>18053.3</v>
      </c>
      <c r="C696" s="272">
        <v>44943</v>
      </c>
      <c r="D696" s="4">
        <v>4100.9399999999996</v>
      </c>
      <c r="E696" s="271"/>
      <c r="F696" s="271"/>
      <c r="G696" s="273">
        <f>(B696-B695)/B695</f>
        <v>8.8545028318203697E-3</v>
      </c>
      <c r="H696" s="4">
        <f t="shared" si="10"/>
        <v>-6.433406927610349E-4</v>
      </c>
      <c r="I696" s="271"/>
      <c r="J696" s="4"/>
    </row>
    <row r="697" spans="1:10" ht="14.25" customHeight="1" x14ac:dyDescent="0.3">
      <c r="A697" s="272">
        <v>44944</v>
      </c>
      <c r="B697" s="4">
        <v>18165.349999999999</v>
      </c>
      <c r="C697" s="272">
        <v>44944</v>
      </c>
      <c r="D697" s="4">
        <v>4100.46</v>
      </c>
      <c r="E697" s="271"/>
      <c r="F697" s="271"/>
      <c r="G697" s="273">
        <f>(B697-B696)/B696</f>
        <v>6.2066215041017029E-3</v>
      </c>
      <c r="H697" s="4">
        <f t="shared" si="10"/>
        <v>-1.1704633571804598E-4</v>
      </c>
      <c r="I697" s="271"/>
      <c r="J697" s="4"/>
    </row>
    <row r="698" spans="1:10" ht="14.25" customHeight="1" x14ac:dyDescent="0.3">
      <c r="A698" s="272">
        <v>44945</v>
      </c>
      <c r="B698" s="4">
        <v>18107.849999999999</v>
      </c>
      <c r="C698" s="272">
        <v>44945</v>
      </c>
      <c r="D698" s="4">
        <v>4066.88</v>
      </c>
      <c r="E698" s="271"/>
      <c r="F698" s="271"/>
      <c r="G698" s="273">
        <f>(B698-B697)/B697</f>
        <v>-3.1653670311884994E-3</v>
      </c>
      <c r="H698" s="4">
        <f t="shared" si="10"/>
        <v>-8.1893251001107017E-3</v>
      </c>
      <c r="I698" s="271"/>
      <c r="J698" s="4"/>
    </row>
    <row r="699" spans="1:10" ht="14.25" customHeight="1" x14ac:dyDescent="0.3">
      <c r="A699" s="272">
        <v>44946</v>
      </c>
      <c r="B699" s="4">
        <v>18027.650000000001</v>
      </c>
      <c r="C699" s="272">
        <v>44946</v>
      </c>
      <c r="D699" s="4">
        <v>4094.99</v>
      </c>
      <c r="E699" s="271"/>
      <c r="F699" s="271"/>
      <c r="G699" s="273">
        <f>(B699-B698)/B698</f>
        <v>-4.4290183539181681E-3</v>
      </c>
      <c r="H699" s="4">
        <f t="shared" si="10"/>
        <v>6.9119324887873925E-3</v>
      </c>
      <c r="I699" s="271"/>
      <c r="J699" s="4"/>
    </row>
    <row r="700" spans="1:10" ht="14.25" customHeight="1" x14ac:dyDescent="0.3">
      <c r="A700" s="272">
        <v>44949</v>
      </c>
      <c r="B700" s="4">
        <v>18118.55</v>
      </c>
      <c r="C700" s="272">
        <v>44949</v>
      </c>
      <c r="D700" s="4">
        <v>4191.7</v>
      </c>
      <c r="E700" s="271"/>
      <c r="F700" s="271"/>
      <c r="G700" s="273">
        <f>(B700-B699)/B699</f>
        <v>5.0422545367808788E-3</v>
      </c>
      <c r="H700" s="4">
        <f t="shared" si="10"/>
        <v>2.3616663288555051E-2</v>
      </c>
      <c r="I700" s="271"/>
      <c r="J700" s="4"/>
    </row>
    <row r="701" spans="1:10" ht="14.25" customHeight="1" x14ac:dyDescent="0.3">
      <c r="A701" s="272">
        <v>44950</v>
      </c>
      <c r="B701" s="4">
        <v>18118.3</v>
      </c>
      <c r="C701" s="272">
        <v>44950</v>
      </c>
      <c r="D701" s="4">
        <v>4326.6000000000004</v>
      </c>
      <c r="E701" s="271"/>
      <c r="F701" s="271"/>
      <c r="G701" s="273">
        <f>(B701-B700)/B700</f>
        <v>-1.3798013637956681E-5</v>
      </c>
      <c r="H701" s="4">
        <f t="shared" si="10"/>
        <v>3.2182646658873618E-2</v>
      </c>
      <c r="I701" s="271"/>
      <c r="J701" s="4"/>
    </row>
    <row r="702" spans="1:10" ht="14.25" customHeight="1" x14ac:dyDescent="0.3">
      <c r="A702" s="272">
        <v>44951</v>
      </c>
      <c r="B702" s="4">
        <v>17891.95</v>
      </c>
      <c r="C702" s="272">
        <v>44951</v>
      </c>
      <c r="D702" s="4">
        <v>4251</v>
      </c>
      <c r="E702" s="271"/>
      <c r="F702" s="271"/>
      <c r="G702" s="273">
        <f>(B702-B701)/B701</f>
        <v>-1.2492893924926652E-2</v>
      </c>
      <c r="H702" s="4">
        <f t="shared" si="10"/>
        <v>-1.7473304673415697E-2</v>
      </c>
      <c r="I702" s="271"/>
      <c r="J702" s="4"/>
    </row>
    <row r="703" spans="1:10" ht="14.25" customHeight="1" x14ac:dyDescent="0.3">
      <c r="A703" s="272">
        <v>44953</v>
      </c>
      <c r="B703" s="4">
        <v>17604.349999999999</v>
      </c>
      <c r="C703" s="272">
        <v>44953</v>
      </c>
      <c r="D703" s="4">
        <v>4220.68</v>
      </c>
      <c r="E703" s="271"/>
      <c r="F703" s="271"/>
      <c r="G703" s="273">
        <f>(B703-B702)/B702</f>
        <v>-1.6074268036742903E-2</v>
      </c>
      <c r="H703" s="4">
        <f t="shared" si="10"/>
        <v>-7.1324394260173394E-3</v>
      </c>
      <c r="I703" s="271"/>
      <c r="J703" s="4"/>
    </row>
    <row r="704" spans="1:10" ht="14.25" customHeight="1" x14ac:dyDescent="0.3">
      <c r="A704" s="272">
        <v>44956</v>
      </c>
      <c r="B704" s="4">
        <v>17648.95</v>
      </c>
      <c r="C704" s="272">
        <v>44956</v>
      </c>
      <c r="D704" s="4">
        <v>4268.51</v>
      </c>
      <c r="E704" s="271"/>
      <c r="F704" s="271"/>
      <c r="G704" s="273">
        <f>(B704-B703)/B703</f>
        <v>2.5334647402489832E-3</v>
      </c>
      <c r="H704" s="4">
        <f t="shared" si="10"/>
        <v>1.1332297165385655E-2</v>
      </c>
      <c r="I704" s="271"/>
      <c r="J704" s="4"/>
    </row>
    <row r="705" spans="1:10" ht="14.25" customHeight="1" x14ac:dyDescent="0.3">
      <c r="A705" s="272">
        <v>44957</v>
      </c>
      <c r="B705" s="4">
        <v>17662.150000000001</v>
      </c>
      <c r="C705" s="272">
        <v>44957</v>
      </c>
      <c r="D705" s="4">
        <v>4210.34</v>
      </c>
      <c r="E705" s="271"/>
      <c r="F705" s="271"/>
      <c r="G705" s="273">
        <f>(B705-B704)/B704</f>
        <v>7.4791984792300546E-4</v>
      </c>
      <c r="H705" s="4">
        <f t="shared" si="10"/>
        <v>-1.3627706155075206E-2</v>
      </c>
      <c r="I705" s="271"/>
      <c r="J705" s="4"/>
    </row>
    <row r="706" spans="1:10" ht="14.25" customHeight="1" x14ac:dyDescent="0.3">
      <c r="A706" s="272">
        <v>44958</v>
      </c>
      <c r="B706" s="4">
        <v>17616.3</v>
      </c>
      <c r="C706" s="272">
        <v>44958</v>
      </c>
      <c r="D706" s="4">
        <v>4229.1899999999996</v>
      </c>
      <c r="E706" s="271"/>
      <c r="F706" s="271"/>
      <c r="G706" s="273">
        <f>(B706-B705)/B705</f>
        <v>-2.595946699580865E-3</v>
      </c>
      <c r="H706" s="4">
        <f t="shared" si="10"/>
        <v>4.477073110485009E-3</v>
      </c>
      <c r="I706" s="271"/>
      <c r="J706" s="4"/>
    </row>
    <row r="707" spans="1:10" ht="14.25" customHeight="1" x14ac:dyDescent="0.3">
      <c r="A707" s="272">
        <v>44959</v>
      </c>
      <c r="B707" s="4">
        <v>17610.400000000001</v>
      </c>
      <c r="C707" s="272">
        <v>44959</v>
      </c>
      <c r="D707" s="4">
        <v>4421.6099999999997</v>
      </c>
      <c r="E707" s="271"/>
      <c r="F707" s="271"/>
      <c r="G707" s="273">
        <f>(B707-B706)/B706</f>
        <v>-3.349170938277514E-4</v>
      </c>
      <c r="H707" s="4">
        <f t="shared" ref="H707:H770" si="11">(D707-D706)/D706</f>
        <v>4.5498074099295634E-2</v>
      </c>
      <c r="I707" s="271"/>
      <c r="J707" s="4"/>
    </row>
    <row r="708" spans="1:10" ht="14.25" customHeight="1" x14ac:dyDescent="0.3">
      <c r="A708" s="272">
        <v>44960</v>
      </c>
      <c r="B708" s="4">
        <v>17854.05</v>
      </c>
      <c r="C708" s="272">
        <v>44960</v>
      </c>
      <c r="D708" s="4">
        <v>4339.1499999999996</v>
      </c>
      <c r="E708" s="271"/>
      <c r="F708" s="271"/>
      <c r="G708" s="273">
        <f>(B708-B707)/B707</f>
        <v>1.3835574433289295E-2</v>
      </c>
      <c r="H708" s="4">
        <f t="shared" si="11"/>
        <v>-1.8649315520817087E-2</v>
      </c>
      <c r="I708" s="271"/>
      <c r="J708" s="4"/>
    </row>
    <row r="709" spans="1:10" ht="14.25" customHeight="1" x14ac:dyDescent="0.3">
      <c r="A709" s="272">
        <v>44963</v>
      </c>
      <c r="B709" s="4">
        <v>17764.599999999999</v>
      </c>
      <c r="C709" s="272">
        <v>44963</v>
      </c>
      <c r="D709" s="4">
        <v>4429.6000000000004</v>
      </c>
      <c r="E709" s="271"/>
      <c r="F709" s="271"/>
      <c r="G709" s="273">
        <f>(B709-B708)/B708</f>
        <v>-5.0100677437332555E-3</v>
      </c>
      <c r="H709" s="4">
        <f t="shared" si="11"/>
        <v>2.0845096389846107E-2</v>
      </c>
      <c r="I709" s="271"/>
      <c r="J709" s="4"/>
    </row>
    <row r="710" spans="1:10" ht="14.25" customHeight="1" x14ac:dyDescent="0.3">
      <c r="A710" s="272">
        <v>44964</v>
      </c>
      <c r="B710" s="4">
        <v>17721.5</v>
      </c>
      <c r="C710" s="272">
        <v>44964</v>
      </c>
      <c r="D710" s="4">
        <v>4427.87</v>
      </c>
      <c r="E710" s="271"/>
      <c r="F710" s="271"/>
      <c r="G710" s="273">
        <f>(B710-B709)/B709</f>
        <v>-2.4261734010334345E-3</v>
      </c>
      <c r="H710" s="4">
        <f t="shared" si="11"/>
        <v>-3.9055445186935003E-4</v>
      </c>
      <c r="I710" s="271"/>
      <c r="J710" s="4"/>
    </row>
    <row r="711" spans="1:10" ht="14.25" customHeight="1" x14ac:dyDescent="0.3">
      <c r="A711" s="272">
        <v>44965</v>
      </c>
      <c r="B711" s="4">
        <v>17871.7</v>
      </c>
      <c r="C711" s="272">
        <v>44965</v>
      </c>
      <c r="D711" s="4">
        <v>4543.96</v>
      </c>
      <c r="E711" s="271"/>
      <c r="F711" s="271"/>
      <c r="G711" s="273">
        <f>(B711-B710)/B710</f>
        <v>8.4755805095505874E-3</v>
      </c>
      <c r="H711" s="4">
        <f t="shared" si="11"/>
        <v>2.6218023564377489E-2</v>
      </c>
      <c r="I711" s="271"/>
      <c r="J711" s="4"/>
    </row>
    <row r="712" spans="1:10" ht="14.25" customHeight="1" x14ac:dyDescent="0.3">
      <c r="A712" s="272">
        <v>44966</v>
      </c>
      <c r="B712" s="4">
        <v>17893.45</v>
      </c>
      <c r="C712" s="272">
        <v>44966</v>
      </c>
      <c r="D712" s="4">
        <v>4525.6000000000004</v>
      </c>
      <c r="E712" s="271"/>
      <c r="F712" s="271"/>
      <c r="G712" s="273">
        <f>(B712-B711)/B711</f>
        <v>1.2170078951638623E-3</v>
      </c>
      <c r="H712" s="4">
        <f t="shared" si="11"/>
        <v>-4.0405285257792039E-3</v>
      </c>
      <c r="I712" s="271"/>
      <c r="J712" s="4"/>
    </row>
    <row r="713" spans="1:10" ht="14.25" customHeight="1" x14ac:dyDescent="0.3">
      <c r="A713" s="272">
        <v>44967</v>
      </c>
      <c r="B713" s="4">
        <v>17856.5</v>
      </c>
      <c r="C713" s="272">
        <v>44967</v>
      </c>
      <c r="D713" s="4">
        <v>4521.6899999999996</v>
      </c>
      <c r="E713" s="271"/>
      <c r="F713" s="271"/>
      <c r="G713" s="273">
        <f>(B713-B712)/B712</f>
        <v>-2.0650014390741151E-3</v>
      </c>
      <c r="H713" s="4">
        <f t="shared" si="11"/>
        <v>-8.6397383772334358E-4</v>
      </c>
      <c r="I713" s="271"/>
      <c r="J713" s="4"/>
    </row>
    <row r="714" spans="1:10" ht="14.25" customHeight="1" x14ac:dyDescent="0.3">
      <c r="A714" s="272">
        <v>44970</v>
      </c>
      <c r="B714" s="4">
        <v>17770.900000000001</v>
      </c>
      <c r="C714" s="272">
        <v>44970</v>
      </c>
      <c r="D714" s="4">
        <v>4453.6499999999996</v>
      </c>
      <c r="E714" s="271"/>
      <c r="F714" s="271"/>
      <c r="G714" s="273">
        <f>(B714-B713)/B713</f>
        <v>-4.7937725758126475E-3</v>
      </c>
      <c r="H714" s="4">
        <f t="shared" si="11"/>
        <v>-1.5047471188869642E-2</v>
      </c>
      <c r="I714" s="271"/>
      <c r="J714" s="4"/>
    </row>
    <row r="715" spans="1:10" ht="14.25" customHeight="1" x14ac:dyDescent="0.3">
      <c r="A715" s="272">
        <v>44971</v>
      </c>
      <c r="B715" s="4">
        <v>17929.849999999999</v>
      </c>
      <c r="C715" s="272">
        <v>44971</v>
      </c>
      <c r="D715" s="4">
        <v>4468.7299999999996</v>
      </c>
      <c r="E715" s="271"/>
      <c r="F715" s="271"/>
      <c r="G715" s="273">
        <f>(B715-B714)/B714</f>
        <v>8.9443978639234412E-3</v>
      </c>
      <c r="H715" s="4">
        <f t="shared" si="11"/>
        <v>3.385986774892488E-3</v>
      </c>
      <c r="I715" s="271"/>
      <c r="J715" s="4"/>
    </row>
    <row r="716" spans="1:10" ht="14.25" customHeight="1" x14ac:dyDescent="0.3">
      <c r="A716" s="272">
        <v>44972</v>
      </c>
      <c r="B716" s="4">
        <v>18015.849999999999</v>
      </c>
      <c r="C716" s="272">
        <v>44972</v>
      </c>
      <c r="D716" s="4">
        <v>4571.09</v>
      </c>
      <c r="E716" s="271"/>
      <c r="F716" s="271"/>
      <c r="G716" s="273">
        <f>(B716-B715)/B715</f>
        <v>4.7964706899388454E-3</v>
      </c>
      <c r="H716" s="4">
        <f t="shared" si="11"/>
        <v>2.2905836781367546E-2</v>
      </c>
      <c r="I716" s="271"/>
      <c r="J716" s="4"/>
    </row>
    <row r="717" spans="1:10" ht="14.25" customHeight="1" x14ac:dyDescent="0.3">
      <c r="A717" s="272">
        <v>44973</v>
      </c>
      <c r="B717" s="4">
        <v>18035.849999999999</v>
      </c>
      <c r="C717" s="272">
        <v>44973</v>
      </c>
      <c r="D717" s="4">
        <v>4768.8100000000004</v>
      </c>
      <c r="E717" s="271"/>
      <c r="F717" s="271"/>
      <c r="G717" s="273">
        <f>(B717-B716)/B716</f>
        <v>1.1101335768226312E-3</v>
      </c>
      <c r="H717" s="4">
        <f t="shared" si="11"/>
        <v>4.3254453532964837E-2</v>
      </c>
      <c r="I717" s="271"/>
      <c r="J717" s="4"/>
    </row>
    <row r="718" spans="1:10" ht="14.25" customHeight="1" x14ac:dyDescent="0.3">
      <c r="A718" s="272">
        <v>44974</v>
      </c>
      <c r="B718" s="4">
        <v>17944.2</v>
      </c>
      <c r="C718" s="272">
        <v>44974</v>
      </c>
      <c r="D718" s="4">
        <v>4682.3599999999997</v>
      </c>
      <c r="E718" s="271"/>
      <c r="F718" s="271"/>
      <c r="G718" s="273">
        <f>(B718-B717)/B717</f>
        <v>-5.0815459210404737E-3</v>
      </c>
      <c r="H718" s="4">
        <f t="shared" si="11"/>
        <v>-1.8128212279373831E-2</v>
      </c>
      <c r="I718" s="271"/>
      <c r="J718" s="4"/>
    </row>
    <row r="719" spans="1:10" ht="14.25" customHeight="1" x14ac:dyDescent="0.3">
      <c r="A719" s="272">
        <v>44977</v>
      </c>
      <c r="B719" s="4">
        <v>17844.599999999999</v>
      </c>
      <c r="C719" s="272">
        <v>44977</v>
      </c>
      <c r="D719" s="4">
        <v>4709.87</v>
      </c>
      <c r="E719" s="271"/>
      <c r="F719" s="271"/>
      <c r="G719" s="273">
        <f>(B719-B718)/B718</f>
        <v>-5.5505400073562585E-3</v>
      </c>
      <c r="H719" s="4">
        <f t="shared" si="11"/>
        <v>5.8752423991321086E-3</v>
      </c>
      <c r="I719" s="271"/>
      <c r="J719" s="4"/>
    </row>
    <row r="720" spans="1:10" ht="14.25" customHeight="1" x14ac:dyDescent="0.3">
      <c r="A720" s="272">
        <v>44978</v>
      </c>
      <c r="B720" s="4">
        <v>17826.7</v>
      </c>
      <c r="C720" s="272">
        <v>44978</v>
      </c>
      <c r="D720" s="4">
        <v>4702.21</v>
      </c>
      <c r="E720" s="271"/>
      <c r="F720" s="271"/>
      <c r="G720" s="273">
        <f>(B720-B719)/B719</f>
        <v>-1.0031045806573316E-3</v>
      </c>
      <c r="H720" s="4">
        <f t="shared" si="11"/>
        <v>-1.6263718531509053E-3</v>
      </c>
      <c r="I720" s="271"/>
      <c r="J720" s="4"/>
    </row>
    <row r="721" spans="1:10" ht="14.25" customHeight="1" x14ac:dyDescent="0.3">
      <c r="A721" s="272">
        <v>44979</v>
      </c>
      <c r="B721" s="4">
        <v>17554.3</v>
      </c>
      <c r="C721" s="272">
        <v>44979</v>
      </c>
      <c r="D721" s="4">
        <v>4631.28</v>
      </c>
      <c r="E721" s="271"/>
      <c r="F721" s="271"/>
      <c r="G721" s="273">
        <f>(B721-B720)/B720</f>
        <v>-1.5280450111349909E-2</v>
      </c>
      <c r="H721" s="4">
        <f t="shared" si="11"/>
        <v>-1.5084396485907751E-2</v>
      </c>
      <c r="I721" s="271"/>
      <c r="J721" s="4"/>
    </row>
    <row r="722" spans="1:10" ht="14.25" customHeight="1" x14ac:dyDescent="0.3">
      <c r="A722" s="272">
        <v>44980</v>
      </c>
      <c r="B722" s="4">
        <v>17511.25</v>
      </c>
      <c r="C722" s="272">
        <v>44980</v>
      </c>
      <c r="D722" s="4">
        <v>4677.83</v>
      </c>
      <c r="E722" s="271"/>
      <c r="F722" s="271"/>
      <c r="G722" s="273">
        <f>(B722-B721)/B721</f>
        <v>-2.4523905823643937E-3</v>
      </c>
      <c r="H722" s="4">
        <f t="shared" si="11"/>
        <v>1.005121694218449E-2</v>
      </c>
      <c r="I722" s="271"/>
      <c r="J722" s="4"/>
    </row>
    <row r="723" spans="1:10" ht="14.25" customHeight="1" x14ac:dyDescent="0.3">
      <c r="A723" s="272">
        <v>44981</v>
      </c>
      <c r="B723" s="4">
        <v>17465.8</v>
      </c>
      <c r="C723" s="272">
        <v>44981</v>
      </c>
      <c r="D723" s="4">
        <v>4677.78</v>
      </c>
      <c r="E723" s="271"/>
      <c r="F723" s="271"/>
      <c r="G723" s="273">
        <f>(B723-B722)/B722</f>
        <v>-2.5954743379256609E-3</v>
      </c>
      <c r="H723" s="4">
        <f t="shared" si="11"/>
        <v>-1.0688716776834963E-5</v>
      </c>
      <c r="I723" s="271"/>
      <c r="J723" s="4"/>
    </row>
    <row r="724" spans="1:10" ht="14.25" customHeight="1" x14ac:dyDescent="0.3">
      <c r="A724" s="272">
        <v>44984</v>
      </c>
      <c r="B724" s="4">
        <v>17392.7</v>
      </c>
      <c r="C724" s="272">
        <v>44984</v>
      </c>
      <c r="D724" s="4">
        <v>4602.07</v>
      </c>
      <c r="E724" s="271"/>
      <c r="F724" s="271"/>
      <c r="G724" s="273">
        <f>(B724-B723)/B723</f>
        <v>-4.1853221724741235E-3</v>
      </c>
      <c r="H724" s="4">
        <f t="shared" si="11"/>
        <v>-1.6185027940604311E-2</v>
      </c>
      <c r="I724" s="271"/>
      <c r="J724" s="4"/>
    </row>
    <row r="725" spans="1:10" ht="14.25" customHeight="1" x14ac:dyDescent="0.3">
      <c r="A725" s="272">
        <v>44985</v>
      </c>
      <c r="B725" s="4">
        <v>17303.95</v>
      </c>
      <c r="C725" s="272">
        <v>44985</v>
      </c>
      <c r="D725" s="4">
        <v>4551.04</v>
      </c>
      <c r="E725" s="271"/>
      <c r="F725" s="271"/>
      <c r="G725" s="273">
        <f>(B725-B724)/B724</f>
        <v>-5.1027155070805562E-3</v>
      </c>
      <c r="H725" s="4">
        <f t="shared" si="11"/>
        <v>-1.1088488441071029E-2</v>
      </c>
      <c r="I725" s="271"/>
      <c r="J725" s="4"/>
    </row>
    <row r="726" spans="1:10" ht="14.25" customHeight="1" x14ac:dyDescent="0.3">
      <c r="A726" s="272">
        <v>44986</v>
      </c>
      <c r="B726" s="4">
        <v>17450.900000000001</v>
      </c>
      <c r="C726" s="272">
        <v>44986</v>
      </c>
      <c r="D726" s="4">
        <v>4572</v>
      </c>
      <c r="E726" s="271"/>
      <c r="F726" s="271"/>
      <c r="G726" s="273">
        <f>(B726-B725)/B725</f>
        <v>8.4922806642414427E-3</v>
      </c>
      <c r="H726" s="4">
        <f t="shared" si="11"/>
        <v>4.6055407115736264E-3</v>
      </c>
      <c r="I726" s="271"/>
      <c r="J726" s="4"/>
    </row>
    <row r="727" spans="1:10" ht="14.25" customHeight="1" x14ac:dyDescent="0.3">
      <c r="A727" s="272">
        <v>44987</v>
      </c>
      <c r="B727" s="4">
        <v>17321.900000000001</v>
      </c>
      <c r="C727" s="272">
        <v>44987</v>
      </c>
      <c r="D727" s="4">
        <v>4535.1400000000003</v>
      </c>
      <c r="E727" s="271"/>
      <c r="F727" s="271"/>
      <c r="G727" s="273">
        <f>(B727-B726)/B726</f>
        <v>-7.392168885272392E-3</v>
      </c>
      <c r="H727" s="4">
        <f t="shared" si="11"/>
        <v>-8.062117235345511E-3</v>
      </c>
      <c r="I727" s="271"/>
      <c r="J727" s="4"/>
    </row>
    <row r="728" spans="1:10" ht="14.25" customHeight="1" x14ac:dyDescent="0.3">
      <c r="A728" s="272">
        <v>44988</v>
      </c>
      <c r="B728" s="4">
        <v>17594.349999999999</v>
      </c>
      <c r="C728" s="272">
        <v>44988</v>
      </c>
      <c r="D728" s="4">
        <v>4539.7700000000004</v>
      </c>
      <c r="E728" s="271"/>
      <c r="F728" s="271"/>
      <c r="G728" s="273">
        <f>(B728-B727)/B727</f>
        <v>1.5728644086387581E-2</v>
      </c>
      <c r="H728" s="4">
        <f t="shared" si="11"/>
        <v>1.0209166640941865E-3</v>
      </c>
      <c r="I728" s="271"/>
      <c r="J728" s="4"/>
    </row>
    <row r="729" spans="1:10" ht="14.25" customHeight="1" x14ac:dyDescent="0.3">
      <c r="A729" s="272">
        <v>44991</v>
      </c>
      <c r="B729" s="4">
        <v>17711.45</v>
      </c>
      <c r="C729" s="272">
        <v>44991</v>
      </c>
      <c r="D729" s="4">
        <v>4646.6000000000004</v>
      </c>
      <c r="E729" s="271"/>
      <c r="F729" s="271"/>
      <c r="G729" s="273">
        <f>(B729-B728)/B728</f>
        <v>6.6555456723324359E-3</v>
      </c>
      <c r="H729" s="4">
        <f t="shared" si="11"/>
        <v>2.3532029155662052E-2</v>
      </c>
      <c r="I729" s="271"/>
      <c r="J729" s="4"/>
    </row>
    <row r="730" spans="1:10" ht="14.25" customHeight="1" x14ac:dyDescent="0.3">
      <c r="A730" s="272">
        <v>44993</v>
      </c>
      <c r="B730" s="4">
        <v>17754.400000000001</v>
      </c>
      <c r="C730" s="272">
        <v>44993</v>
      </c>
      <c r="D730" s="4">
        <v>4608.29</v>
      </c>
      <c r="E730" s="271"/>
      <c r="F730" s="271"/>
      <c r="G730" s="273">
        <f>(B730-B729)/B729</f>
        <v>2.4249849673516695E-3</v>
      </c>
      <c r="H730" s="4">
        <f t="shared" si="11"/>
        <v>-8.2447380880644773E-3</v>
      </c>
      <c r="I730" s="271"/>
      <c r="J730" s="4"/>
    </row>
    <row r="731" spans="1:10" ht="14.25" customHeight="1" x14ac:dyDescent="0.3">
      <c r="A731" s="272">
        <v>44994</v>
      </c>
      <c r="B731" s="4">
        <v>17589.599999999999</v>
      </c>
      <c r="C731" s="272">
        <v>44994</v>
      </c>
      <c r="D731" s="4">
        <v>4566.41</v>
      </c>
      <c r="E731" s="271"/>
      <c r="F731" s="271"/>
      <c r="G731" s="273">
        <f>(B731-B730)/B730</f>
        <v>-9.2822061010230088E-3</v>
      </c>
      <c r="H731" s="4">
        <f t="shared" si="11"/>
        <v>-9.0879697241276289E-3</v>
      </c>
      <c r="I731" s="271"/>
      <c r="J731" s="4"/>
    </row>
    <row r="732" spans="1:10" ht="14.25" customHeight="1" x14ac:dyDescent="0.3">
      <c r="A732" s="272">
        <v>44995</v>
      </c>
      <c r="B732" s="4">
        <v>17412.900000000001</v>
      </c>
      <c r="C732" s="272">
        <v>44995</v>
      </c>
      <c r="D732" s="4">
        <v>4472.0600000000004</v>
      </c>
      <c r="E732" s="271"/>
      <c r="F732" s="271"/>
      <c r="G732" s="273">
        <f>(B732-B731)/B731</f>
        <v>-1.004570882794362E-2</v>
      </c>
      <c r="H732" s="4">
        <f t="shared" si="11"/>
        <v>-2.0661745222176602E-2</v>
      </c>
      <c r="I732" s="271"/>
      <c r="J732" s="4"/>
    </row>
    <row r="733" spans="1:10" ht="14.25" customHeight="1" x14ac:dyDescent="0.3">
      <c r="A733" s="272">
        <v>44998</v>
      </c>
      <c r="B733" s="4">
        <v>17154.3</v>
      </c>
      <c r="C733" s="272">
        <v>44998</v>
      </c>
      <c r="D733" s="4">
        <v>4448.83</v>
      </c>
      <c r="E733" s="271"/>
      <c r="F733" s="271"/>
      <c r="G733" s="273">
        <f>(B733-B732)/B732</f>
        <v>-1.4851058697862055E-2</v>
      </c>
      <c r="H733" s="4">
        <f t="shared" si="11"/>
        <v>-5.1944741349625161E-3</v>
      </c>
      <c r="I733" s="271"/>
      <c r="J733" s="4"/>
    </row>
    <row r="734" spans="1:10" ht="14.25" customHeight="1" x14ac:dyDescent="0.3">
      <c r="A734" s="272">
        <v>44999</v>
      </c>
      <c r="B734" s="4">
        <v>17043.3</v>
      </c>
      <c r="C734" s="272">
        <v>44999</v>
      </c>
      <c r="D734" s="4">
        <v>4401.5600000000004</v>
      </c>
      <c r="E734" s="271"/>
      <c r="F734" s="271"/>
      <c r="G734" s="273">
        <f>(B734-B733)/B733</f>
        <v>-6.4706808205522819E-3</v>
      </c>
      <c r="H734" s="4">
        <f t="shared" si="11"/>
        <v>-1.0625265519248774E-2</v>
      </c>
      <c r="I734" s="271"/>
      <c r="J734" s="4"/>
    </row>
    <row r="735" spans="1:10" ht="14.25" customHeight="1" x14ac:dyDescent="0.3">
      <c r="A735" s="272">
        <v>45000</v>
      </c>
      <c r="B735" s="4">
        <v>16972.150000000001</v>
      </c>
      <c r="C735" s="272">
        <v>45000</v>
      </c>
      <c r="D735" s="4">
        <v>4425.99</v>
      </c>
      <c r="E735" s="271"/>
      <c r="F735" s="271"/>
      <c r="G735" s="273">
        <f>(B735-B734)/B734</f>
        <v>-4.1746610104849311E-3</v>
      </c>
      <c r="H735" s="4">
        <f t="shared" si="11"/>
        <v>5.5503048919018213E-3</v>
      </c>
      <c r="I735" s="271"/>
      <c r="J735" s="4"/>
    </row>
    <row r="736" spans="1:10" ht="14.25" customHeight="1" x14ac:dyDescent="0.3">
      <c r="A736" s="272">
        <v>45001</v>
      </c>
      <c r="B736" s="4">
        <v>16985.599999999999</v>
      </c>
      <c r="C736" s="272">
        <v>45001</v>
      </c>
      <c r="D736" s="4">
        <v>4388.16</v>
      </c>
      <c r="E736" s="271"/>
      <c r="F736" s="271"/>
      <c r="G736" s="273">
        <f>(B736-B735)/B735</f>
        <v>7.9247473066153013E-4</v>
      </c>
      <c r="H736" s="4">
        <f t="shared" si="11"/>
        <v>-8.5472402784461613E-3</v>
      </c>
      <c r="I736" s="271"/>
      <c r="J736" s="4"/>
    </row>
    <row r="737" spans="1:10" ht="14.25" customHeight="1" x14ac:dyDescent="0.3">
      <c r="A737" s="272">
        <v>45002</v>
      </c>
      <c r="B737" s="4">
        <v>17100.05</v>
      </c>
      <c r="C737" s="272">
        <v>45002</v>
      </c>
      <c r="D737" s="4">
        <v>4504.68</v>
      </c>
      <c r="E737" s="271"/>
      <c r="F737" s="271"/>
      <c r="G737" s="273">
        <f>(B737-B736)/B736</f>
        <v>6.7380604747551299E-3</v>
      </c>
      <c r="H737" s="4">
        <f t="shared" si="11"/>
        <v>2.6553270619120644E-2</v>
      </c>
      <c r="I737" s="271"/>
      <c r="J737" s="4"/>
    </row>
    <row r="738" spans="1:10" ht="14.25" customHeight="1" x14ac:dyDescent="0.3">
      <c r="A738" s="272">
        <v>45005</v>
      </c>
      <c r="B738" s="4">
        <v>16988.400000000001</v>
      </c>
      <c r="C738" s="272">
        <v>45005</v>
      </c>
      <c r="D738" s="4">
        <v>4508.83</v>
      </c>
      <c r="E738" s="271"/>
      <c r="F738" s="271"/>
      <c r="G738" s="273">
        <f>(B738-B737)/B737</f>
        <v>-6.5292206747932209E-3</v>
      </c>
      <c r="H738" s="4">
        <f t="shared" si="11"/>
        <v>9.2126410755028897E-4</v>
      </c>
      <c r="I738" s="271"/>
      <c r="J738" s="4"/>
    </row>
    <row r="739" spans="1:10" ht="14.25" customHeight="1" x14ac:dyDescent="0.3">
      <c r="A739" s="272">
        <v>45006</v>
      </c>
      <c r="B739" s="4">
        <v>17107.5</v>
      </c>
      <c r="C739" s="272">
        <v>45006</v>
      </c>
      <c r="D739" s="4">
        <v>4504.83</v>
      </c>
      <c r="E739" s="271"/>
      <c r="F739" s="271"/>
      <c r="G739" s="273">
        <f>(B739-B738)/B738</f>
        <v>7.0106661015751064E-3</v>
      </c>
      <c r="H739" s="4">
        <f t="shared" si="11"/>
        <v>-8.8714810715861991E-4</v>
      </c>
      <c r="I739" s="271"/>
      <c r="J739" s="4"/>
    </row>
    <row r="740" spans="1:10" ht="14.25" customHeight="1" x14ac:dyDescent="0.3">
      <c r="A740" s="272">
        <v>45007</v>
      </c>
      <c r="B740" s="4">
        <v>17151.900000000001</v>
      </c>
      <c r="C740" s="272">
        <v>45007</v>
      </c>
      <c r="D740" s="4">
        <v>4481.3599999999997</v>
      </c>
      <c r="E740" s="271"/>
      <c r="F740" s="271"/>
      <c r="G740" s="273">
        <f>(B740-B739)/B739</f>
        <v>2.5953529153880726E-3</v>
      </c>
      <c r="H740" s="4">
        <f t="shared" si="11"/>
        <v>-5.2099635280355204E-3</v>
      </c>
      <c r="I740" s="271"/>
      <c r="J740" s="4"/>
    </row>
    <row r="741" spans="1:10" ht="14.25" customHeight="1" x14ac:dyDescent="0.3">
      <c r="A741" s="272">
        <v>45008</v>
      </c>
      <c r="B741" s="4">
        <v>17076.900000000001</v>
      </c>
      <c r="C741" s="272">
        <v>45008</v>
      </c>
      <c r="D741" s="4">
        <v>4435.24</v>
      </c>
      <c r="E741" s="271"/>
      <c r="F741" s="271"/>
      <c r="G741" s="273">
        <f>(B741-B740)/B740</f>
        <v>-4.3726934042292685E-3</v>
      </c>
      <c r="H741" s="4">
        <f t="shared" si="11"/>
        <v>-1.029151864612526E-2</v>
      </c>
      <c r="I741" s="271"/>
      <c r="J741" s="4"/>
    </row>
    <row r="742" spans="1:10" ht="14.25" customHeight="1" x14ac:dyDescent="0.3">
      <c r="A742" s="272">
        <v>45009</v>
      </c>
      <c r="B742" s="4">
        <v>16945.05</v>
      </c>
      <c r="C742" s="272">
        <v>45009</v>
      </c>
      <c r="D742" s="4">
        <v>4434.8100000000004</v>
      </c>
      <c r="E742" s="271"/>
      <c r="F742" s="271"/>
      <c r="G742" s="273">
        <f>(B742-B741)/B741</f>
        <v>-7.7209563796709103E-3</v>
      </c>
      <c r="H742" s="4">
        <f t="shared" si="11"/>
        <v>-9.6950785075752737E-5</v>
      </c>
      <c r="I742" s="271"/>
      <c r="J742" s="4"/>
    </row>
    <row r="743" spans="1:10" ht="14.25" customHeight="1" x14ac:dyDescent="0.3">
      <c r="A743" s="272">
        <v>45012</v>
      </c>
      <c r="B743" s="4">
        <v>16985.7</v>
      </c>
      <c r="C743" s="272">
        <v>45012</v>
      </c>
      <c r="D743" s="4">
        <v>4392.6400000000003</v>
      </c>
      <c r="E743" s="271"/>
      <c r="F743" s="271"/>
      <c r="G743" s="273">
        <f>(B743-B742)/B742</f>
        <v>2.3989306611666215E-3</v>
      </c>
      <c r="H743" s="4">
        <f t="shared" si="11"/>
        <v>-9.5088628374158241E-3</v>
      </c>
      <c r="I743" s="271"/>
      <c r="J743" s="4"/>
    </row>
    <row r="744" spans="1:10" ht="14.25" customHeight="1" x14ac:dyDescent="0.3">
      <c r="A744" s="272">
        <v>45013</v>
      </c>
      <c r="B744" s="4">
        <v>16951.7</v>
      </c>
      <c r="C744" s="272">
        <v>45013</v>
      </c>
      <c r="D744" s="4">
        <v>4389.95</v>
      </c>
      <c r="E744" s="271"/>
      <c r="F744" s="271"/>
      <c r="G744" s="273">
        <f>(B744-B743)/B743</f>
        <v>-2.0016837692882834E-3</v>
      </c>
      <c r="H744" s="4">
        <f t="shared" si="11"/>
        <v>-6.1238799446358206E-4</v>
      </c>
      <c r="I744" s="271"/>
      <c r="J744" s="4"/>
    </row>
    <row r="745" spans="1:10" ht="14.25" customHeight="1" x14ac:dyDescent="0.3">
      <c r="A745" s="272">
        <v>45014</v>
      </c>
      <c r="B745" s="4">
        <v>17080.7</v>
      </c>
      <c r="C745" s="272">
        <v>45014</v>
      </c>
      <c r="D745" s="4">
        <v>4453.22</v>
      </c>
      <c r="E745" s="271"/>
      <c r="F745" s="271"/>
      <c r="G745" s="273">
        <f>(B745-B744)/B744</f>
        <v>7.6098562386073369E-3</v>
      </c>
      <c r="H745" s="4">
        <f t="shared" si="11"/>
        <v>1.4412464834451518E-2</v>
      </c>
      <c r="I745" s="271"/>
      <c r="J745" s="4"/>
    </row>
    <row r="746" spans="1:10" ht="14.25" customHeight="1" x14ac:dyDescent="0.3">
      <c r="A746" s="272">
        <v>45016</v>
      </c>
      <c r="B746" s="4">
        <v>17359.75</v>
      </c>
      <c r="C746" s="272">
        <v>45016</v>
      </c>
      <c r="D746" s="4">
        <v>4587.28</v>
      </c>
      <c r="E746" s="271"/>
      <c r="F746" s="271"/>
      <c r="G746" s="273">
        <f>(B746-B745)/B745</f>
        <v>1.6337152458622845E-2</v>
      </c>
      <c r="H746" s="4">
        <f t="shared" si="11"/>
        <v>3.0104059534449112E-2</v>
      </c>
      <c r="I746" s="271"/>
      <c r="J746" s="4"/>
    </row>
    <row r="747" spans="1:10" ht="14.25" customHeight="1" x14ac:dyDescent="0.3">
      <c r="A747" s="272">
        <v>45019</v>
      </c>
      <c r="B747" s="4">
        <v>17398.05</v>
      </c>
      <c r="C747" s="272">
        <v>45019</v>
      </c>
      <c r="D747" s="4">
        <v>4568.2</v>
      </c>
      <c r="E747" s="271"/>
      <c r="F747" s="271"/>
      <c r="G747" s="273">
        <f>(B747-B746)/B746</f>
        <v>2.2062529702328243E-3</v>
      </c>
      <c r="H747" s="4">
        <f t="shared" si="11"/>
        <v>-4.1593275317835252E-3</v>
      </c>
      <c r="I747" s="271"/>
      <c r="J747" s="4"/>
    </row>
    <row r="748" spans="1:10" ht="14.25" customHeight="1" x14ac:dyDescent="0.3">
      <c r="A748" s="272">
        <v>45021</v>
      </c>
      <c r="B748" s="4">
        <v>17557.05</v>
      </c>
      <c r="C748" s="272">
        <v>45021</v>
      </c>
      <c r="D748" s="4">
        <v>4658.41</v>
      </c>
      <c r="E748" s="271"/>
      <c r="F748" s="271"/>
      <c r="G748" s="273">
        <f>(B748-B747)/B747</f>
        <v>9.1389552277410403E-3</v>
      </c>
      <c r="H748" s="4">
        <f t="shared" si="11"/>
        <v>1.974738409001358E-2</v>
      </c>
      <c r="I748" s="271"/>
      <c r="J748" s="4"/>
    </row>
    <row r="749" spans="1:10" ht="14.25" customHeight="1" x14ac:dyDescent="0.3">
      <c r="A749" s="272">
        <v>45022</v>
      </c>
      <c r="B749" s="4">
        <v>17599.150000000001</v>
      </c>
      <c r="C749" s="272">
        <v>45022</v>
      </c>
      <c r="D749" s="4">
        <v>4600.3900000000003</v>
      </c>
      <c r="E749" s="271"/>
      <c r="F749" s="271"/>
      <c r="G749" s="273">
        <f>(B749-B748)/B748</f>
        <v>2.3978971410346375E-3</v>
      </c>
      <c r="H749" s="4">
        <f t="shared" si="11"/>
        <v>-1.2454893407836478E-2</v>
      </c>
      <c r="I749" s="271"/>
      <c r="J749" s="4"/>
    </row>
    <row r="750" spans="1:10" ht="14.25" customHeight="1" x14ac:dyDescent="0.3">
      <c r="A750" s="272">
        <v>45026</v>
      </c>
      <c r="B750" s="4">
        <v>17624.05</v>
      </c>
      <c r="C750" s="272">
        <v>45026</v>
      </c>
      <c r="D750" s="4">
        <v>4623.66</v>
      </c>
      <c r="E750" s="271"/>
      <c r="F750" s="271"/>
      <c r="G750" s="273">
        <f>(B750-B749)/B749</f>
        <v>1.4148410576645925E-3</v>
      </c>
      <c r="H750" s="4">
        <f t="shared" si="11"/>
        <v>5.0582667991191021E-3</v>
      </c>
      <c r="I750" s="271"/>
      <c r="J750" s="4"/>
    </row>
    <row r="751" spans="1:10" ht="14.25" customHeight="1" x14ac:dyDescent="0.3">
      <c r="A751" s="272">
        <v>45027</v>
      </c>
      <c r="B751" s="4">
        <v>17722.3</v>
      </c>
      <c r="C751" s="272">
        <v>45027</v>
      </c>
      <c r="D751" s="4">
        <v>4599.57</v>
      </c>
      <c r="E751" s="271"/>
      <c r="F751" s="271"/>
      <c r="G751" s="273">
        <f>(B751-B750)/B750</f>
        <v>5.5747685690859935E-3</v>
      </c>
      <c r="H751" s="4">
        <f t="shared" si="11"/>
        <v>-5.210158186371867E-3</v>
      </c>
      <c r="I751" s="271"/>
      <c r="J751" s="4"/>
    </row>
    <row r="752" spans="1:10" ht="14.25" customHeight="1" x14ac:dyDescent="0.3">
      <c r="A752" s="272">
        <v>45028</v>
      </c>
      <c r="B752" s="4">
        <v>17812.400000000001</v>
      </c>
      <c r="C752" s="272">
        <v>45028</v>
      </c>
      <c r="D752" s="4">
        <v>4652.87</v>
      </c>
      <c r="E752" s="271"/>
      <c r="F752" s="271"/>
      <c r="G752" s="273">
        <f>(B752-B751)/B751</f>
        <v>5.0839902270022616E-3</v>
      </c>
      <c r="H752" s="4">
        <f t="shared" si="11"/>
        <v>1.1588039751542033E-2</v>
      </c>
      <c r="I752" s="271"/>
      <c r="J752" s="4"/>
    </row>
    <row r="753" spans="1:10" ht="14.25" customHeight="1" x14ac:dyDescent="0.3">
      <c r="A753" s="272">
        <v>45029</v>
      </c>
      <c r="B753" s="4">
        <v>17828</v>
      </c>
      <c r="C753" s="272">
        <v>45029</v>
      </c>
      <c r="D753" s="4">
        <v>4478.13</v>
      </c>
      <c r="E753" s="271"/>
      <c r="F753" s="271"/>
      <c r="G753" s="273">
        <f>(B753-B752)/B752</f>
        <v>8.7579439042456621E-4</v>
      </c>
      <c r="H753" s="4">
        <f t="shared" si="11"/>
        <v>-3.7555315321511192E-2</v>
      </c>
      <c r="I753" s="271"/>
      <c r="J753" s="4"/>
    </row>
    <row r="754" spans="1:10" ht="14.25" customHeight="1" x14ac:dyDescent="0.3">
      <c r="A754" s="272">
        <v>45033</v>
      </c>
      <c r="B754" s="4">
        <v>17706.849999999999</v>
      </c>
      <c r="C754" s="272">
        <v>45033</v>
      </c>
      <c r="D754" s="4">
        <v>4175.7</v>
      </c>
      <c r="E754" s="271"/>
      <c r="F754" s="271"/>
      <c r="G754" s="273">
        <f>(B754-B753)/B753</f>
        <v>-6.7954902400718786E-3</v>
      </c>
      <c r="H754" s="4">
        <f t="shared" si="11"/>
        <v>-6.7534886213665143E-2</v>
      </c>
      <c r="I754" s="271"/>
      <c r="J754" s="4"/>
    </row>
    <row r="755" spans="1:10" ht="14.25" customHeight="1" x14ac:dyDescent="0.3">
      <c r="A755" s="272">
        <v>45034</v>
      </c>
      <c r="B755" s="4">
        <v>17660.150000000001</v>
      </c>
      <c r="C755" s="272">
        <v>45034</v>
      </c>
      <c r="D755" s="4">
        <v>4162.2</v>
      </c>
      <c r="E755" s="271"/>
      <c r="F755" s="271"/>
      <c r="G755" s="273">
        <f>(B755-B754)/B754</f>
        <v>-2.637397391404857E-3</v>
      </c>
      <c r="H755" s="4">
        <f t="shared" si="11"/>
        <v>-3.2329908757813062E-3</v>
      </c>
      <c r="I755" s="271"/>
      <c r="J755" s="4"/>
    </row>
    <row r="756" spans="1:10" ht="14.25" customHeight="1" x14ac:dyDescent="0.3">
      <c r="A756" s="272">
        <v>45035</v>
      </c>
      <c r="B756" s="4">
        <v>17618.75</v>
      </c>
      <c r="C756" s="272">
        <v>45035</v>
      </c>
      <c r="D756" s="4">
        <v>4042.64</v>
      </c>
      <c r="E756" s="271"/>
      <c r="F756" s="271"/>
      <c r="G756" s="273">
        <f>(B756-B755)/B755</f>
        <v>-2.3442609490860185E-3</v>
      </c>
      <c r="H756" s="4">
        <f t="shared" si="11"/>
        <v>-2.872519340733265E-2</v>
      </c>
      <c r="I756" s="271"/>
      <c r="J756" s="4"/>
    </row>
    <row r="757" spans="1:10" ht="14.25" customHeight="1" x14ac:dyDescent="0.3">
      <c r="A757" s="272">
        <v>45036</v>
      </c>
      <c r="B757" s="4">
        <v>17624.45</v>
      </c>
      <c r="C757" s="272">
        <v>45036</v>
      </c>
      <c r="D757" s="4">
        <v>4002.46</v>
      </c>
      <c r="E757" s="271"/>
      <c r="F757" s="271"/>
      <c r="G757" s="273">
        <f>(B757-B756)/B756</f>
        <v>3.2351897836116228E-4</v>
      </c>
      <c r="H757" s="4">
        <f t="shared" si="11"/>
        <v>-9.9390497298794452E-3</v>
      </c>
      <c r="I757" s="271"/>
      <c r="J757" s="4"/>
    </row>
    <row r="758" spans="1:10" ht="14.25" customHeight="1" x14ac:dyDescent="0.3">
      <c r="A758" s="272">
        <v>45037</v>
      </c>
      <c r="B758" s="4">
        <v>17624.05</v>
      </c>
      <c r="C758" s="272">
        <v>45037</v>
      </c>
      <c r="D758" s="4">
        <v>4019.8</v>
      </c>
      <c r="E758" s="271"/>
      <c r="F758" s="271"/>
      <c r="G758" s="273">
        <f>(B758-B757)/B757</f>
        <v>-2.2695743697048997E-5</v>
      </c>
      <c r="H758" s="4">
        <f t="shared" si="11"/>
        <v>4.3323356135976741E-3</v>
      </c>
      <c r="I758" s="271"/>
      <c r="J758" s="4"/>
    </row>
    <row r="759" spans="1:10" ht="14.25" customHeight="1" x14ac:dyDescent="0.3">
      <c r="A759" s="272">
        <v>45040</v>
      </c>
      <c r="B759" s="4">
        <v>17743.400000000001</v>
      </c>
      <c r="C759" s="272">
        <v>45040</v>
      </c>
      <c r="D759" s="4">
        <v>4031.95</v>
      </c>
      <c r="E759" s="271"/>
      <c r="F759" s="271"/>
      <c r="G759" s="273">
        <f>(B759-B758)/B758</f>
        <v>6.7719962210730329E-3</v>
      </c>
      <c r="H759" s="4">
        <f t="shared" si="11"/>
        <v>3.0225384347479069E-3</v>
      </c>
      <c r="I759" s="271"/>
      <c r="J759" s="4"/>
    </row>
    <row r="760" spans="1:10" ht="14.25" customHeight="1" x14ac:dyDescent="0.3">
      <c r="A760" s="272">
        <v>45041</v>
      </c>
      <c r="B760" s="4">
        <v>17769.25</v>
      </c>
      <c r="C760" s="272">
        <v>45041</v>
      </c>
      <c r="D760" s="4">
        <v>4034.79</v>
      </c>
      <c r="E760" s="271"/>
      <c r="F760" s="271"/>
      <c r="G760" s="273">
        <f>(B760-B759)/B759</f>
        <v>1.4568797411994624E-3</v>
      </c>
      <c r="H760" s="4">
        <f t="shared" si="11"/>
        <v>7.0437381415943789E-4</v>
      </c>
      <c r="I760" s="271"/>
      <c r="J760" s="4"/>
    </row>
    <row r="761" spans="1:10" ht="14.25" customHeight="1" x14ac:dyDescent="0.3">
      <c r="A761" s="272">
        <v>45042</v>
      </c>
      <c r="B761" s="4">
        <v>17813.599999999999</v>
      </c>
      <c r="C761" s="272">
        <v>45042</v>
      </c>
      <c r="D761" s="4">
        <v>4009.49</v>
      </c>
      <c r="E761" s="271"/>
      <c r="F761" s="271"/>
      <c r="G761" s="273">
        <f>(B761-B760)/B760</f>
        <v>2.495884744713398E-3</v>
      </c>
      <c r="H761" s="4">
        <f t="shared" si="11"/>
        <v>-6.2704626510921716E-3</v>
      </c>
      <c r="I761" s="271"/>
      <c r="J761" s="4"/>
    </row>
    <row r="762" spans="1:10" ht="14.25" customHeight="1" x14ac:dyDescent="0.3">
      <c r="A762" s="272">
        <v>45043</v>
      </c>
      <c r="B762" s="4">
        <v>17915.05</v>
      </c>
      <c r="C762" s="272">
        <v>45043</v>
      </c>
      <c r="D762" s="4">
        <v>4163.7</v>
      </c>
      <c r="E762" s="271"/>
      <c r="F762" s="271"/>
      <c r="G762" s="273">
        <f>(B762-B761)/B761</f>
        <v>5.6950868998967494E-3</v>
      </c>
      <c r="H762" s="4">
        <f t="shared" si="11"/>
        <v>3.8461250682755174E-2</v>
      </c>
      <c r="I762" s="271"/>
      <c r="J762" s="4"/>
    </row>
    <row r="763" spans="1:10" ht="14.25" customHeight="1" x14ac:dyDescent="0.3">
      <c r="A763" s="272">
        <v>45044</v>
      </c>
      <c r="B763" s="4">
        <v>18065</v>
      </c>
      <c r="C763" s="272">
        <v>45044</v>
      </c>
      <c r="D763" s="4">
        <v>4259.3999999999996</v>
      </c>
      <c r="E763" s="271"/>
      <c r="F763" s="271"/>
      <c r="G763" s="273">
        <f>(B763-B762)/B762</f>
        <v>8.37005757728841E-3</v>
      </c>
      <c r="H763" s="4">
        <f t="shared" si="11"/>
        <v>2.2984364867785823E-2</v>
      </c>
      <c r="I763" s="271"/>
      <c r="J763" s="4"/>
    </row>
    <row r="764" spans="1:10" ht="14.25" customHeight="1" x14ac:dyDescent="0.3">
      <c r="A764" s="272">
        <v>45048</v>
      </c>
      <c r="B764" s="4">
        <v>18147.650000000001</v>
      </c>
      <c r="C764" s="272">
        <v>45048</v>
      </c>
      <c r="D764" s="4">
        <v>4383.54</v>
      </c>
      <c r="E764" s="271"/>
      <c r="F764" s="271"/>
      <c r="G764" s="273">
        <f>(B764-B763)/B763</f>
        <v>4.5751453086078859E-3</v>
      </c>
      <c r="H764" s="4">
        <f t="shared" si="11"/>
        <v>2.9144949992956835E-2</v>
      </c>
      <c r="I764" s="271"/>
      <c r="J764" s="4"/>
    </row>
    <row r="765" spans="1:10" ht="14.25" customHeight="1" x14ac:dyDescent="0.3">
      <c r="A765" s="272">
        <v>45049</v>
      </c>
      <c r="B765" s="4">
        <v>18089.849999999999</v>
      </c>
      <c r="C765" s="272">
        <v>45049</v>
      </c>
      <c r="D765" s="4">
        <v>4335.1099999999997</v>
      </c>
      <c r="E765" s="271"/>
      <c r="F765" s="271"/>
      <c r="G765" s="273">
        <f>(B765-B764)/B764</f>
        <v>-3.1849853837826333E-3</v>
      </c>
      <c r="H765" s="4">
        <f t="shared" si="11"/>
        <v>-1.1048148300232298E-2</v>
      </c>
      <c r="I765" s="271"/>
      <c r="J765" s="4"/>
    </row>
    <row r="766" spans="1:10" ht="14.25" customHeight="1" x14ac:dyDescent="0.3">
      <c r="A766" s="272">
        <v>45050</v>
      </c>
      <c r="B766" s="4">
        <v>18255.8</v>
      </c>
      <c r="C766" s="272">
        <v>45050</v>
      </c>
      <c r="D766" s="4">
        <v>4338.05</v>
      </c>
      <c r="E766" s="271"/>
      <c r="F766" s="271"/>
      <c r="G766" s="273">
        <f>(B766-B765)/B765</f>
        <v>9.1736526284076844E-3</v>
      </c>
      <c r="H766" s="4">
        <f t="shared" si="11"/>
        <v>6.7818348323353029E-4</v>
      </c>
      <c r="I766" s="271"/>
      <c r="J766" s="4"/>
    </row>
    <row r="767" spans="1:10" ht="14.25" customHeight="1" x14ac:dyDescent="0.3">
      <c r="A767" s="272">
        <v>45051</v>
      </c>
      <c r="B767" s="4">
        <v>18069</v>
      </c>
      <c r="C767" s="272">
        <v>45051</v>
      </c>
      <c r="D767" s="4">
        <v>4325.32</v>
      </c>
      <c r="E767" s="271"/>
      <c r="F767" s="271"/>
      <c r="G767" s="273">
        <f>(B767-B766)/B766</f>
        <v>-1.0232364508813598E-2</v>
      </c>
      <c r="H767" s="4">
        <f t="shared" si="11"/>
        <v>-2.9344982192460833E-3</v>
      </c>
      <c r="I767" s="271"/>
      <c r="J767" s="4"/>
    </row>
    <row r="768" spans="1:10" ht="14.25" customHeight="1" x14ac:dyDescent="0.3">
      <c r="A768" s="272">
        <v>45054</v>
      </c>
      <c r="B768" s="4">
        <v>18264.400000000001</v>
      </c>
      <c r="C768" s="272">
        <v>45054</v>
      </c>
      <c r="D768" s="4">
        <v>4354.1899999999996</v>
      </c>
      <c r="E768" s="271"/>
      <c r="F768" s="271"/>
      <c r="G768" s="273">
        <f>(B768-B767)/B767</f>
        <v>1.0814101499806378E-2</v>
      </c>
      <c r="H768" s="4">
        <f t="shared" si="11"/>
        <v>6.6746506616851223E-3</v>
      </c>
      <c r="I768" s="271"/>
      <c r="J768" s="4"/>
    </row>
    <row r="769" spans="1:10" ht="14.25" customHeight="1" x14ac:dyDescent="0.3">
      <c r="A769" s="272">
        <v>45055</v>
      </c>
      <c r="B769" s="4">
        <v>18265.95</v>
      </c>
      <c r="C769" s="272">
        <v>45055</v>
      </c>
      <c r="D769" s="4">
        <v>4455.24</v>
      </c>
      <c r="E769" s="271"/>
      <c r="F769" s="271"/>
      <c r="G769" s="273">
        <f>(B769-B768)/B768</f>
        <v>8.4864545235500337E-5</v>
      </c>
      <c r="H769" s="4">
        <f t="shared" si="11"/>
        <v>2.3207531136675293E-2</v>
      </c>
      <c r="I769" s="271"/>
      <c r="J769" s="4"/>
    </row>
    <row r="770" spans="1:10" ht="14.25" customHeight="1" x14ac:dyDescent="0.3">
      <c r="A770" s="272">
        <v>45056</v>
      </c>
      <c r="B770" s="4">
        <v>18315.099999999999</v>
      </c>
      <c r="C770" s="272">
        <v>45056</v>
      </c>
      <c r="D770" s="4">
        <v>4428.3</v>
      </c>
      <c r="E770" s="271"/>
      <c r="F770" s="271"/>
      <c r="G770" s="273">
        <f>(B770-B769)/B769</f>
        <v>2.690799000325623E-3</v>
      </c>
      <c r="H770" s="4">
        <f t="shared" si="11"/>
        <v>-6.0468122929403581E-3</v>
      </c>
      <c r="I770" s="271"/>
      <c r="J770" s="4"/>
    </row>
    <row r="771" spans="1:10" ht="14.25" customHeight="1" x14ac:dyDescent="0.3">
      <c r="A771" s="272">
        <v>45057</v>
      </c>
      <c r="B771" s="4">
        <v>18297</v>
      </c>
      <c r="C771" s="272">
        <v>45057</v>
      </c>
      <c r="D771" s="4">
        <v>4489.5</v>
      </c>
      <c r="E771" s="271"/>
      <c r="F771" s="271"/>
      <c r="G771" s="273">
        <f>(B771-B770)/B770</f>
        <v>-9.8825559237997857E-4</v>
      </c>
      <c r="H771" s="4">
        <f t="shared" ref="H771:H834" si="12">(D771-D770)/D770</f>
        <v>1.3820201883341196E-2</v>
      </c>
      <c r="I771" s="271"/>
      <c r="J771" s="4"/>
    </row>
    <row r="772" spans="1:10" ht="14.25" customHeight="1" x14ac:dyDescent="0.3">
      <c r="A772" s="272">
        <v>45058</v>
      </c>
      <c r="B772" s="4">
        <v>18314.8</v>
      </c>
      <c r="C772" s="272">
        <v>45058</v>
      </c>
      <c r="D772" s="4">
        <v>4517.45</v>
      </c>
      <c r="E772" s="271"/>
      <c r="F772" s="271"/>
      <c r="G772" s="273">
        <f>(B772-B771)/B771</f>
        <v>9.7283707711642744E-4</v>
      </c>
      <c r="H772" s="4">
        <f t="shared" si="12"/>
        <v>6.2256375988417011E-3</v>
      </c>
      <c r="I772" s="271"/>
      <c r="J772" s="4"/>
    </row>
    <row r="773" spans="1:10" ht="14.25" customHeight="1" x14ac:dyDescent="0.3">
      <c r="A773" s="272">
        <v>45061</v>
      </c>
      <c r="B773" s="4">
        <v>18398.849999999999</v>
      </c>
      <c r="C773" s="272">
        <v>45061</v>
      </c>
      <c r="D773" s="4">
        <v>4536.68</v>
      </c>
      <c r="E773" s="271"/>
      <c r="F773" s="271"/>
      <c r="G773" s="273">
        <f>(B773-B772)/B772</f>
        <v>4.5891847030816212E-3</v>
      </c>
      <c r="H773" s="4">
        <f t="shared" si="12"/>
        <v>4.2568263068767723E-3</v>
      </c>
      <c r="I773" s="271"/>
      <c r="J773" s="4"/>
    </row>
    <row r="774" spans="1:10" ht="14.25" customHeight="1" x14ac:dyDescent="0.3">
      <c r="A774" s="272">
        <v>45062</v>
      </c>
      <c r="B774" s="4">
        <v>18286.5</v>
      </c>
      <c r="C774" s="272">
        <v>45062</v>
      </c>
      <c r="D774" s="4">
        <v>4564.54</v>
      </c>
      <c r="E774" s="271"/>
      <c r="F774" s="271"/>
      <c r="G774" s="273">
        <f>(B774-B773)/B773</f>
        <v>-6.1063599083637597E-3</v>
      </c>
      <c r="H774" s="4">
        <f t="shared" si="12"/>
        <v>6.1410546919773209E-3</v>
      </c>
      <c r="I774" s="271"/>
      <c r="J774" s="4"/>
    </row>
    <row r="775" spans="1:10" ht="14.25" customHeight="1" x14ac:dyDescent="0.3">
      <c r="A775" s="272">
        <v>45063</v>
      </c>
      <c r="B775" s="4">
        <v>18181.75</v>
      </c>
      <c r="C775" s="272">
        <v>45063</v>
      </c>
      <c r="D775" s="4">
        <v>4568.25</v>
      </c>
      <c r="E775" s="271"/>
      <c r="F775" s="271"/>
      <c r="G775" s="273">
        <f>(B775-B774)/B774</f>
        <v>-5.7282694884204198E-3</v>
      </c>
      <c r="H775" s="4">
        <f t="shared" si="12"/>
        <v>8.1278726881570465E-4</v>
      </c>
      <c r="I775" s="271"/>
      <c r="J775" s="4"/>
    </row>
    <row r="776" spans="1:10" ht="14.25" customHeight="1" x14ac:dyDescent="0.3">
      <c r="A776" s="272">
        <v>45064</v>
      </c>
      <c r="B776" s="4">
        <v>18129.95</v>
      </c>
      <c r="C776" s="272">
        <v>45064</v>
      </c>
      <c r="D776" s="4">
        <v>4542.13</v>
      </c>
      <c r="E776" s="271"/>
      <c r="F776" s="271"/>
      <c r="G776" s="273">
        <f>(B776-B775)/B775</f>
        <v>-2.8490106837900241E-3</v>
      </c>
      <c r="H776" s="4">
        <f t="shared" si="12"/>
        <v>-5.7177256060854578E-3</v>
      </c>
      <c r="I776" s="271"/>
      <c r="J776" s="4"/>
    </row>
    <row r="777" spans="1:10" ht="14.25" customHeight="1" x14ac:dyDescent="0.3">
      <c r="A777" s="272">
        <v>45065</v>
      </c>
      <c r="B777" s="4">
        <v>18203.400000000001</v>
      </c>
      <c r="C777" s="272">
        <v>45065</v>
      </c>
      <c r="D777" s="4">
        <v>4629.0600000000004</v>
      </c>
      <c r="E777" s="271"/>
      <c r="F777" s="271"/>
      <c r="G777" s="273">
        <f>(B777-B776)/B776</f>
        <v>4.0513073670915105E-3</v>
      </c>
      <c r="H777" s="4">
        <f t="shared" si="12"/>
        <v>1.9138597970555726E-2</v>
      </c>
      <c r="I777" s="271"/>
      <c r="J777" s="4"/>
    </row>
    <row r="778" spans="1:10" ht="14.25" customHeight="1" x14ac:dyDescent="0.3">
      <c r="A778" s="272">
        <v>45068</v>
      </c>
      <c r="B778" s="4">
        <v>18314.400000000001</v>
      </c>
      <c r="C778" s="272">
        <v>45068</v>
      </c>
      <c r="D778" s="4">
        <v>4806.83</v>
      </c>
      <c r="E778" s="271"/>
      <c r="F778" s="271"/>
      <c r="G778" s="273">
        <f>(B778-B777)/B777</f>
        <v>6.0977619565575659E-3</v>
      </c>
      <c r="H778" s="4">
        <f t="shared" si="12"/>
        <v>3.840304511067031E-2</v>
      </c>
      <c r="I778" s="271"/>
      <c r="J778" s="4"/>
    </row>
    <row r="779" spans="1:10" ht="14.25" customHeight="1" x14ac:dyDescent="0.3">
      <c r="A779" s="272">
        <v>45069</v>
      </c>
      <c r="B779" s="4">
        <v>18348</v>
      </c>
      <c r="C779" s="272">
        <v>45069</v>
      </c>
      <c r="D779" s="4">
        <v>4681.92</v>
      </c>
      <c r="E779" s="271"/>
      <c r="F779" s="271"/>
      <c r="G779" s="273">
        <f>(B779-B778)/B778</f>
        <v>1.8346219368365079E-3</v>
      </c>
      <c r="H779" s="4">
        <f t="shared" si="12"/>
        <v>-2.5985940838348737E-2</v>
      </c>
      <c r="I779" s="271"/>
      <c r="J779" s="4"/>
    </row>
    <row r="780" spans="1:10" ht="14.25" customHeight="1" x14ac:dyDescent="0.3">
      <c r="A780" s="272">
        <v>45070</v>
      </c>
      <c r="B780" s="4">
        <v>18285.400000000001</v>
      </c>
      <c r="C780" s="272">
        <v>45070</v>
      </c>
      <c r="D780" s="4">
        <v>4651.5600000000004</v>
      </c>
      <c r="E780" s="271"/>
      <c r="F780" s="271"/>
      <c r="G780" s="273">
        <f>(B780-B779)/B779</f>
        <v>-3.4118160017439802E-3</v>
      </c>
      <c r="H780" s="4">
        <f t="shared" si="12"/>
        <v>-6.4845191716218289E-3</v>
      </c>
      <c r="I780" s="271"/>
      <c r="J780" s="4"/>
    </row>
    <row r="781" spans="1:10" ht="14.25" customHeight="1" x14ac:dyDescent="0.3">
      <c r="A781" s="272">
        <v>45071</v>
      </c>
      <c r="B781" s="4">
        <v>18321.150000000001</v>
      </c>
      <c r="C781" s="272">
        <v>45071</v>
      </c>
      <c r="D781" s="4">
        <v>4732.72</v>
      </c>
      <c r="E781" s="271"/>
      <c r="F781" s="271"/>
      <c r="G781" s="273">
        <f>(B781-B780)/B780</f>
        <v>1.9551117284828333E-3</v>
      </c>
      <c r="H781" s="4">
        <f t="shared" si="12"/>
        <v>1.7447909948490367E-2</v>
      </c>
      <c r="I781" s="271"/>
      <c r="J781" s="4"/>
    </row>
    <row r="782" spans="1:10" ht="14.25" customHeight="1" x14ac:dyDescent="0.3">
      <c r="A782" s="272">
        <v>45072</v>
      </c>
      <c r="B782" s="4">
        <v>18499.349999999999</v>
      </c>
      <c r="C782" s="272">
        <v>45072</v>
      </c>
      <c r="D782" s="4">
        <v>4819.99</v>
      </c>
      <c r="E782" s="271"/>
      <c r="F782" s="271"/>
      <c r="G782" s="273">
        <f>(B782-B781)/B781</f>
        <v>9.7264636772253412E-3</v>
      </c>
      <c r="H782" s="4">
        <f t="shared" si="12"/>
        <v>1.8439713314964655E-2</v>
      </c>
      <c r="I782" s="271"/>
      <c r="J782" s="4"/>
    </row>
    <row r="783" spans="1:10" ht="14.25" customHeight="1" x14ac:dyDescent="0.3">
      <c r="A783" s="272">
        <v>45075</v>
      </c>
      <c r="B783" s="4">
        <v>18598.650000000001</v>
      </c>
      <c r="C783" s="272">
        <v>45075</v>
      </c>
      <c r="D783" s="4">
        <v>4808.2299999999996</v>
      </c>
      <c r="E783" s="271"/>
      <c r="F783" s="271"/>
      <c r="G783" s="273">
        <f>(B783-B782)/B782</f>
        <v>5.3677561644059337E-3</v>
      </c>
      <c r="H783" s="4">
        <f t="shared" si="12"/>
        <v>-2.4398390868031299E-3</v>
      </c>
      <c r="I783" s="271"/>
      <c r="J783" s="4"/>
    </row>
    <row r="784" spans="1:10" ht="14.25" customHeight="1" x14ac:dyDescent="0.3">
      <c r="A784" s="272">
        <v>45076</v>
      </c>
      <c r="B784" s="4">
        <v>18633.849999999999</v>
      </c>
      <c r="C784" s="272">
        <v>45076</v>
      </c>
      <c r="D784" s="4">
        <v>4810.49</v>
      </c>
      <c r="E784" s="271"/>
      <c r="F784" s="271"/>
      <c r="G784" s="273">
        <f>(B784-B783)/B783</f>
        <v>1.8926104851694659E-3</v>
      </c>
      <c r="H784" s="4">
        <f t="shared" si="12"/>
        <v>4.7002743213203581E-4</v>
      </c>
      <c r="I784" s="271"/>
      <c r="J784" s="4"/>
    </row>
    <row r="785" spans="1:10" ht="14.25" customHeight="1" x14ac:dyDescent="0.3">
      <c r="A785" s="272">
        <v>45077</v>
      </c>
      <c r="B785" s="4">
        <v>18534.400000000001</v>
      </c>
      <c r="C785" s="272">
        <v>45077</v>
      </c>
      <c r="D785" s="4">
        <v>4817.38</v>
      </c>
      <c r="E785" s="271"/>
      <c r="F785" s="271"/>
      <c r="G785" s="273">
        <f>(B785-B784)/B784</f>
        <v>-5.3370613158309791E-3</v>
      </c>
      <c r="H785" s="4">
        <f t="shared" si="12"/>
        <v>1.4322865238261232E-3</v>
      </c>
      <c r="I785" s="271"/>
      <c r="J785" s="4"/>
    </row>
    <row r="786" spans="1:10" ht="14.25" customHeight="1" x14ac:dyDescent="0.3">
      <c r="A786" s="272">
        <v>45078</v>
      </c>
      <c r="B786" s="4">
        <v>18487.75</v>
      </c>
      <c r="C786" s="272">
        <v>45078</v>
      </c>
      <c r="D786" s="4">
        <v>4789.34</v>
      </c>
      <c r="E786" s="271"/>
      <c r="F786" s="271"/>
      <c r="G786" s="273">
        <f>(B786-B785)/B785</f>
        <v>-2.5169414709945537E-3</v>
      </c>
      <c r="H786" s="4">
        <f t="shared" si="12"/>
        <v>-5.8205912757556934E-3</v>
      </c>
      <c r="I786" s="271"/>
      <c r="J786" s="4"/>
    </row>
    <row r="787" spans="1:10" ht="14.25" customHeight="1" x14ac:dyDescent="0.3">
      <c r="A787" s="272">
        <v>45079</v>
      </c>
      <c r="B787" s="4">
        <v>18534.099999999999</v>
      </c>
      <c r="C787" s="272">
        <v>45079</v>
      </c>
      <c r="D787" s="4">
        <v>4813.29</v>
      </c>
      <c r="E787" s="271"/>
      <c r="F787" s="271"/>
      <c r="G787" s="273">
        <f>(B787-B786)/B786</f>
        <v>2.5070654893104105E-3</v>
      </c>
      <c r="H787" s="4">
        <f t="shared" si="12"/>
        <v>5.0006890302212448E-3</v>
      </c>
      <c r="I787" s="271"/>
      <c r="J787" s="4"/>
    </row>
    <row r="788" spans="1:10" ht="14.25" customHeight="1" x14ac:dyDescent="0.3">
      <c r="A788" s="272">
        <v>45082</v>
      </c>
      <c r="B788" s="4">
        <v>18593.849999999999</v>
      </c>
      <c r="C788" s="272">
        <v>45082</v>
      </c>
      <c r="D788" s="4">
        <v>4764.18</v>
      </c>
      <c r="E788" s="271"/>
      <c r="F788" s="271"/>
      <c r="G788" s="273">
        <f>(B788-B787)/B787</f>
        <v>3.2237875051931309E-3</v>
      </c>
      <c r="H788" s="4">
        <f t="shared" si="12"/>
        <v>-1.0203000442524691E-2</v>
      </c>
      <c r="I788" s="271"/>
      <c r="J788" s="4"/>
    </row>
    <row r="789" spans="1:10" ht="14.25" customHeight="1" x14ac:dyDescent="0.3">
      <c r="A789" s="272">
        <v>45083</v>
      </c>
      <c r="B789" s="4">
        <v>18599</v>
      </c>
      <c r="C789" s="272">
        <v>45083</v>
      </c>
      <c r="D789" s="4">
        <v>4707.95</v>
      </c>
      <c r="E789" s="271"/>
      <c r="F789" s="271"/>
      <c r="G789" s="273">
        <f>(B789-B788)/B788</f>
        <v>2.7697330031174045E-4</v>
      </c>
      <c r="H789" s="4">
        <f t="shared" si="12"/>
        <v>-1.1802660688723026E-2</v>
      </c>
      <c r="I789" s="271"/>
      <c r="J789" s="4"/>
    </row>
    <row r="790" spans="1:10" ht="14.25" customHeight="1" x14ac:dyDescent="0.3">
      <c r="A790" s="272">
        <v>45084</v>
      </c>
      <c r="B790" s="4">
        <v>18726.400000000001</v>
      </c>
      <c r="C790" s="272">
        <v>45084</v>
      </c>
      <c r="D790" s="4">
        <v>4724.72</v>
      </c>
      <c r="E790" s="271"/>
      <c r="F790" s="271"/>
      <c r="G790" s="273">
        <f>(B790-B789)/B789</f>
        <v>6.8498306360557804E-3</v>
      </c>
      <c r="H790" s="4">
        <f t="shared" si="12"/>
        <v>3.5620599199227766E-3</v>
      </c>
      <c r="I790" s="271"/>
      <c r="J790" s="4"/>
    </row>
    <row r="791" spans="1:10" ht="14.25" customHeight="1" x14ac:dyDescent="0.3">
      <c r="A791" s="272">
        <v>45085</v>
      </c>
      <c r="B791" s="4">
        <v>18634.55</v>
      </c>
      <c r="C791" s="272">
        <v>45085</v>
      </c>
      <c r="D791" s="4">
        <v>4631.18</v>
      </c>
      <c r="E791" s="271"/>
      <c r="F791" s="271"/>
      <c r="G791" s="273">
        <f>(B791-B790)/B790</f>
        <v>-4.9048402255640264E-3</v>
      </c>
      <c r="H791" s="4">
        <f t="shared" si="12"/>
        <v>-1.9797998611557927E-2</v>
      </c>
      <c r="I791" s="271"/>
      <c r="J791" s="4"/>
    </row>
    <row r="792" spans="1:10" ht="14.25" customHeight="1" x14ac:dyDescent="0.3">
      <c r="A792" s="272">
        <v>45086</v>
      </c>
      <c r="B792" s="4">
        <v>18563.400000000001</v>
      </c>
      <c r="C792" s="272">
        <v>45086</v>
      </c>
      <c r="D792" s="4">
        <v>4648.38</v>
      </c>
      <c r="E792" s="271"/>
      <c r="F792" s="271"/>
      <c r="G792" s="273">
        <f>(B792-B791)/B791</f>
        <v>-3.8181764518058028E-3</v>
      </c>
      <c r="H792" s="4">
        <f t="shared" si="12"/>
        <v>3.7139562703241541E-3</v>
      </c>
      <c r="I792" s="271"/>
      <c r="J792" s="4"/>
    </row>
    <row r="793" spans="1:10" ht="14.25" customHeight="1" x14ac:dyDescent="0.3">
      <c r="A793" s="272">
        <v>45089</v>
      </c>
      <c r="B793" s="4">
        <v>18601.5</v>
      </c>
      <c r="C793" s="272">
        <v>45089</v>
      </c>
      <c r="D793" s="4">
        <v>4721.92</v>
      </c>
      <c r="E793" s="271"/>
      <c r="F793" s="271"/>
      <c r="G793" s="273">
        <f>(B793-B792)/B792</f>
        <v>2.0524257409740964E-3</v>
      </c>
      <c r="H793" s="4">
        <f t="shared" si="12"/>
        <v>1.582056544430532E-2</v>
      </c>
      <c r="I793" s="271"/>
      <c r="J793" s="4"/>
    </row>
    <row r="794" spans="1:10" ht="14.25" customHeight="1" x14ac:dyDescent="0.3">
      <c r="A794" s="272">
        <v>45090</v>
      </c>
      <c r="B794" s="4">
        <v>18716.150000000001</v>
      </c>
      <c r="C794" s="272">
        <v>45090</v>
      </c>
      <c r="D794" s="4">
        <v>4765.87</v>
      </c>
      <c r="E794" s="271"/>
      <c r="F794" s="271"/>
      <c r="G794" s="273">
        <f>(B794-B793)/B793</f>
        <v>6.1634814396689221E-3</v>
      </c>
      <c r="H794" s="4">
        <f t="shared" si="12"/>
        <v>9.3076545134182318E-3</v>
      </c>
      <c r="I794" s="271"/>
      <c r="J794" s="4"/>
    </row>
    <row r="795" spans="1:10" ht="14.25" customHeight="1" x14ac:dyDescent="0.3">
      <c r="A795" s="272">
        <v>45091</v>
      </c>
      <c r="B795" s="4">
        <v>18755.900000000001</v>
      </c>
      <c r="C795" s="272">
        <v>45091</v>
      </c>
      <c r="D795" s="4">
        <v>4729.01</v>
      </c>
      <c r="E795" s="271"/>
      <c r="F795" s="271"/>
      <c r="G795" s="273">
        <f>(B795-B794)/B794</f>
        <v>2.1238342287275961E-3</v>
      </c>
      <c r="H795" s="4">
        <f t="shared" si="12"/>
        <v>-7.7341597651634795E-3</v>
      </c>
      <c r="I795" s="271"/>
      <c r="J795" s="4"/>
    </row>
    <row r="796" spans="1:10" ht="14.25" customHeight="1" x14ac:dyDescent="0.3">
      <c r="A796" s="272">
        <v>45092</v>
      </c>
      <c r="B796" s="4">
        <v>18688.099999999999</v>
      </c>
      <c r="C796" s="272">
        <v>45092</v>
      </c>
      <c r="D796" s="4">
        <v>4791.12</v>
      </c>
      <c r="E796" s="271"/>
      <c r="F796" s="271"/>
      <c r="G796" s="273">
        <f>(B796-B795)/B795</f>
        <v>-3.6148625232595025E-3</v>
      </c>
      <c r="H796" s="4">
        <f t="shared" si="12"/>
        <v>1.313382716467076E-2</v>
      </c>
      <c r="I796" s="271"/>
      <c r="J796" s="4"/>
    </row>
    <row r="797" spans="1:10" ht="14.25" customHeight="1" x14ac:dyDescent="0.3">
      <c r="A797" s="272">
        <v>45093</v>
      </c>
      <c r="B797" s="4">
        <v>18826</v>
      </c>
      <c r="C797" s="272">
        <v>45093</v>
      </c>
      <c r="D797" s="4">
        <v>4829.1400000000003</v>
      </c>
      <c r="E797" s="271"/>
      <c r="F797" s="271"/>
      <c r="G797" s="273">
        <f>(B797-B796)/B796</f>
        <v>7.3790272954447735E-3</v>
      </c>
      <c r="H797" s="4">
        <f t="shared" si="12"/>
        <v>7.9355140342968738E-3</v>
      </c>
      <c r="I797" s="271"/>
      <c r="J797" s="4"/>
    </row>
    <row r="798" spans="1:10" ht="14.25" customHeight="1" x14ac:dyDescent="0.3">
      <c r="A798" s="272">
        <v>45096</v>
      </c>
      <c r="B798" s="4">
        <v>18755.45</v>
      </c>
      <c r="C798" s="272">
        <v>45096</v>
      </c>
      <c r="D798" s="4">
        <v>4867.07</v>
      </c>
      <c r="E798" s="271"/>
      <c r="F798" s="271"/>
      <c r="G798" s="273">
        <f>(B798-B797)/B797</f>
        <v>-3.7474768936576687E-3</v>
      </c>
      <c r="H798" s="4">
        <f t="shared" si="12"/>
        <v>7.8544005765000344E-3</v>
      </c>
      <c r="I798" s="271"/>
      <c r="J798" s="4"/>
    </row>
    <row r="799" spans="1:10" ht="14.25" customHeight="1" x14ac:dyDescent="0.3">
      <c r="A799" s="272">
        <v>45097</v>
      </c>
      <c r="B799" s="4">
        <v>18816.7</v>
      </c>
      <c r="C799" s="272">
        <v>45097</v>
      </c>
      <c r="D799" s="4">
        <v>4840.2700000000004</v>
      </c>
      <c r="E799" s="271"/>
      <c r="F799" s="271"/>
      <c r="G799" s="273">
        <f>(B799-B798)/B798</f>
        <v>3.2657174314665869E-3</v>
      </c>
      <c r="H799" s="4">
        <f t="shared" si="12"/>
        <v>-5.5063929633227537E-3</v>
      </c>
      <c r="I799" s="271"/>
      <c r="J799" s="4"/>
    </row>
    <row r="800" spans="1:10" ht="14.25" customHeight="1" x14ac:dyDescent="0.3">
      <c r="A800" s="272">
        <v>45098</v>
      </c>
      <c r="B800" s="4">
        <v>18856.849999999999</v>
      </c>
      <c r="C800" s="272">
        <v>45098</v>
      </c>
      <c r="D800" s="4">
        <v>4819.41</v>
      </c>
      <c r="E800" s="271"/>
      <c r="F800" s="271"/>
      <c r="G800" s="273">
        <f>(B800-B799)/B799</f>
        <v>2.1337428985952808E-3</v>
      </c>
      <c r="H800" s="4">
        <f t="shared" si="12"/>
        <v>-4.3096769395096924E-3</v>
      </c>
      <c r="I800" s="271"/>
      <c r="J800" s="4"/>
    </row>
    <row r="801" spans="1:10" ht="14.25" customHeight="1" x14ac:dyDescent="0.3">
      <c r="A801" s="272">
        <v>45099</v>
      </c>
      <c r="B801" s="4">
        <v>18771.25</v>
      </c>
      <c r="C801" s="272">
        <v>45099</v>
      </c>
      <c r="D801" s="4">
        <v>4844.03</v>
      </c>
      <c r="E801" s="271"/>
      <c r="F801" s="271"/>
      <c r="G801" s="273">
        <f>(B801-B800)/B800</f>
        <v>-4.5394644386521901E-3</v>
      </c>
      <c r="H801" s="4">
        <f t="shared" si="12"/>
        <v>5.108509132860639E-3</v>
      </c>
      <c r="I801" s="271"/>
      <c r="J801" s="4"/>
    </row>
    <row r="802" spans="1:10" ht="14.25" customHeight="1" x14ac:dyDescent="0.3">
      <c r="A802" s="272">
        <v>45100</v>
      </c>
      <c r="B802" s="4">
        <v>18665.5</v>
      </c>
      <c r="C802" s="272">
        <v>45100</v>
      </c>
      <c r="D802" s="4">
        <v>4777.1499999999996</v>
      </c>
      <c r="E802" s="271"/>
      <c r="F802" s="271"/>
      <c r="G802" s="273">
        <f>(B802-B801)/B801</f>
        <v>-5.6336152360657917E-3</v>
      </c>
      <c r="H802" s="4">
        <f t="shared" si="12"/>
        <v>-1.3806685755455708E-2</v>
      </c>
      <c r="I802" s="271"/>
      <c r="J802" s="4"/>
    </row>
    <row r="803" spans="1:10" ht="14.25" customHeight="1" x14ac:dyDescent="0.3">
      <c r="A803" s="272">
        <v>45103</v>
      </c>
      <c r="B803" s="4">
        <v>18691.2</v>
      </c>
      <c r="C803" s="272">
        <v>45103</v>
      </c>
      <c r="D803" s="4">
        <v>4825.96</v>
      </c>
      <c r="E803" s="271"/>
      <c r="F803" s="271"/>
      <c r="G803" s="273">
        <f>(B803-B802)/B802</f>
        <v>1.3768717687713014E-3</v>
      </c>
      <c r="H803" s="4">
        <f t="shared" si="12"/>
        <v>1.0217389029023666E-2</v>
      </c>
      <c r="I803" s="271"/>
      <c r="J803" s="4"/>
    </row>
    <row r="804" spans="1:10" ht="14.25" customHeight="1" x14ac:dyDescent="0.3">
      <c r="A804" s="272">
        <v>45104</v>
      </c>
      <c r="B804" s="4">
        <v>18817.400000000001</v>
      </c>
      <c r="C804" s="272">
        <v>45104</v>
      </c>
      <c r="D804" s="4">
        <v>4976.07</v>
      </c>
      <c r="E804" s="271"/>
      <c r="F804" s="271"/>
      <c r="G804" s="273">
        <f>(B804-B803)/B803</f>
        <v>6.7518404382811547E-3</v>
      </c>
      <c r="H804" s="4">
        <f t="shared" si="12"/>
        <v>3.1104692123432368E-2</v>
      </c>
      <c r="I804" s="271"/>
      <c r="J804" s="4"/>
    </row>
    <row r="805" spans="1:10" ht="14.25" customHeight="1" x14ac:dyDescent="0.3">
      <c r="A805" s="272">
        <v>45105</v>
      </c>
      <c r="B805" s="4">
        <v>18972.099999999999</v>
      </c>
      <c r="C805" s="272">
        <v>45105</v>
      </c>
      <c r="D805" s="4">
        <v>4904.6099999999997</v>
      </c>
      <c r="E805" s="271"/>
      <c r="F805" s="271"/>
      <c r="G805" s="273">
        <f>(B805-B804)/B804</f>
        <v>8.2211145004090404E-3</v>
      </c>
      <c r="H805" s="4">
        <f t="shared" si="12"/>
        <v>-1.4360730455962244E-2</v>
      </c>
      <c r="I805" s="271"/>
      <c r="J805" s="4"/>
    </row>
    <row r="806" spans="1:10" ht="14.25" customHeight="1" x14ac:dyDescent="0.3">
      <c r="A806" s="272">
        <v>45107</v>
      </c>
      <c r="B806" s="4">
        <v>19189.05</v>
      </c>
      <c r="C806" s="272">
        <v>45107</v>
      </c>
      <c r="D806" s="4">
        <v>5008.9799999999996</v>
      </c>
      <c r="E806" s="271"/>
      <c r="F806" s="271"/>
      <c r="G806" s="273">
        <f>(B806-B805)/B805</f>
        <v>1.1435212759789414E-2</v>
      </c>
      <c r="H806" s="4">
        <f t="shared" si="12"/>
        <v>2.1279979447907153E-2</v>
      </c>
      <c r="I806" s="271"/>
      <c r="J806" s="4"/>
    </row>
    <row r="807" spans="1:10" ht="14.25" customHeight="1" x14ac:dyDescent="0.3">
      <c r="A807" s="272">
        <v>45110</v>
      </c>
      <c r="B807" s="4">
        <v>19322.55</v>
      </c>
      <c r="C807" s="272">
        <v>45110</v>
      </c>
      <c r="D807" s="4">
        <v>5022.62</v>
      </c>
      <c r="E807" s="271"/>
      <c r="F807" s="271"/>
      <c r="G807" s="273">
        <f>(B807-B806)/B806</f>
        <v>6.9570927169401303E-3</v>
      </c>
      <c r="H807" s="4">
        <f t="shared" si="12"/>
        <v>2.7231092957049796E-3</v>
      </c>
      <c r="I807" s="271"/>
      <c r="J807" s="4"/>
    </row>
    <row r="808" spans="1:10" ht="14.25" customHeight="1" x14ac:dyDescent="0.3">
      <c r="A808" s="272">
        <v>45111</v>
      </c>
      <c r="B808" s="4">
        <v>19389</v>
      </c>
      <c r="C808" s="272">
        <v>45111</v>
      </c>
      <c r="D808" s="4">
        <v>5060.3999999999996</v>
      </c>
      <c r="E808" s="271"/>
      <c r="F808" s="271"/>
      <c r="G808" s="273">
        <f>(B808-B807)/B807</f>
        <v>3.4389870902132862E-3</v>
      </c>
      <c r="H808" s="4">
        <f t="shared" si="12"/>
        <v>7.5219706049830058E-3</v>
      </c>
      <c r="I808" s="271"/>
      <c r="J808" s="4"/>
    </row>
    <row r="809" spans="1:10" ht="14.25" customHeight="1" x14ac:dyDescent="0.3">
      <c r="A809" s="272">
        <v>45112</v>
      </c>
      <c r="B809" s="4">
        <v>19398.5</v>
      </c>
      <c r="C809" s="272">
        <v>45112</v>
      </c>
      <c r="D809" s="4">
        <v>5052.26</v>
      </c>
      <c r="E809" s="271"/>
      <c r="F809" s="271"/>
      <c r="G809" s="273">
        <f>(B809-B808)/B808</f>
        <v>4.8996853886224153E-4</v>
      </c>
      <c r="H809" s="4">
        <f t="shared" si="12"/>
        <v>-1.6085684926091649E-3</v>
      </c>
      <c r="I809" s="271"/>
      <c r="J809" s="4"/>
    </row>
    <row r="810" spans="1:10" ht="14.25" customHeight="1" x14ac:dyDescent="0.3">
      <c r="A810" s="272">
        <v>45113</v>
      </c>
      <c r="B810" s="4">
        <v>19497.3</v>
      </c>
      <c r="C810" s="272">
        <v>45113</v>
      </c>
      <c r="D810" s="4">
        <v>4990.67</v>
      </c>
      <c r="E810" s="271"/>
      <c r="F810" s="271"/>
      <c r="G810" s="273">
        <f>(B810-B809)/B809</f>
        <v>5.0931773075237399E-3</v>
      </c>
      <c r="H810" s="4">
        <f t="shared" si="12"/>
        <v>-1.2190584015866195E-2</v>
      </c>
      <c r="I810" s="271"/>
      <c r="J810" s="4"/>
    </row>
    <row r="811" spans="1:10" ht="14.25" customHeight="1" x14ac:dyDescent="0.3">
      <c r="A811" s="272">
        <v>45114</v>
      </c>
      <c r="B811" s="4">
        <v>19331.8</v>
      </c>
      <c r="C811" s="272">
        <v>45114</v>
      </c>
      <c r="D811" s="4">
        <v>4929.33</v>
      </c>
      <c r="E811" s="271"/>
      <c r="F811" s="271"/>
      <c r="G811" s="273">
        <f>(B811-B810)/B810</f>
        <v>-8.4883547978438049E-3</v>
      </c>
      <c r="H811" s="4">
        <f t="shared" si="12"/>
        <v>-1.2290934884494495E-2</v>
      </c>
      <c r="I811" s="271"/>
      <c r="J811" s="4"/>
    </row>
    <row r="812" spans="1:10" ht="14.25" customHeight="1" x14ac:dyDescent="0.3">
      <c r="A812" s="272">
        <v>45117</v>
      </c>
      <c r="B812" s="4">
        <v>19355.900000000001</v>
      </c>
      <c r="C812" s="272">
        <v>45117</v>
      </c>
      <c r="D812" s="4">
        <v>4854.7299999999996</v>
      </c>
      <c r="E812" s="271"/>
      <c r="F812" s="271"/>
      <c r="G812" s="273">
        <f>(B812-B811)/B811</f>
        <v>1.2466505964267261E-3</v>
      </c>
      <c r="H812" s="4">
        <f t="shared" si="12"/>
        <v>-1.5133902579052399E-2</v>
      </c>
      <c r="I812" s="271"/>
      <c r="J812" s="4"/>
    </row>
    <row r="813" spans="1:10" ht="14.25" customHeight="1" x14ac:dyDescent="0.3">
      <c r="A813" s="272">
        <v>45118</v>
      </c>
      <c r="B813" s="4">
        <v>19439.400000000001</v>
      </c>
      <c r="C813" s="272">
        <v>45118</v>
      </c>
      <c r="D813" s="4">
        <v>4783.33</v>
      </c>
      <c r="E813" s="271"/>
      <c r="F813" s="271"/>
      <c r="G813" s="273">
        <f>(B813-B812)/B812</f>
        <v>4.3139301194984473E-3</v>
      </c>
      <c r="H813" s="4">
        <f t="shared" si="12"/>
        <v>-1.4707306070574397E-2</v>
      </c>
      <c r="I813" s="271"/>
      <c r="J813" s="4"/>
    </row>
    <row r="814" spans="1:10" ht="14.25" customHeight="1" x14ac:dyDescent="0.3">
      <c r="A814" s="272">
        <v>45119</v>
      </c>
      <c r="B814" s="4">
        <v>19384.3</v>
      </c>
      <c r="C814" s="272">
        <v>45119</v>
      </c>
      <c r="D814" s="4">
        <v>4678.37</v>
      </c>
      <c r="E814" s="271"/>
      <c r="F814" s="271"/>
      <c r="G814" s="273">
        <f>(B814-B813)/B813</f>
        <v>-2.8344496229308611E-3</v>
      </c>
      <c r="H814" s="4">
        <f t="shared" si="12"/>
        <v>-2.1942872434057452E-2</v>
      </c>
      <c r="I814" s="271"/>
      <c r="J814" s="4"/>
    </row>
    <row r="815" spans="1:10" ht="14.25" customHeight="1" x14ac:dyDescent="0.3">
      <c r="A815" s="272">
        <v>45120</v>
      </c>
      <c r="B815" s="4">
        <v>19413.75</v>
      </c>
      <c r="C815" s="272">
        <v>45120</v>
      </c>
      <c r="D815" s="4">
        <v>4753.26</v>
      </c>
      <c r="E815" s="271"/>
      <c r="F815" s="271"/>
      <c r="G815" s="273">
        <f>(B815-B814)/B814</f>
        <v>1.5192707500400185E-3</v>
      </c>
      <c r="H815" s="4">
        <f t="shared" si="12"/>
        <v>1.6007712087757132E-2</v>
      </c>
      <c r="I815" s="271"/>
      <c r="J815" s="4"/>
    </row>
    <row r="816" spans="1:10" ht="14.25" customHeight="1" x14ac:dyDescent="0.3">
      <c r="A816" s="272">
        <v>45121</v>
      </c>
      <c r="B816" s="4">
        <v>19564.5</v>
      </c>
      <c r="C816" s="272">
        <v>45121</v>
      </c>
      <c r="D816" s="4">
        <v>4947.3500000000004</v>
      </c>
      <c r="E816" s="271"/>
      <c r="F816" s="271"/>
      <c r="G816" s="273">
        <f>(B816-B815)/B815</f>
        <v>7.7651149314274673E-3</v>
      </c>
      <c r="H816" s="4">
        <f t="shared" si="12"/>
        <v>4.0833028279538705E-2</v>
      </c>
      <c r="I816" s="271"/>
      <c r="J816" s="4"/>
    </row>
    <row r="817" spans="1:10" ht="14.25" customHeight="1" x14ac:dyDescent="0.3">
      <c r="A817" s="272">
        <v>45124</v>
      </c>
      <c r="B817" s="4">
        <v>19711.45</v>
      </c>
      <c r="C817" s="272">
        <v>45124</v>
      </c>
      <c r="D817" s="4">
        <v>4987.8999999999996</v>
      </c>
      <c r="E817" s="271"/>
      <c r="F817" s="271"/>
      <c r="G817" s="273">
        <f>(B817-B816)/B816</f>
        <v>7.511053183061194E-3</v>
      </c>
      <c r="H817" s="4">
        <f t="shared" si="12"/>
        <v>8.1963071139093194E-3</v>
      </c>
      <c r="I817" s="271"/>
      <c r="J817" s="4"/>
    </row>
    <row r="818" spans="1:10" ht="14.25" customHeight="1" x14ac:dyDescent="0.3">
      <c r="A818" s="272">
        <v>45125</v>
      </c>
      <c r="B818" s="4">
        <v>19749.25</v>
      </c>
      <c r="C818" s="272">
        <v>45125</v>
      </c>
      <c r="D818" s="4">
        <v>4858.03</v>
      </c>
      <c r="E818" s="271"/>
      <c r="F818" s="271"/>
      <c r="G818" s="273">
        <f>(B818-B817)/B817</f>
        <v>1.9176671427012864E-3</v>
      </c>
      <c r="H818" s="4">
        <f t="shared" si="12"/>
        <v>-2.6037009563142786E-2</v>
      </c>
      <c r="I818" s="271"/>
      <c r="J818" s="4"/>
    </row>
    <row r="819" spans="1:10" ht="14.25" customHeight="1" x14ac:dyDescent="0.3">
      <c r="A819" s="272">
        <v>45126</v>
      </c>
      <c r="B819" s="4">
        <v>19833.150000000001</v>
      </c>
      <c r="C819" s="272">
        <v>45126</v>
      </c>
      <c r="D819" s="4">
        <v>4847.68</v>
      </c>
      <c r="E819" s="271"/>
      <c r="F819" s="271"/>
      <c r="G819" s="273">
        <f>(B819-B818)/B818</f>
        <v>4.248262592250412E-3</v>
      </c>
      <c r="H819" s="4">
        <f t="shared" si="12"/>
        <v>-2.130493224619744E-3</v>
      </c>
      <c r="I819" s="271"/>
      <c r="J819" s="4"/>
    </row>
    <row r="820" spans="1:10" ht="14.25" customHeight="1" x14ac:dyDescent="0.3">
      <c r="A820" s="272">
        <v>45127</v>
      </c>
      <c r="B820" s="4">
        <v>19979.150000000001</v>
      </c>
      <c r="C820" s="272">
        <v>45127</v>
      </c>
      <c r="D820" s="4">
        <v>4842.3900000000003</v>
      </c>
      <c r="E820" s="271"/>
      <c r="F820" s="271"/>
      <c r="G820" s="273">
        <f>(B820-B819)/B819</f>
        <v>7.3614125844860745E-3</v>
      </c>
      <c r="H820" s="4">
        <f t="shared" si="12"/>
        <v>-1.0912436464453024E-3</v>
      </c>
      <c r="I820" s="271"/>
      <c r="J820" s="4"/>
    </row>
    <row r="821" spans="1:10" ht="14.25" customHeight="1" x14ac:dyDescent="0.3">
      <c r="A821" s="272">
        <v>45128</v>
      </c>
      <c r="B821" s="4">
        <v>19745</v>
      </c>
      <c r="C821" s="272">
        <v>45128</v>
      </c>
      <c r="D821" s="4">
        <v>4781.87</v>
      </c>
      <c r="E821" s="271"/>
      <c r="F821" s="271"/>
      <c r="G821" s="273">
        <f>(B821-B820)/B820</f>
        <v>-1.1719717805812631E-2</v>
      </c>
      <c r="H821" s="4">
        <f t="shared" si="12"/>
        <v>-1.249796071774484E-2</v>
      </c>
      <c r="I821" s="271"/>
      <c r="J821" s="4"/>
    </row>
    <row r="822" spans="1:10" ht="14.25" customHeight="1" x14ac:dyDescent="0.3">
      <c r="A822" s="272">
        <v>45131</v>
      </c>
      <c r="B822" s="4">
        <v>19672.349999999999</v>
      </c>
      <c r="C822" s="272">
        <v>45131</v>
      </c>
      <c r="D822" s="4">
        <v>4739.42</v>
      </c>
      <c r="E822" s="271"/>
      <c r="F822" s="271"/>
      <c r="G822" s="273">
        <f>(B822-B821)/B821</f>
        <v>-3.6794125094961488E-3</v>
      </c>
      <c r="H822" s="4">
        <f t="shared" si="12"/>
        <v>-8.8772802271914163E-3</v>
      </c>
      <c r="I822" s="271"/>
      <c r="J822" s="4"/>
    </row>
    <row r="823" spans="1:10" ht="14.25" customHeight="1" x14ac:dyDescent="0.3">
      <c r="A823" s="272">
        <v>45132</v>
      </c>
      <c r="B823" s="4">
        <v>19680.599999999999</v>
      </c>
      <c r="C823" s="272">
        <v>45132</v>
      </c>
      <c r="D823" s="4">
        <v>4729.32</v>
      </c>
      <c r="E823" s="271"/>
      <c r="F823" s="271"/>
      <c r="G823" s="273">
        <f>(B823-B822)/B822</f>
        <v>4.1937033450502868E-4</v>
      </c>
      <c r="H823" s="4">
        <f t="shared" si="12"/>
        <v>-2.1310624506796958E-3</v>
      </c>
      <c r="I823" s="271"/>
      <c r="J823" s="4"/>
    </row>
    <row r="824" spans="1:10" ht="14.25" customHeight="1" x14ac:dyDescent="0.3">
      <c r="A824" s="272">
        <v>45133</v>
      </c>
      <c r="B824" s="4">
        <v>19778.3</v>
      </c>
      <c r="C824" s="272">
        <v>45133</v>
      </c>
      <c r="D824" s="4">
        <v>4721.45</v>
      </c>
      <c r="E824" s="271"/>
      <c r="F824" s="271"/>
      <c r="G824" s="273">
        <f>(B824-B823)/B823</f>
        <v>4.9642795443228726E-3</v>
      </c>
      <c r="H824" s="4">
        <f t="shared" si="12"/>
        <v>-1.664087014623644E-3</v>
      </c>
      <c r="I824" s="271"/>
      <c r="J824" s="4"/>
    </row>
    <row r="825" spans="1:10" ht="14.25" customHeight="1" x14ac:dyDescent="0.3">
      <c r="A825" s="272">
        <v>45134</v>
      </c>
      <c r="B825" s="4">
        <v>19659.900000000001</v>
      </c>
      <c r="C825" s="272">
        <v>45134</v>
      </c>
      <c r="D825" s="4">
        <v>4723.3</v>
      </c>
      <c r="E825" s="271"/>
      <c r="F825" s="271"/>
      <c r="G825" s="273">
        <f>(B825-B824)/B824</f>
        <v>-5.9863587871555098E-3</v>
      </c>
      <c r="H825" s="4">
        <f t="shared" si="12"/>
        <v>3.9182878141256686E-4</v>
      </c>
      <c r="I825" s="271"/>
      <c r="J825" s="4"/>
    </row>
    <row r="826" spans="1:10" ht="14.25" customHeight="1" x14ac:dyDescent="0.3">
      <c r="A826" s="272">
        <v>45135</v>
      </c>
      <c r="B826" s="4">
        <v>19646.05</v>
      </c>
      <c r="C826" s="272">
        <v>45135</v>
      </c>
      <c r="D826" s="4">
        <v>4705.42</v>
      </c>
      <c r="E826" s="271"/>
      <c r="F826" s="271"/>
      <c r="G826" s="273">
        <f>(B826-B825)/B825</f>
        <v>-7.0447967690589379E-4</v>
      </c>
      <c r="H826" s="4">
        <f t="shared" si="12"/>
        <v>-3.7854889589905593E-3</v>
      </c>
      <c r="I826" s="271"/>
      <c r="J826" s="4"/>
    </row>
    <row r="827" spans="1:10" ht="14.25" customHeight="1" x14ac:dyDescent="0.3">
      <c r="A827" s="272">
        <v>45138</v>
      </c>
      <c r="B827" s="4">
        <v>19753.8</v>
      </c>
      <c r="C827" s="272">
        <v>45138</v>
      </c>
      <c r="D827" s="4">
        <v>4751.66</v>
      </c>
      <c r="E827" s="271"/>
      <c r="F827" s="271"/>
      <c r="G827" s="273">
        <f>(B827-B826)/B826</f>
        <v>5.4845630546598431E-3</v>
      </c>
      <c r="H827" s="4">
        <f t="shared" si="12"/>
        <v>9.8269654993602649E-3</v>
      </c>
      <c r="I827" s="271"/>
      <c r="J827" s="4"/>
    </row>
    <row r="828" spans="1:10" ht="14.25" customHeight="1" x14ac:dyDescent="0.3">
      <c r="A828" s="272">
        <v>45139</v>
      </c>
      <c r="B828" s="4">
        <v>19733.55</v>
      </c>
      <c r="C828" s="272">
        <v>45139</v>
      </c>
      <c r="D828" s="4">
        <v>4835.01</v>
      </c>
      <c r="E828" s="271"/>
      <c r="F828" s="271"/>
      <c r="G828" s="273">
        <f>(B828-B827)/B827</f>
        <v>-1.0251192175682654E-3</v>
      </c>
      <c r="H828" s="4">
        <f t="shared" si="12"/>
        <v>1.7541238219906382E-2</v>
      </c>
      <c r="I828" s="271"/>
      <c r="J828" s="4"/>
    </row>
    <row r="829" spans="1:10" ht="14.25" customHeight="1" x14ac:dyDescent="0.3">
      <c r="A829" s="272">
        <v>45140</v>
      </c>
      <c r="B829" s="4">
        <v>19526.55</v>
      </c>
      <c r="C829" s="272">
        <v>45140</v>
      </c>
      <c r="D829" s="4">
        <v>4726.7</v>
      </c>
      <c r="E829" s="271"/>
      <c r="F829" s="271"/>
      <c r="G829" s="273">
        <f>(B829-B828)/B828</f>
        <v>-1.0489749690248334E-2</v>
      </c>
      <c r="H829" s="4">
        <f t="shared" si="12"/>
        <v>-2.2401194620073256E-2</v>
      </c>
      <c r="I829" s="271"/>
      <c r="J829" s="4"/>
    </row>
    <row r="830" spans="1:10" ht="14.25" customHeight="1" x14ac:dyDescent="0.3">
      <c r="A830" s="272">
        <v>45141</v>
      </c>
      <c r="B830" s="4">
        <v>19381.650000000001</v>
      </c>
      <c r="C830" s="272">
        <v>45141</v>
      </c>
      <c r="D830" s="4">
        <v>4730.53</v>
      </c>
      <c r="E830" s="271"/>
      <c r="F830" s="271"/>
      <c r="G830" s="273">
        <f>(B830-B829)/B829</f>
        <v>-7.4206657089961013E-3</v>
      </c>
      <c r="H830" s="4">
        <f t="shared" si="12"/>
        <v>8.1029047750014334E-4</v>
      </c>
      <c r="I830" s="271"/>
      <c r="J830" s="4"/>
    </row>
    <row r="831" spans="1:10" ht="14.25" customHeight="1" x14ac:dyDescent="0.3">
      <c r="A831" s="272">
        <v>45142</v>
      </c>
      <c r="B831" s="4">
        <v>19517</v>
      </c>
      <c r="C831" s="272">
        <v>45142</v>
      </c>
      <c r="D831" s="4">
        <v>4799.5</v>
      </c>
      <c r="E831" s="271"/>
      <c r="F831" s="271"/>
      <c r="G831" s="273">
        <f>(B831-B830)/B830</f>
        <v>6.9834095652330187E-3</v>
      </c>
      <c r="H831" s="4">
        <f t="shared" si="12"/>
        <v>1.4579761675753089E-2</v>
      </c>
      <c r="I831" s="271"/>
      <c r="J831" s="4"/>
    </row>
    <row r="832" spans="1:10" ht="14.25" customHeight="1" x14ac:dyDescent="0.3">
      <c r="A832" s="272">
        <v>45145</v>
      </c>
      <c r="B832" s="4">
        <v>19597.3</v>
      </c>
      <c r="C832" s="272">
        <v>45145</v>
      </c>
      <c r="D832" s="4">
        <v>4902.6099999999997</v>
      </c>
      <c r="E832" s="271"/>
      <c r="F832" s="271"/>
      <c r="G832" s="273">
        <f>(B832-B831)/B831</f>
        <v>4.1143618383972574E-3</v>
      </c>
      <c r="H832" s="4">
        <f t="shared" si="12"/>
        <v>2.1483487863319026E-2</v>
      </c>
      <c r="I832" s="271"/>
      <c r="J832" s="4"/>
    </row>
    <row r="833" spans="1:10" ht="14.25" customHeight="1" x14ac:dyDescent="0.3">
      <c r="A833" s="272">
        <v>45146</v>
      </c>
      <c r="B833" s="4">
        <v>19570.849999999999</v>
      </c>
      <c r="C833" s="272">
        <v>45146</v>
      </c>
      <c r="D833" s="4">
        <v>4937.1000000000004</v>
      </c>
      <c r="E833" s="271"/>
      <c r="F833" s="271"/>
      <c r="G833" s="273">
        <f>(B833-B832)/B832</f>
        <v>-1.3496757206350226E-3</v>
      </c>
      <c r="H833" s="4">
        <f t="shared" si="12"/>
        <v>7.0350282808546247E-3</v>
      </c>
      <c r="I833" s="271"/>
      <c r="J833" s="4"/>
    </row>
    <row r="834" spans="1:10" ht="14.25" customHeight="1" x14ac:dyDescent="0.3">
      <c r="A834" s="272">
        <v>45147</v>
      </c>
      <c r="B834" s="4">
        <v>19632.55</v>
      </c>
      <c r="C834" s="272">
        <v>45147</v>
      </c>
      <c r="D834" s="4">
        <v>4958.13</v>
      </c>
      <c r="E834" s="271"/>
      <c r="F834" s="271"/>
      <c r="G834" s="273">
        <f>(B834-B833)/B833</f>
        <v>3.1526479432421551E-3</v>
      </c>
      <c r="H834" s="4">
        <f t="shared" si="12"/>
        <v>4.2595855866803881E-3</v>
      </c>
      <c r="I834" s="271"/>
      <c r="J834" s="4"/>
    </row>
    <row r="835" spans="1:10" ht="14.25" customHeight="1" x14ac:dyDescent="0.3">
      <c r="A835" s="272">
        <v>45148</v>
      </c>
      <c r="B835" s="4">
        <v>19543.099999999999</v>
      </c>
      <c r="C835" s="272">
        <v>45148</v>
      </c>
      <c r="D835" s="4">
        <v>4960.41</v>
      </c>
      <c r="E835" s="271"/>
      <c r="F835" s="271"/>
      <c r="G835" s="273">
        <f>(B835-B834)/B834</f>
        <v>-4.5562089489139587E-3</v>
      </c>
      <c r="H835" s="4">
        <f t="shared" ref="H835:H898" si="13">(D835-D834)/D834</f>
        <v>4.5985079051976156E-4</v>
      </c>
      <c r="I835" s="271"/>
      <c r="J835" s="4"/>
    </row>
    <row r="836" spans="1:10" ht="14.25" customHeight="1" x14ac:dyDescent="0.3">
      <c r="A836" s="272">
        <v>45149</v>
      </c>
      <c r="B836" s="4">
        <v>19428.3</v>
      </c>
      <c r="C836" s="272">
        <v>45149</v>
      </c>
      <c r="D836" s="4">
        <v>4961.1899999999996</v>
      </c>
      <c r="E836" s="271"/>
      <c r="F836" s="271"/>
      <c r="G836" s="273">
        <f>(B836-B835)/B835</f>
        <v>-5.8741960077981119E-3</v>
      </c>
      <c r="H836" s="4">
        <f t="shared" si="13"/>
        <v>1.5724506643598923E-4</v>
      </c>
      <c r="I836" s="271"/>
      <c r="J836" s="4"/>
    </row>
    <row r="837" spans="1:10" ht="14.25" customHeight="1" x14ac:dyDescent="0.3">
      <c r="A837" s="272">
        <v>45152</v>
      </c>
      <c r="B837" s="4">
        <v>19434.55</v>
      </c>
      <c r="C837" s="272">
        <v>45152</v>
      </c>
      <c r="D837" s="4">
        <v>5044.68</v>
      </c>
      <c r="E837" s="271"/>
      <c r="F837" s="271"/>
      <c r="G837" s="273">
        <f>(B837-B836)/B836</f>
        <v>3.2169567074834135E-4</v>
      </c>
      <c r="H837" s="4">
        <f t="shared" si="13"/>
        <v>1.6828623777763136E-2</v>
      </c>
      <c r="I837" s="271"/>
      <c r="J837" s="4"/>
    </row>
    <row r="838" spans="1:10" ht="14.25" customHeight="1" x14ac:dyDescent="0.3">
      <c r="A838" s="272">
        <v>45154</v>
      </c>
      <c r="B838" s="4">
        <v>19465</v>
      </c>
      <c r="C838" s="272">
        <v>45154</v>
      </c>
      <c r="D838" s="4">
        <v>5049.1499999999996</v>
      </c>
      <c r="E838" s="271"/>
      <c r="F838" s="271"/>
      <c r="G838" s="273">
        <f>(B838-B837)/B837</f>
        <v>1.5667972759853318E-3</v>
      </c>
      <c r="H838" s="4">
        <f t="shared" si="13"/>
        <v>8.8608197150252246E-4</v>
      </c>
      <c r="I838" s="271"/>
      <c r="J838" s="4"/>
    </row>
    <row r="839" spans="1:10" ht="14.25" customHeight="1" x14ac:dyDescent="0.3">
      <c r="A839" s="272">
        <v>45155</v>
      </c>
      <c r="B839" s="4">
        <v>19365.25</v>
      </c>
      <c r="C839" s="272">
        <v>45155</v>
      </c>
      <c r="D839" s="4">
        <v>4951.67</v>
      </c>
      <c r="E839" s="271"/>
      <c r="F839" s="271"/>
      <c r="G839" s="273">
        <f>(B839-B838)/B838</f>
        <v>-5.124582584125353E-3</v>
      </c>
      <c r="H839" s="4">
        <f t="shared" si="13"/>
        <v>-1.9306219858788026E-2</v>
      </c>
      <c r="I839" s="271"/>
      <c r="J839" s="4"/>
    </row>
    <row r="840" spans="1:10" ht="14.25" customHeight="1" x14ac:dyDescent="0.3">
      <c r="A840" s="272">
        <v>45156</v>
      </c>
      <c r="B840" s="4">
        <v>19310.150000000001</v>
      </c>
      <c r="C840" s="272">
        <v>45156</v>
      </c>
      <c r="D840" s="4">
        <v>4939.62</v>
      </c>
      <c r="E840" s="271"/>
      <c r="F840" s="271"/>
      <c r="G840" s="273">
        <f>(B840-B839)/B839</f>
        <v>-2.8453027975367498E-3</v>
      </c>
      <c r="H840" s="4">
        <f t="shared" si="13"/>
        <v>-2.4335224277870259E-3</v>
      </c>
      <c r="I840" s="271"/>
      <c r="J840" s="4"/>
    </row>
    <row r="841" spans="1:10" ht="14.25" customHeight="1" x14ac:dyDescent="0.3">
      <c r="A841" s="272">
        <v>45159</v>
      </c>
      <c r="B841" s="4">
        <v>19393.599999999999</v>
      </c>
      <c r="C841" s="272">
        <v>45159</v>
      </c>
      <c r="D841" s="4">
        <v>5000.24</v>
      </c>
      <c r="E841" s="271"/>
      <c r="F841" s="271"/>
      <c r="G841" s="273">
        <f>(B841-B840)/B840</f>
        <v>4.3215614586109936E-3</v>
      </c>
      <c r="H841" s="4">
        <f t="shared" si="13"/>
        <v>1.2272199076042265E-2</v>
      </c>
      <c r="I841" s="271"/>
      <c r="J841" s="4"/>
    </row>
    <row r="842" spans="1:10" ht="14.25" customHeight="1" x14ac:dyDescent="0.3">
      <c r="A842" s="272">
        <v>45160</v>
      </c>
      <c r="B842" s="4">
        <v>19396.45</v>
      </c>
      <c r="C842" s="272">
        <v>45160</v>
      </c>
      <c r="D842" s="4">
        <v>4992.8100000000004</v>
      </c>
      <c r="E842" s="271"/>
      <c r="F842" s="271"/>
      <c r="G842" s="273">
        <f>(B842-B841)/B841</f>
        <v>1.4695569672480525E-4</v>
      </c>
      <c r="H842" s="4">
        <f t="shared" si="13"/>
        <v>-1.485928675423456E-3</v>
      </c>
      <c r="I842" s="271"/>
      <c r="J842" s="4"/>
    </row>
    <row r="843" spans="1:10" ht="14.25" customHeight="1" x14ac:dyDescent="0.3">
      <c r="A843" s="272">
        <v>45161</v>
      </c>
      <c r="B843" s="4">
        <v>19444</v>
      </c>
      <c r="C843" s="272">
        <v>45161</v>
      </c>
      <c r="D843" s="4">
        <v>5026.42</v>
      </c>
      <c r="E843" s="271"/>
      <c r="F843" s="271"/>
      <c r="G843" s="273">
        <f>(B843-B842)/B842</f>
        <v>2.4514795233147959E-3</v>
      </c>
      <c r="H843" s="4">
        <f t="shared" si="13"/>
        <v>6.7316801560643545E-3</v>
      </c>
      <c r="I843" s="271"/>
      <c r="J843" s="4"/>
    </row>
    <row r="844" spans="1:10" ht="14.25" customHeight="1" x14ac:dyDescent="0.3">
      <c r="A844" s="272">
        <v>45162</v>
      </c>
      <c r="B844" s="4">
        <v>19386.7</v>
      </c>
      <c r="C844" s="272">
        <v>45162</v>
      </c>
      <c r="D844" s="4">
        <v>5022.1899999999996</v>
      </c>
      <c r="E844" s="271"/>
      <c r="F844" s="271"/>
      <c r="G844" s="273">
        <f>(B844-B843)/B843</f>
        <v>-2.9469245011314168E-3</v>
      </c>
      <c r="H844" s="4">
        <f t="shared" si="13"/>
        <v>-8.415532327184105E-4</v>
      </c>
      <c r="I844" s="271"/>
      <c r="J844" s="4"/>
    </row>
    <row r="845" spans="1:10" ht="14.25" customHeight="1" x14ac:dyDescent="0.3">
      <c r="A845" s="272">
        <v>45163</v>
      </c>
      <c r="B845" s="4">
        <v>19265.8</v>
      </c>
      <c r="C845" s="272">
        <v>45163</v>
      </c>
      <c r="D845" s="4">
        <v>4980.67</v>
      </c>
      <c r="E845" s="271"/>
      <c r="F845" s="271"/>
      <c r="G845" s="273">
        <f>(B845-B844)/B844</f>
        <v>-6.2362341192674078E-3</v>
      </c>
      <c r="H845" s="4">
        <f t="shared" si="13"/>
        <v>-8.2673096796416559E-3</v>
      </c>
      <c r="I845" s="271"/>
      <c r="J845" s="4"/>
    </row>
    <row r="846" spans="1:10" ht="14.25" customHeight="1" x14ac:dyDescent="0.3">
      <c r="A846" s="272">
        <v>45166</v>
      </c>
      <c r="B846" s="4">
        <v>19306.05</v>
      </c>
      <c r="C846" s="272">
        <v>45166</v>
      </c>
      <c r="D846" s="4">
        <v>4983.1400000000003</v>
      </c>
      <c r="E846" s="271"/>
      <c r="F846" s="271"/>
      <c r="G846" s="273">
        <f>(B846-B845)/B845</f>
        <v>2.0891943236200938E-3</v>
      </c>
      <c r="H846" s="4">
        <f t="shared" si="13"/>
        <v>4.959172159569405E-4</v>
      </c>
      <c r="I846" s="271"/>
      <c r="J846" s="4"/>
    </row>
    <row r="847" spans="1:10" ht="14.25" customHeight="1" x14ac:dyDescent="0.3">
      <c r="A847" s="272">
        <v>45167</v>
      </c>
      <c r="B847" s="4">
        <v>19342.650000000001</v>
      </c>
      <c r="C847" s="272">
        <v>45167</v>
      </c>
      <c r="D847" s="4">
        <v>4989.75</v>
      </c>
      <c r="E847" s="271"/>
      <c r="F847" s="271"/>
      <c r="G847" s="273">
        <f>(B847-B846)/B846</f>
        <v>1.8957787843708156E-3</v>
      </c>
      <c r="H847" s="4">
        <f t="shared" si="13"/>
        <v>1.326472866505792E-3</v>
      </c>
      <c r="I847" s="271"/>
      <c r="J847" s="4"/>
    </row>
    <row r="848" spans="1:10" ht="14.25" customHeight="1" x14ac:dyDescent="0.3">
      <c r="A848" s="272">
        <v>45168</v>
      </c>
      <c r="B848" s="4">
        <v>19347.45</v>
      </c>
      <c r="C848" s="272">
        <v>45168</v>
      </c>
      <c r="D848" s="4">
        <v>5025.59</v>
      </c>
      <c r="E848" s="271"/>
      <c r="F848" s="271"/>
      <c r="G848" s="273">
        <f>(B848-B847)/B847</f>
        <v>2.4815627641503477E-4</v>
      </c>
      <c r="H848" s="4">
        <f t="shared" si="13"/>
        <v>7.1827245854000996E-3</v>
      </c>
      <c r="I848" s="271"/>
      <c r="J848" s="4"/>
    </row>
    <row r="849" spans="1:10" ht="14.25" customHeight="1" x14ac:dyDescent="0.3">
      <c r="A849" s="272">
        <v>45169</v>
      </c>
      <c r="B849" s="4">
        <v>19253.8</v>
      </c>
      <c r="C849" s="272">
        <v>45169</v>
      </c>
      <c r="D849" s="4">
        <v>5044.78</v>
      </c>
      <c r="E849" s="271"/>
      <c r="F849" s="271"/>
      <c r="G849" s="273">
        <f>(B849-B848)/B848</f>
        <v>-4.8404311679317667E-3</v>
      </c>
      <c r="H849" s="4">
        <f t="shared" si="13"/>
        <v>3.8184571363759478E-3</v>
      </c>
      <c r="I849" s="271"/>
      <c r="J849" s="4"/>
    </row>
    <row r="850" spans="1:10" ht="14.25" customHeight="1" x14ac:dyDescent="0.3">
      <c r="A850" s="272">
        <v>45170</v>
      </c>
      <c r="B850" s="4">
        <v>19435.3</v>
      </c>
      <c r="C850" s="272">
        <v>45170</v>
      </c>
      <c r="D850" s="4">
        <v>5151.58</v>
      </c>
      <c r="E850" s="271"/>
      <c r="F850" s="271"/>
      <c r="G850" s="273">
        <f>(B850-B849)/B849</f>
        <v>9.4267105714196681E-3</v>
      </c>
      <c r="H850" s="4">
        <f t="shared" si="13"/>
        <v>2.1170397916261994E-2</v>
      </c>
      <c r="I850" s="271"/>
      <c r="J850" s="4"/>
    </row>
    <row r="851" spans="1:10" ht="14.25" customHeight="1" x14ac:dyDescent="0.3">
      <c r="A851" s="272">
        <v>45173</v>
      </c>
      <c r="B851" s="4">
        <v>19528.8</v>
      </c>
      <c r="C851" s="272">
        <v>45173</v>
      </c>
      <c r="D851" s="4">
        <v>5212.1499999999996</v>
      </c>
      <c r="E851" s="271"/>
      <c r="F851" s="271"/>
      <c r="G851" s="273">
        <f>(B851-B850)/B850</f>
        <v>4.8108338950260607E-3</v>
      </c>
      <c r="H851" s="4">
        <f t="shared" si="13"/>
        <v>1.1757557875447865E-2</v>
      </c>
      <c r="I851" s="271"/>
      <c r="J851" s="4"/>
    </row>
    <row r="852" spans="1:10" ht="14.25" customHeight="1" x14ac:dyDescent="0.3">
      <c r="A852" s="272">
        <v>45174</v>
      </c>
      <c r="B852" s="4">
        <v>19574.900000000001</v>
      </c>
      <c r="C852" s="272">
        <v>45174</v>
      </c>
      <c r="D852" s="4">
        <v>5270.87</v>
      </c>
      <c r="E852" s="271"/>
      <c r="F852" s="271"/>
      <c r="G852" s="273">
        <f>(B852-B851)/B851</f>
        <v>2.3606161156856636E-3</v>
      </c>
      <c r="H852" s="4">
        <f t="shared" si="13"/>
        <v>1.1265984286714745E-2</v>
      </c>
      <c r="I852" s="271"/>
      <c r="J852" s="4"/>
    </row>
    <row r="853" spans="1:10" ht="14.25" customHeight="1" x14ac:dyDescent="0.3">
      <c r="A853" s="272">
        <v>45175</v>
      </c>
      <c r="B853" s="4">
        <v>19611.05</v>
      </c>
      <c r="C853" s="272">
        <v>45175</v>
      </c>
      <c r="D853" s="4">
        <v>5252.51</v>
      </c>
      <c r="E853" s="271"/>
      <c r="F853" s="271"/>
      <c r="G853" s="273">
        <f>(B853-B852)/B852</f>
        <v>1.8467527292603187E-3</v>
      </c>
      <c r="H853" s="4">
        <f t="shared" si="13"/>
        <v>-3.4832959264788684E-3</v>
      </c>
      <c r="I853" s="271"/>
      <c r="J853" s="4"/>
    </row>
    <row r="854" spans="1:10" ht="14.25" customHeight="1" x14ac:dyDescent="0.3">
      <c r="A854" s="272">
        <v>45176</v>
      </c>
      <c r="B854" s="4">
        <v>19727.05</v>
      </c>
      <c r="C854" s="272">
        <v>45176</v>
      </c>
      <c r="D854" s="4">
        <v>5328.91</v>
      </c>
      <c r="E854" s="271"/>
      <c r="F854" s="271"/>
      <c r="G854" s="273">
        <f>(B854-B853)/B853</f>
        <v>5.9150325964188559E-3</v>
      </c>
      <c r="H854" s="4">
        <f t="shared" si="13"/>
        <v>1.4545426853066369E-2</v>
      </c>
      <c r="I854" s="271"/>
      <c r="J854" s="4"/>
    </row>
    <row r="855" spans="1:10" ht="14.25" customHeight="1" x14ac:dyDescent="0.3">
      <c r="A855" s="272">
        <v>45177</v>
      </c>
      <c r="B855" s="4">
        <v>19819.95</v>
      </c>
      <c r="C855" s="272">
        <v>45177</v>
      </c>
      <c r="D855" s="4">
        <v>5321.72</v>
      </c>
      <c r="E855" s="271"/>
      <c r="F855" s="271"/>
      <c r="G855" s="273">
        <f>(B855-B854)/B854</f>
        <v>4.709269759036524E-3</v>
      </c>
      <c r="H855" s="4">
        <f t="shared" si="13"/>
        <v>-1.3492440292666981E-3</v>
      </c>
      <c r="I855" s="271"/>
      <c r="J855" s="4"/>
    </row>
    <row r="856" spans="1:10" ht="14.25" customHeight="1" x14ac:dyDescent="0.3">
      <c r="A856" s="272">
        <v>45180</v>
      </c>
      <c r="B856" s="4">
        <v>19996.349999999999</v>
      </c>
      <c r="C856" s="272">
        <v>45180</v>
      </c>
      <c r="D856" s="4">
        <v>5351</v>
      </c>
      <c r="E856" s="271"/>
      <c r="F856" s="271"/>
      <c r="G856" s="273">
        <f>(B856-B855)/B855</f>
        <v>8.9001233605532706E-3</v>
      </c>
      <c r="H856" s="4">
        <f t="shared" si="13"/>
        <v>5.5019805626751773E-3</v>
      </c>
      <c r="I856" s="271"/>
      <c r="J856" s="4"/>
    </row>
    <row r="857" spans="1:10" ht="14.25" customHeight="1" x14ac:dyDescent="0.3">
      <c r="A857" s="272">
        <v>45181</v>
      </c>
      <c r="B857" s="4">
        <v>19993.2</v>
      </c>
      <c r="C857" s="272">
        <v>45181</v>
      </c>
      <c r="D857" s="4">
        <v>5347.9</v>
      </c>
      <c r="E857" s="271"/>
      <c r="F857" s="271"/>
      <c r="G857" s="273">
        <f>(B857-B856)/B856</f>
        <v>-1.5752874899658276E-4</v>
      </c>
      <c r="H857" s="4">
        <f t="shared" si="13"/>
        <v>-5.7933096617461479E-4</v>
      </c>
      <c r="I857" s="271"/>
      <c r="J857" s="4"/>
    </row>
    <row r="858" spans="1:10" ht="14.25" customHeight="1" x14ac:dyDescent="0.3">
      <c r="A858" s="272">
        <v>45182</v>
      </c>
      <c r="B858" s="4">
        <v>20070</v>
      </c>
      <c r="C858" s="272">
        <v>45182</v>
      </c>
      <c r="D858" s="4">
        <v>5380.58</v>
      </c>
      <c r="E858" s="271"/>
      <c r="F858" s="271"/>
      <c r="G858" s="273">
        <f>(B858-B857)/B857</f>
        <v>3.841306044054942E-3</v>
      </c>
      <c r="H858" s="4">
        <f t="shared" si="13"/>
        <v>6.1108098505956157E-3</v>
      </c>
      <c r="I858" s="271"/>
      <c r="J858" s="4"/>
    </row>
    <row r="859" spans="1:10" ht="14.25" customHeight="1" x14ac:dyDescent="0.3">
      <c r="A859" s="272">
        <v>45183</v>
      </c>
      <c r="B859" s="4">
        <v>20103.099999999999</v>
      </c>
      <c r="C859" s="272">
        <v>45183</v>
      </c>
      <c r="D859" s="4">
        <v>5341.24</v>
      </c>
      <c r="E859" s="271"/>
      <c r="F859" s="271"/>
      <c r="G859" s="273">
        <f>(B859-B858)/B858</f>
        <v>1.6492277030392898E-3</v>
      </c>
      <c r="H859" s="4">
        <f t="shared" si="13"/>
        <v>-7.3114794315854697E-3</v>
      </c>
      <c r="I859" s="271"/>
      <c r="J859" s="4"/>
    </row>
    <row r="860" spans="1:10" ht="14.25" customHeight="1" x14ac:dyDescent="0.3">
      <c r="A860" s="272">
        <v>45184</v>
      </c>
      <c r="B860" s="4">
        <v>20192.349999999999</v>
      </c>
      <c r="C860" s="272">
        <v>45184</v>
      </c>
      <c r="D860" s="4">
        <v>5374.46</v>
      </c>
      <c r="E860" s="271"/>
      <c r="F860" s="271"/>
      <c r="G860" s="273">
        <f>(B860-B859)/B859</f>
        <v>4.4396137909078698E-3</v>
      </c>
      <c r="H860" s="4">
        <f t="shared" si="13"/>
        <v>6.2195295474459598E-3</v>
      </c>
      <c r="I860" s="271"/>
      <c r="J860" s="4"/>
    </row>
    <row r="861" spans="1:10" ht="14.25" customHeight="1" x14ac:dyDescent="0.3">
      <c r="A861" s="272">
        <v>45187</v>
      </c>
      <c r="B861" s="4">
        <v>20133.3</v>
      </c>
      <c r="C861" s="272">
        <v>45187</v>
      </c>
      <c r="D861" s="4">
        <v>5355.96</v>
      </c>
      <c r="E861" s="271"/>
      <c r="F861" s="271"/>
      <c r="G861" s="273">
        <f>(B861-B860)/B860</f>
        <v>-2.9243748251193782E-3</v>
      </c>
      <c r="H861" s="4">
        <f t="shared" si="13"/>
        <v>-3.4422062867711361E-3</v>
      </c>
      <c r="I861" s="271"/>
      <c r="J861" s="4"/>
    </row>
    <row r="862" spans="1:10" ht="14.25" customHeight="1" x14ac:dyDescent="0.3">
      <c r="A862" s="272">
        <v>45189</v>
      </c>
      <c r="B862" s="4">
        <v>19901.400000000001</v>
      </c>
      <c r="C862" s="272">
        <v>45189</v>
      </c>
      <c r="D862" s="4">
        <v>5316.81</v>
      </c>
      <c r="E862" s="271"/>
      <c r="F862" s="271"/>
      <c r="G862" s="273">
        <f>(B862-B861)/B861</f>
        <v>-1.1518230990448552E-2</v>
      </c>
      <c r="H862" s="4">
        <f t="shared" si="13"/>
        <v>-7.3096139627629097E-3</v>
      </c>
      <c r="I862" s="271"/>
      <c r="J862" s="4"/>
    </row>
    <row r="863" spans="1:10" ht="14.25" customHeight="1" x14ac:dyDescent="0.3">
      <c r="A863" s="272">
        <v>45190</v>
      </c>
      <c r="B863" s="4">
        <v>19742.349999999999</v>
      </c>
      <c r="C863" s="272">
        <v>45190</v>
      </c>
      <c r="D863" s="4">
        <v>5239.78</v>
      </c>
      <c r="E863" s="271"/>
      <c r="F863" s="271"/>
      <c r="G863" s="273">
        <f>(B863-B862)/B862</f>
        <v>-7.9919000673320927E-3</v>
      </c>
      <c r="H863" s="4">
        <f t="shared" si="13"/>
        <v>-1.4488010668051077E-2</v>
      </c>
      <c r="I863" s="271"/>
      <c r="J863" s="4"/>
    </row>
    <row r="864" spans="1:10" ht="14.25" customHeight="1" x14ac:dyDescent="0.3">
      <c r="A864" s="272">
        <v>45191</v>
      </c>
      <c r="B864" s="4">
        <v>19674.25</v>
      </c>
      <c r="C864" s="272">
        <v>45191</v>
      </c>
      <c r="D864" s="4">
        <v>5272.18</v>
      </c>
      <c r="E864" s="271"/>
      <c r="F864" s="271"/>
      <c r="G864" s="273">
        <f>(B864-B863)/B863</f>
        <v>-3.449437377009249E-3</v>
      </c>
      <c r="H864" s="4">
        <f t="shared" si="13"/>
        <v>6.1834657180264334E-3</v>
      </c>
      <c r="I864" s="271"/>
      <c r="J864" s="4"/>
    </row>
    <row r="865" spans="1:10" ht="14.25" customHeight="1" x14ac:dyDescent="0.3">
      <c r="A865" s="272">
        <v>45194</v>
      </c>
      <c r="B865" s="4">
        <v>19674.55</v>
      </c>
      <c r="C865" s="272">
        <v>45194</v>
      </c>
      <c r="D865" s="4">
        <v>5223.22</v>
      </c>
      <c r="E865" s="271"/>
      <c r="F865" s="271"/>
      <c r="G865" s="273">
        <f>(B865-B864)/B864</f>
        <v>1.5248357624777179E-5</v>
      </c>
      <c r="H865" s="4">
        <f t="shared" si="13"/>
        <v>-9.2864811140742597E-3</v>
      </c>
      <c r="I865" s="271"/>
      <c r="J865" s="4"/>
    </row>
    <row r="866" spans="1:10" ht="14.25" customHeight="1" x14ac:dyDescent="0.3">
      <c r="A866" s="272">
        <v>45195</v>
      </c>
      <c r="B866" s="4">
        <v>19664.7</v>
      </c>
      <c r="C866" s="272">
        <v>45195</v>
      </c>
      <c r="D866" s="4">
        <v>5209.57</v>
      </c>
      <c r="E866" s="271"/>
      <c r="F866" s="271"/>
      <c r="G866" s="273">
        <f>(B866-B865)/B865</f>
        <v>-5.0064677464026089E-4</v>
      </c>
      <c r="H866" s="4">
        <f t="shared" si="13"/>
        <v>-2.6133304743052267E-3</v>
      </c>
      <c r="I866" s="271"/>
      <c r="J866" s="4"/>
    </row>
    <row r="867" spans="1:10" ht="14.25" customHeight="1" x14ac:dyDescent="0.3">
      <c r="A867" s="272">
        <v>45196</v>
      </c>
      <c r="B867" s="4">
        <v>19716.45</v>
      </c>
      <c r="C867" s="272">
        <v>45196</v>
      </c>
      <c r="D867" s="4">
        <v>5281.31</v>
      </c>
      <c r="E867" s="271"/>
      <c r="F867" s="271"/>
      <c r="G867" s="273">
        <f>(B867-B866)/B866</f>
        <v>2.6316190941128009E-3</v>
      </c>
      <c r="H867" s="4">
        <f t="shared" si="13"/>
        <v>1.377081025881228E-2</v>
      </c>
      <c r="I867" s="271"/>
      <c r="J867" s="4"/>
    </row>
    <row r="868" spans="1:10" ht="14.25" customHeight="1" x14ac:dyDescent="0.3">
      <c r="A868" s="272">
        <v>45197</v>
      </c>
      <c r="B868" s="4">
        <v>19523.55</v>
      </c>
      <c r="C868" s="272">
        <v>45197</v>
      </c>
      <c r="D868" s="4">
        <v>5114.2299999999996</v>
      </c>
      <c r="E868" s="271"/>
      <c r="F868" s="271"/>
      <c r="G868" s="273">
        <f>(B868-B867)/B867</f>
        <v>-9.7837085276508418E-3</v>
      </c>
      <c r="H868" s="4">
        <f t="shared" si="13"/>
        <v>-3.1636090288205167E-2</v>
      </c>
      <c r="I868" s="271"/>
      <c r="J868" s="4"/>
    </row>
    <row r="869" spans="1:10" ht="14.25" customHeight="1" x14ac:dyDescent="0.3">
      <c r="A869" s="272">
        <v>45198</v>
      </c>
      <c r="B869" s="4">
        <v>19638.3</v>
      </c>
      <c r="C869" s="272">
        <v>45198</v>
      </c>
      <c r="D869" s="4">
        <v>5060.76</v>
      </c>
      <c r="E869" s="271"/>
      <c r="F869" s="271"/>
      <c r="G869" s="273">
        <f>(B869-B868)/B868</f>
        <v>5.8775171523621477E-3</v>
      </c>
      <c r="H869" s="4">
        <f t="shared" si="13"/>
        <v>-1.0455141829757236E-2</v>
      </c>
      <c r="I869" s="271"/>
      <c r="J869" s="4"/>
    </row>
    <row r="870" spans="1:10" ht="14.25" customHeight="1" x14ac:dyDescent="0.3">
      <c r="A870" s="272">
        <v>45202</v>
      </c>
      <c r="B870" s="4">
        <v>19528.75</v>
      </c>
      <c r="C870" s="272">
        <v>45202</v>
      </c>
      <c r="D870" s="4">
        <v>5063.57</v>
      </c>
      <c r="E870" s="271"/>
      <c r="F870" s="271"/>
      <c r="G870" s="273">
        <f>(B870-B869)/B869</f>
        <v>-5.578385094432781E-3</v>
      </c>
      <c r="H870" s="4">
        <f t="shared" si="13"/>
        <v>5.5525257076002236E-4</v>
      </c>
      <c r="I870" s="271"/>
      <c r="J870" s="4"/>
    </row>
    <row r="871" spans="1:10" ht="14.25" customHeight="1" x14ac:dyDescent="0.3">
      <c r="A871" s="272">
        <v>45203</v>
      </c>
      <c r="B871" s="4">
        <v>19436.099999999999</v>
      </c>
      <c r="C871" s="272">
        <v>45203</v>
      </c>
      <c r="D871" s="4">
        <v>5037.78</v>
      </c>
      <c r="E871" s="271"/>
      <c r="F871" s="271"/>
      <c r="G871" s="273">
        <f>(B871-B870)/B870</f>
        <v>-4.744287268770477E-3</v>
      </c>
      <c r="H871" s="4">
        <f t="shared" si="13"/>
        <v>-5.0932444895597307E-3</v>
      </c>
      <c r="I871" s="271"/>
      <c r="J871" s="4"/>
    </row>
    <row r="872" spans="1:10" ht="14.25" customHeight="1" x14ac:dyDescent="0.3">
      <c r="A872" s="272">
        <v>45204</v>
      </c>
      <c r="B872" s="4">
        <v>19545.75</v>
      </c>
      <c r="C872" s="272">
        <v>45204</v>
      </c>
      <c r="D872" s="4">
        <v>5076.6899999999996</v>
      </c>
      <c r="E872" s="271"/>
      <c r="F872" s="271"/>
      <c r="G872" s="273">
        <f>(B872-B871)/B871</f>
        <v>5.6415638939911542E-3</v>
      </c>
      <c r="H872" s="4">
        <f t="shared" si="13"/>
        <v>7.7236401748388885E-3</v>
      </c>
      <c r="I872" s="271"/>
      <c r="J872" s="4"/>
    </row>
    <row r="873" spans="1:10" ht="14.25" customHeight="1" x14ac:dyDescent="0.3">
      <c r="A873" s="272">
        <v>45205</v>
      </c>
      <c r="B873" s="4">
        <v>19653.5</v>
      </c>
      <c r="C873" s="272">
        <v>45205</v>
      </c>
      <c r="D873" s="4">
        <v>5089.2700000000004</v>
      </c>
      <c r="E873" s="271"/>
      <c r="F873" s="271"/>
      <c r="G873" s="273">
        <f>(B873-B872)/B872</f>
        <v>5.512707366051443E-3</v>
      </c>
      <c r="H873" s="4">
        <f t="shared" si="13"/>
        <v>2.4779925502642149E-3</v>
      </c>
      <c r="I873" s="271"/>
      <c r="J873" s="4"/>
    </row>
    <row r="874" spans="1:10" ht="14.25" customHeight="1" x14ac:dyDescent="0.3">
      <c r="A874" s="272">
        <v>45208</v>
      </c>
      <c r="B874" s="4">
        <v>19512.349999999999</v>
      </c>
      <c r="C874" s="272">
        <v>45208</v>
      </c>
      <c r="D874" s="4">
        <v>5057.45</v>
      </c>
      <c r="E874" s="271"/>
      <c r="F874" s="271"/>
      <c r="G874" s="273">
        <f>(B874-B873)/B873</f>
        <v>-7.1819268832524208E-3</v>
      </c>
      <c r="H874" s="4">
        <f t="shared" si="13"/>
        <v>-6.2523701827571767E-3</v>
      </c>
      <c r="I874" s="271"/>
      <c r="J874" s="4"/>
    </row>
    <row r="875" spans="1:10" ht="14.25" customHeight="1" x14ac:dyDescent="0.3">
      <c r="A875" s="272">
        <v>45209</v>
      </c>
      <c r="B875" s="4">
        <v>19689.849999999999</v>
      </c>
      <c r="C875" s="272">
        <v>45209</v>
      </c>
      <c r="D875" s="4">
        <v>5115.6400000000003</v>
      </c>
      <c r="E875" s="271"/>
      <c r="F875" s="271"/>
      <c r="G875" s="273">
        <f>(B875-B874)/B874</f>
        <v>9.0968027941278218E-3</v>
      </c>
      <c r="H875" s="4">
        <f t="shared" si="13"/>
        <v>1.1505798376652367E-2</v>
      </c>
      <c r="I875" s="271"/>
      <c r="J875" s="4"/>
    </row>
    <row r="876" spans="1:10" ht="14.25" customHeight="1" x14ac:dyDescent="0.3">
      <c r="A876" s="272">
        <v>45210</v>
      </c>
      <c r="B876" s="4">
        <v>19811.349999999999</v>
      </c>
      <c r="C876" s="272">
        <v>45210</v>
      </c>
      <c r="D876" s="4">
        <v>5094.37</v>
      </c>
      <c r="E876" s="271"/>
      <c r="F876" s="271"/>
      <c r="G876" s="273">
        <f>(B876-B875)/B875</f>
        <v>6.1706920062875037E-3</v>
      </c>
      <c r="H876" s="4">
        <f t="shared" si="13"/>
        <v>-4.1578375335247272E-3</v>
      </c>
      <c r="I876" s="271"/>
      <c r="J876" s="4"/>
    </row>
    <row r="877" spans="1:10" ht="14.25" customHeight="1" x14ac:dyDescent="0.3">
      <c r="A877" s="272">
        <v>45211</v>
      </c>
      <c r="B877" s="4">
        <v>19794</v>
      </c>
      <c r="C877" s="272">
        <v>45211</v>
      </c>
      <c r="D877" s="4">
        <v>5007.2299999999996</v>
      </c>
      <c r="E877" s="271"/>
      <c r="F877" s="271"/>
      <c r="G877" s="273">
        <f>(B877-B876)/B876</f>
        <v>-8.7576061197235653E-4</v>
      </c>
      <c r="H877" s="4">
        <f t="shared" si="13"/>
        <v>-1.7105157261840098E-2</v>
      </c>
      <c r="I877" s="271"/>
      <c r="J877" s="4"/>
    </row>
    <row r="878" spans="1:10" ht="14.25" customHeight="1" x14ac:dyDescent="0.3">
      <c r="A878" s="272">
        <v>45212</v>
      </c>
      <c r="B878" s="4">
        <v>19751.05</v>
      </c>
      <c r="C878" s="272">
        <v>45212</v>
      </c>
      <c r="D878" s="4">
        <v>4949.34</v>
      </c>
      <c r="E878" s="271"/>
      <c r="F878" s="271"/>
      <c r="G878" s="273">
        <f>(B878-B877)/B877</f>
        <v>-2.1698494493281161E-3</v>
      </c>
      <c r="H878" s="4">
        <f t="shared" si="13"/>
        <v>-1.1561282385670205E-2</v>
      </c>
      <c r="I878" s="271"/>
      <c r="J878" s="4"/>
    </row>
    <row r="879" spans="1:10" ht="14.25" customHeight="1" x14ac:dyDescent="0.3">
      <c r="A879" s="272">
        <v>45215</v>
      </c>
      <c r="B879" s="4">
        <v>19731.75</v>
      </c>
      <c r="C879" s="272">
        <v>45215</v>
      </c>
      <c r="D879" s="4">
        <v>5014.71</v>
      </c>
      <c r="E879" s="271"/>
      <c r="F879" s="271"/>
      <c r="G879" s="273">
        <f>(B879-B878)/B878</f>
        <v>-9.7716323942267751E-4</v>
      </c>
      <c r="H879" s="4">
        <f t="shared" si="13"/>
        <v>1.3207821648947109E-2</v>
      </c>
      <c r="I879" s="271"/>
      <c r="J879" s="4"/>
    </row>
    <row r="880" spans="1:10" ht="14.25" customHeight="1" x14ac:dyDescent="0.3">
      <c r="A880" s="272">
        <v>45216</v>
      </c>
      <c r="B880" s="4">
        <v>19811.5</v>
      </c>
      <c r="C880" s="272">
        <v>45216</v>
      </c>
      <c r="D880" s="4">
        <v>5064.54</v>
      </c>
      <c r="E880" s="271"/>
      <c r="F880" s="271"/>
      <c r="G880" s="273">
        <f>(B880-B879)/B879</f>
        <v>4.0417094276990126E-3</v>
      </c>
      <c r="H880" s="4">
        <f t="shared" si="13"/>
        <v>9.9367660343269958E-3</v>
      </c>
      <c r="I880" s="271"/>
      <c r="J880" s="4"/>
    </row>
    <row r="881" spans="1:10" ht="14.25" customHeight="1" x14ac:dyDescent="0.3">
      <c r="A881" s="272">
        <v>45217</v>
      </c>
      <c r="B881" s="4">
        <v>19671.099999999999</v>
      </c>
      <c r="C881" s="272">
        <v>45217</v>
      </c>
      <c r="D881" s="4">
        <v>5007.67</v>
      </c>
      <c r="E881" s="271"/>
      <c r="F881" s="271"/>
      <c r="G881" s="273">
        <f>(B881-B880)/B880</f>
        <v>-7.0867930242536634E-3</v>
      </c>
      <c r="H881" s="4">
        <f t="shared" si="13"/>
        <v>-1.1229055353497039E-2</v>
      </c>
      <c r="I881" s="271"/>
      <c r="J881" s="4"/>
    </row>
    <row r="882" spans="1:10" ht="14.25" customHeight="1" x14ac:dyDescent="0.3">
      <c r="A882" s="272">
        <v>45218</v>
      </c>
      <c r="B882" s="4">
        <v>19624.7</v>
      </c>
      <c r="C882" s="272">
        <v>45218</v>
      </c>
      <c r="D882" s="4">
        <v>5301.61</v>
      </c>
      <c r="E882" s="271"/>
      <c r="F882" s="271"/>
      <c r="G882" s="273">
        <f>(B882-B881)/B881</f>
        <v>-2.3587903065917931E-3</v>
      </c>
      <c r="H882" s="4">
        <f t="shared" si="13"/>
        <v>5.8697957333450408E-2</v>
      </c>
      <c r="I882" s="271"/>
      <c r="J882" s="4"/>
    </row>
    <row r="883" spans="1:10" ht="14.25" customHeight="1" x14ac:dyDescent="0.3">
      <c r="A883" s="272">
        <v>45219</v>
      </c>
      <c r="B883" s="4">
        <v>19542.650000000001</v>
      </c>
      <c r="C883" s="272">
        <v>45219</v>
      </c>
      <c r="D883" s="4">
        <v>5261.2</v>
      </c>
      <c r="E883" s="271"/>
      <c r="F883" s="271"/>
      <c r="G883" s="273">
        <f>(B883-B882)/B882</f>
        <v>-4.1809556324427519E-3</v>
      </c>
      <c r="H883" s="4">
        <f t="shared" si="13"/>
        <v>-7.6222128749568255E-3</v>
      </c>
      <c r="I883" s="271"/>
      <c r="J883" s="4"/>
    </row>
    <row r="884" spans="1:10" ht="14.25" customHeight="1" x14ac:dyDescent="0.3">
      <c r="A884" s="272">
        <v>45222</v>
      </c>
      <c r="B884" s="4">
        <v>19281.75</v>
      </c>
      <c r="C884" s="272">
        <v>45222</v>
      </c>
      <c r="D884" s="4">
        <v>5052.8900000000003</v>
      </c>
      <c r="E884" s="271"/>
      <c r="F884" s="271"/>
      <c r="G884" s="273">
        <f>(B884-B883)/B883</f>
        <v>-1.335028770407296E-2</v>
      </c>
      <c r="H884" s="4">
        <f t="shared" si="13"/>
        <v>-3.9593628829924635E-2</v>
      </c>
      <c r="I884" s="271"/>
      <c r="J884" s="4"/>
    </row>
    <row r="885" spans="1:10" ht="14.25" customHeight="1" x14ac:dyDescent="0.3">
      <c r="A885" s="272">
        <v>45224</v>
      </c>
      <c r="B885" s="4">
        <v>19122.150000000001</v>
      </c>
      <c r="C885" s="272">
        <v>45224</v>
      </c>
      <c r="D885" s="4">
        <v>5055.12</v>
      </c>
      <c r="E885" s="271"/>
      <c r="F885" s="271"/>
      <c r="G885" s="273">
        <f>(B885-B884)/B884</f>
        <v>-8.2772569917148875E-3</v>
      </c>
      <c r="H885" s="4">
        <f t="shared" si="13"/>
        <v>4.4133159439440863E-4</v>
      </c>
      <c r="I885" s="271"/>
      <c r="J885" s="4"/>
    </row>
    <row r="886" spans="1:10" ht="14.25" customHeight="1" x14ac:dyDescent="0.3">
      <c r="A886" s="272">
        <v>45225</v>
      </c>
      <c r="B886" s="4">
        <v>18857.25</v>
      </c>
      <c r="C886" s="272">
        <v>45225</v>
      </c>
      <c r="D886" s="4">
        <v>5022.53</v>
      </c>
      <c r="E886" s="271"/>
      <c r="F886" s="271"/>
      <c r="G886" s="273">
        <f>(B886-B885)/B885</f>
        <v>-1.3853044767455618E-2</v>
      </c>
      <c r="H886" s="4">
        <f t="shared" si="13"/>
        <v>-6.446929054107548E-3</v>
      </c>
      <c r="I886" s="271"/>
      <c r="J886" s="4"/>
    </row>
    <row r="887" spans="1:10" ht="14.25" customHeight="1" x14ac:dyDescent="0.3">
      <c r="A887" s="272">
        <v>45226</v>
      </c>
      <c r="B887" s="4">
        <v>19047.25</v>
      </c>
      <c r="C887" s="272">
        <v>45226</v>
      </c>
      <c r="D887" s="4">
        <v>5042.5200000000004</v>
      </c>
      <c r="E887" s="271"/>
      <c r="F887" s="271"/>
      <c r="G887" s="273">
        <f>(B887-B886)/B886</f>
        <v>1.007570032746026E-2</v>
      </c>
      <c r="H887" s="4">
        <f t="shared" si="13"/>
        <v>3.9800658233998983E-3</v>
      </c>
      <c r="I887" s="271"/>
      <c r="J887" s="4"/>
    </row>
    <row r="888" spans="1:10" ht="14.25" customHeight="1" x14ac:dyDescent="0.3">
      <c r="A888" s="272">
        <v>45229</v>
      </c>
      <c r="B888" s="4">
        <v>19140.900000000001</v>
      </c>
      <c r="C888" s="272">
        <v>45229</v>
      </c>
      <c r="D888" s="4">
        <v>5021.26</v>
      </c>
      <c r="E888" s="271"/>
      <c r="F888" s="271"/>
      <c r="G888" s="273">
        <f>(B888-B887)/B887</f>
        <v>4.9167202614551417E-3</v>
      </c>
      <c r="H888" s="4">
        <f t="shared" si="13"/>
        <v>-4.2161458953063578E-3</v>
      </c>
      <c r="I888" s="271"/>
      <c r="J888" s="4"/>
    </row>
    <row r="889" spans="1:10" ht="14.25" customHeight="1" x14ac:dyDescent="0.3">
      <c r="A889" s="272">
        <v>45230</v>
      </c>
      <c r="B889" s="4">
        <v>19079.599999999999</v>
      </c>
      <c r="C889" s="272">
        <v>45230</v>
      </c>
      <c r="D889" s="4">
        <v>4934.67</v>
      </c>
      <c r="E889" s="271"/>
      <c r="F889" s="271"/>
      <c r="G889" s="273">
        <f>(B889-B888)/B888</f>
        <v>-3.2025662325179541E-3</v>
      </c>
      <c r="H889" s="4">
        <f t="shared" si="13"/>
        <v>-1.7244675639182225E-2</v>
      </c>
      <c r="I889" s="271"/>
      <c r="J889" s="4"/>
    </row>
    <row r="890" spans="1:10" ht="14.25" customHeight="1" x14ac:dyDescent="0.3">
      <c r="A890" s="272">
        <v>45231</v>
      </c>
      <c r="B890" s="4">
        <v>18989.150000000001</v>
      </c>
      <c r="C890" s="272">
        <v>45231</v>
      </c>
      <c r="D890" s="4">
        <v>4874.5</v>
      </c>
      <c r="E890" s="271"/>
      <c r="F890" s="271"/>
      <c r="G890" s="273">
        <f>(B890-B889)/B889</f>
        <v>-4.7406654227550417E-3</v>
      </c>
      <c r="H890" s="4">
        <f t="shared" si="13"/>
        <v>-1.2193317891571284E-2</v>
      </c>
      <c r="I890" s="271"/>
      <c r="J890" s="4"/>
    </row>
    <row r="891" spans="1:10" ht="14.25" customHeight="1" x14ac:dyDescent="0.3">
      <c r="A891" s="272">
        <v>45232</v>
      </c>
      <c r="B891" s="4">
        <v>19133.25</v>
      </c>
      <c r="C891" s="272">
        <v>45232</v>
      </c>
      <c r="D891" s="4">
        <v>4895.32</v>
      </c>
      <c r="E891" s="271"/>
      <c r="F891" s="271"/>
      <c r="G891" s="273">
        <f>(B891-B890)/B890</f>
        <v>7.5885439843278151E-3</v>
      </c>
      <c r="H891" s="4">
        <f t="shared" si="13"/>
        <v>4.2712073033131003E-3</v>
      </c>
      <c r="I891" s="271"/>
      <c r="J891" s="4"/>
    </row>
    <row r="892" spans="1:10" ht="14.25" customHeight="1" x14ac:dyDescent="0.3">
      <c r="A892" s="272">
        <v>45233</v>
      </c>
      <c r="B892" s="4">
        <v>19230.599999999999</v>
      </c>
      <c r="C892" s="272">
        <v>45233</v>
      </c>
      <c r="D892" s="4">
        <v>5007.37</v>
      </c>
      <c r="E892" s="271"/>
      <c r="F892" s="271"/>
      <c r="G892" s="273">
        <f>(B892-B891)/B891</f>
        <v>5.0880012543607876E-3</v>
      </c>
      <c r="H892" s="4">
        <f t="shared" si="13"/>
        <v>2.2889208468496479E-2</v>
      </c>
      <c r="I892" s="271"/>
      <c r="J892" s="4"/>
    </row>
    <row r="893" spans="1:10" ht="14.25" customHeight="1" x14ac:dyDescent="0.3">
      <c r="A893" s="272">
        <v>45236</v>
      </c>
      <c r="B893" s="4">
        <v>19411.75</v>
      </c>
      <c r="C893" s="272">
        <v>45236</v>
      </c>
      <c r="D893" s="4">
        <v>5021.7</v>
      </c>
      <c r="E893" s="271"/>
      <c r="F893" s="271"/>
      <c r="G893" s="273">
        <f>(B893-B892)/B892</f>
        <v>9.4198828949695525E-3</v>
      </c>
      <c r="H893" s="4">
        <f t="shared" si="13"/>
        <v>2.8617817337244756E-3</v>
      </c>
      <c r="I893" s="271"/>
      <c r="J893" s="4"/>
    </row>
    <row r="894" spans="1:10" ht="14.25" customHeight="1" x14ac:dyDescent="0.3">
      <c r="A894" s="272">
        <v>45237</v>
      </c>
      <c r="B894" s="4">
        <v>19406.7</v>
      </c>
      <c r="C894" s="272">
        <v>45237</v>
      </c>
      <c r="D894" s="4">
        <v>5058.08</v>
      </c>
      <c r="E894" s="271"/>
      <c r="F894" s="271"/>
      <c r="G894" s="273">
        <f>(B894-B893)/B893</f>
        <v>-2.6015171223610817E-4</v>
      </c>
      <c r="H894" s="4">
        <f t="shared" si="13"/>
        <v>7.2445586156082821E-3</v>
      </c>
      <c r="I894" s="271"/>
      <c r="J894" s="4"/>
    </row>
    <row r="895" spans="1:10" ht="14.25" customHeight="1" x14ac:dyDescent="0.3">
      <c r="A895" s="272">
        <v>45238</v>
      </c>
      <c r="B895" s="4">
        <v>19443.5</v>
      </c>
      <c r="C895" s="272">
        <v>45238</v>
      </c>
      <c r="D895" s="4">
        <v>5103.37</v>
      </c>
      <c r="E895" s="271"/>
      <c r="F895" s="271"/>
      <c r="G895" s="273">
        <f>(B895-B894)/B894</f>
        <v>1.8962523252278477E-3</v>
      </c>
      <c r="H895" s="4">
        <f t="shared" si="13"/>
        <v>8.9539904469680132E-3</v>
      </c>
      <c r="I895" s="271"/>
      <c r="J895" s="4"/>
    </row>
    <row r="896" spans="1:10" ht="14.25" customHeight="1" x14ac:dyDescent="0.3">
      <c r="A896" s="272">
        <v>45239</v>
      </c>
      <c r="B896" s="4">
        <v>19395.3</v>
      </c>
      <c r="C896" s="272">
        <v>45239</v>
      </c>
      <c r="D896" s="4">
        <v>5124.1400000000003</v>
      </c>
      <c r="E896" s="271"/>
      <c r="F896" s="271"/>
      <c r="G896" s="273">
        <f>(B896-B895)/B895</f>
        <v>-2.4789775503381967E-3</v>
      </c>
      <c r="H896" s="4">
        <f t="shared" si="13"/>
        <v>4.0698597201457931E-3</v>
      </c>
      <c r="I896" s="271"/>
      <c r="J896" s="4"/>
    </row>
    <row r="897" spans="1:10" ht="14.25" customHeight="1" x14ac:dyDescent="0.3">
      <c r="A897" s="272">
        <v>45240</v>
      </c>
      <c r="B897" s="4">
        <v>19425.349999999999</v>
      </c>
      <c r="C897" s="272">
        <v>45240</v>
      </c>
      <c r="D897" s="4">
        <v>5131.41</v>
      </c>
      <c r="E897" s="271"/>
      <c r="F897" s="271"/>
      <c r="G897" s="273">
        <f>(B897-B896)/B896</f>
        <v>1.5493444288048792E-3</v>
      </c>
      <c r="H897" s="4">
        <f t="shared" si="13"/>
        <v>1.4187746626750102E-3</v>
      </c>
      <c r="I897" s="271"/>
      <c r="J897" s="4"/>
    </row>
    <row r="898" spans="1:10" ht="14.25" customHeight="1" x14ac:dyDescent="0.3">
      <c r="A898" s="272">
        <v>45243</v>
      </c>
      <c r="B898" s="4">
        <v>19443.55</v>
      </c>
      <c r="C898" s="272">
        <v>45243</v>
      </c>
      <c r="D898" s="4">
        <v>5130.38</v>
      </c>
      <c r="E898" s="271"/>
      <c r="F898" s="271"/>
      <c r="G898" s="273">
        <f>(B898-B897)/B897</f>
        <v>9.3692005549453317E-4</v>
      </c>
      <c r="H898" s="4">
        <f t="shared" si="13"/>
        <v>-2.0072455718793573E-4</v>
      </c>
      <c r="I898" s="271"/>
      <c r="J898" s="4"/>
    </row>
    <row r="899" spans="1:10" ht="14.25" customHeight="1" x14ac:dyDescent="0.3">
      <c r="A899" s="272">
        <v>45245</v>
      </c>
      <c r="B899" s="4">
        <v>19675.45</v>
      </c>
      <c r="C899" s="272">
        <v>45245</v>
      </c>
      <c r="D899" s="4">
        <v>5267.44</v>
      </c>
      <c r="E899" s="271"/>
      <c r="F899" s="271"/>
      <c r="G899" s="273">
        <f>(B899-B898)/B898</f>
        <v>1.1926834348665828E-2</v>
      </c>
      <c r="H899" s="4">
        <f t="shared" ref="H899:H962" si="14">(D899-D898)/D898</f>
        <v>2.6715370011577991E-2</v>
      </c>
      <c r="I899" s="271"/>
      <c r="J899" s="4"/>
    </row>
    <row r="900" spans="1:10" ht="14.25" customHeight="1" x14ac:dyDescent="0.3">
      <c r="A900" s="272">
        <v>45246</v>
      </c>
      <c r="B900" s="4">
        <v>19765.2</v>
      </c>
      <c r="C900" s="272">
        <v>45246</v>
      </c>
      <c r="D900" s="4">
        <v>5382.36</v>
      </c>
      <c r="E900" s="271"/>
      <c r="F900" s="271"/>
      <c r="G900" s="273">
        <f>(B900-B899)/B899</f>
        <v>4.5615220998757337E-3</v>
      </c>
      <c r="H900" s="4">
        <f t="shared" si="14"/>
        <v>2.1817049648406073E-2</v>
      </c>
      <c r="I900" s="271"/>
      <c r="J900" s="4"/>
    </row>
    <row r="901" spans="1:10" ht="14.25" customHeight="1" x14ac:dyDescent="0.3">
      <c r="A901" s="272">
        <v>45247</v>
      </c>
      <c r="B901" s="4">
        <v>19731.8</v>
      </c>
      <c r="C901" s="272">
        <v>45247</v>
      </c>
      <c r="D901" s="4">
        <v>5381.39</v>
      </c>
      <c r="E901" s="271"/>
      <c r="F901" s="271"/>
      <c r="G901" s="273">
        <f>(B901-B900)/B900</f>
        <v>-1.6898387064133657E-3</v>
      </c>
      <c r="H901" s="4">
        <f t="shared" si="14"/>
        <v>-1.8021834288292594E-4</v>
      </c>
      <c r="I901" s="271"/>
      <c r="J901" s="4"/>
    </row>
    <row r="902" spans="1:10" ht="14.25" customHeight="1" x14ac:dyDescent="0.3">
      <c r="A902" s="272">
        <v>45250</v>
      </c>
      <c r="B902" s="4">
        <v>19694</v>
      </c>
      <c r="C902" s="272">
        <v>45250</v>
      </c>
      <c r="D902" s="4">
        <v>5418.06</v>
      </c>
      <c r="E902" s="271"/>
      <c r="F902" s="271"/>
      <c r="G902" s="273">
        <f>(B902-B901)/B901</f>
        <v>-1.9156893947840173E-3</v>
      </c>
      <c r="H902" s="4">
        <f t="shared" si="14"/>
        <v>6.8142245776648914E-3</v>
      </c>
      <c r="I902" s="271"/>
      <c r="J902" s="4"/>
    </row>
    <row r="903" spans="1:10" ht="14.25" customHeight="1" x14ac:dyDescent="0.3">
      <c r="A903" s="272">
        <v>45251</v>
      </c>
      <c r="B903" s="4">
        <v>19783.400000000001</v>
      </c>
      <c r="C903" s="272">
        <v>45251</v>
      </c>
      <c r="D903" s="4">
        <v>5383.1</v>
      </c>
      <c r="E903" s="271"/>
      <c r="F903" s="271"/>
      <c r="G903" s="273">
        <f>(B903-B902)/B902</f>
        <v>4.5394536407028256E-3</v>
      </c>
      <c r="H903" s="4">
        <f t="shared" si="14"/>
        <v>-6.4524940661417618E-3</v>
      </c>
      <c r="I903" s="271"/>
      <c r="J903" s="4"/>
    </row>
    <row r="904" spans="1:10" ht="14.25" customHeight="1" x14ac:dyDescent="0.3">
      <c r="A904" s="272">
        <v>45252</v>
      </c>
      <c r="B904" s="4">
        <v>19811.849999999999</v>
      </c>
      <c r="C904" s="272">
        <v>45252</v>
      </c>
      <c r="D904" s="4">
        <v>5415.67</v>
      </c>
      <c r="E904" s="271"/>
      <c r="F904" s="271"/>
      <c r="G904" s="273">
        <f>(B904-B903)/B903</f>
        <v>1.4380743451579145E-3</v>
      </c>
      <c r="H904" s="4">
        <f t="shared" si="14"/>
        <v>6.0504170459400172E-3</v>
      </c>
      <c r="I904" s="271"/>
      <c r="J904" s="4"/>
    </row>
    <row r="905" spans="1:10" ht="14.25" customHeight="1" x14ac:dyDescent="0.3">
      <c r="A905" s="272">
        <v>45253</v>
      </c>
      <c r="B905" s="4">
        <v>19802</v>
      </c>
      <c r="C905" s="272">
        <v>45253</v>
      </c>
      <c r="D905" s="4">
        <v>5335.41</v>
      </c>
      <c r="E905" s="271"/>
      <c r="F905" s="271"/>
      <c r="G905" s="273">
        <f>(B905-B904)/B904</f>
        <v>-4.9717719445677947E-4</v>
      </c>
      <c r="H905" s="4">
        <f t="shared" si="14"/>
        <v>-1.4819957641436834E-2</v>
      </c>
      <c r="I905" s="271"/>
      <c r="J905" s="4"/>
    </row>
    <row r="906" spans="1:10" ht="14.25" customHeight="1" x14ac:dyDescent="0.3">
      <c r="A906" s="272">
        <v>45254</v>
      </c>
      <c r="B906" s="4">
        <v>19794.7</v>
      </c>
      <c r="C906" s="272">
        <v>45254</v>
      </c>
      <c r="D906" s="4">
        <v>5336.63</v>
      </c>
      <c r="E906" s="271"/>
      <c r="F906" s="271"/>
      <c r="G906" s="273">
        <f>(B906-B905)/B905</f>
        <v>-3.6864963135033191E-4</v>
      </c>
      <c r="H906" s="4">
        <f t="shared" si="14"/>
        <v>2.2866096513674764E-4</v>
      </c>
      <c r="I906" s="271"/>
      <c r="J906" s="4"/>
    </row>
    <row r="907" spans="1:10" ht="14.25" customHeight="1" x14ac:dyDescent="0.3">
      <c r="A907" s="272">
        <v>45258</v>
      </c>
      <c r="B907" s="4">
        <v>19889.7</v>
      </c>
      <c r="C907" s="272">
        <v>45258</v>
      </c>
      <c r="D907" s="4">
        <v>5343.11</v>
      </c>
      <c r="E907" s="271"/>
      <c r="F907" s="271"/>
      <c r="G907" s="273">
        <f>(B907-B906)/B906</f>
        <v>4.7992644495748861E-3</v>
      </c>
      <c r="H907" s="4">
        <f t="shared" si="14"/>
        <v>1.2142494420635426E-3</v>
      </c>
      <c r="I907" s="271"/>
      <c r="J907" s="4"/>
    </row>
    <row r="908" spans="1:10" ht="14.25" customHeight="1" x14ac:dyDescent="0.3">
      <c r="A908" s="272">
        <v>45259</v>
      </c>
      <c r="B908" s="4">
        <v>20096.599999999999</v>
      </c>
      <c r="C908" s="272">
        <v>45259</v>
      </c>
      <c r="D908" s="4">
        <v>5449.65</v>
      </c>
      <c r="E908" s="271"/>
      <c r="F908" s="271"/>
      <c r="G908" s="273">
        <f>(B908-B907)/B907</f>
        <v>1.0402369065395546E-2</v>
      </c>
      <c r="H908" s="4">
        <f t="shared" si="14"/>
        <v>1.9939698041028533E-2</v>
      </c>
      <c r="I908" s="271"/>
      <c r="J908" s="4"/>
    </row>
    <row r="909" spans="1:10" ht="14.25" customHeight="1" x14ac:dyDescent="0.3">
      <c r="A909" s="272">
        <v>45260</v>
      </c>
      <c r="B909" s="4">
        <v>20133.150000000001</v>
      </c>
      <c r="C909" s="272">
        <v>45260</v>
      </c>
      <c r="D909" s="4">
        <v>5399.14</v>
      </c>
      <c r="E909" s="271"/>
      <c r="F909" s="271"/>
      <c r="G909" s="273">
        <f>(B909-B908)/B908</f>
        <v>1.8187156036345905E-3</v>
      </c>
      <c r="H909" s="4">
        <f t="shared" si="14"/>
        <v>-9.268485132072575E-3</v>
      </c>
      <c r="I909" s="271"/>
      <c r="J909" s="4"/>
    </row>
    <row r="910" spans="1:10" ht="14.25" customHeight="1" x14ac:dyDescent="0.3">
      <c r="A910" s="272">
        <v>45261</v>
      </c>
      <c r="B910" s="4">
        <v>20267.900000000001</v>
      </c>
      <c r="C910" s="272">
        <v>45261</v>
      </c>
      <c r="D910" s="4">
        <v>5438.48</v>
      </c>
      <c r="E910" s="271"/>
      <c r="F910" s="271"/>
      <c r="G910" s="273">
        <f>(B910-B909)/B909</f>
        <v>6.6929417403635292E-3</v>
      </c>
      <c r="H910" s="4">
        <f t="shared" si="14"/>
        <v>7.2863456031885144E-3</v>
      </c>
      <c r="I910" s="271"/>
      <c r="J910" s="4"/>
    </row>
    <row r="911" spans="1:10" ht="14.25" customHeight="1" x14ac:dyDescent="0.3">
      <c r="A911" s="272">
        <v>45264</v>
      </c>
      <c r="B911" s="4">
        <v>20686.8</v>
      </c>
      <c r="C911" s="272">
        <v>45264</v>
      </c>
      <c r="D911" s="4">
        <v>5438.83</v>
      </c>
      <c r="E911" s="271"/>
      <c r="F911" s="271"/>
      <c r="G911" s="273">
        <f>(B911-B910)/B910</f>
        <v>2.0668150129021644E-2</v>
      </c>
      <c r="H911" s="4">
        <f t="shared" si="14"/>
        <v>6.4356217178396135E-5</v>
      </c>
      <c r="I911" s="271"/>
      <c r="J911" s="4"/>
    </row>
    <row r="912" spans="1:10" ht="14.25" customHeight="1" x14ac:dyDescent="0.3">
      <c r="A912" s="272">
        <v>45265</v>
      </c>
      <c r="B912" s="4">
        <v>20855.099999999999</v>
      </c>
      <c r="C912" s="272">
        <v>45265</v>
      </c>
      <c r="D912" s="4">
        <v>5351.31</v>
      </c>
      <c r="E912" s="271"/>
      <c r="F912" s="271"/>
      <c r="G912" s="273">
        <f>(B912-B911)/B911</f>
        <v>8.1356227159347649E-3</v>
      </c>
      <c r="H912" s="4">
        <f t="shared" si="14"/>
        <v>-1.6091696192011798E-2</v>
      </c>
      <c r="I912" s="271"/>
      <c r="J912" s="4"/>
    </row>
    <row r="913" spans="1:10" ht="14.25" customHeight="1" x14ac:dyDescent="0.3">
      <c r="A913" s="272">
        <v>45266</v>
      </c>
      <c r="B913" s="4">
        <v>20937.7</v>
      </c>
      <c r="C913" s="272">
        <v>45266</v>
      </c>
      <c r="D913" s="4">
        <v>5499.72</v>
      </c>
      <c r="E913" s="271"/>
      <c r="F913" s="271"/>
      <c r="G913" s="273">
        <f>(B913-B912)/B912</f>
        <v>3.9606619004465184E-3</v>
      </c>
      <c r="H913" s="4">
        <f t="shared" si="14"/>
        <v>2.7733396121697274E-2</v>
      </c>
      <c r="I913" s="271"/>
      <c r="J913" s="4"/>
    </row>
    <row r="914" spans="1:10" ht="14.25" customHeight="1" x14ac:dyDescent="0.3">
      <c r="A914" s="272">
        <v>45267</v>
      </c>
      <c r="B914" s="4">
        <v>20901.150000000001</v>
      </c>
      <c r="C914" s="272">
        <v>45267</v>
      </c>
      <c r="D914" s="4">
        <v>5428.88</v>
      </c>
      <c r="E914" s="271"/>
      <c r="F914" s="271"/>
      <c r="G914" s="273">
        <f>(B914-B913)/B913</f>
        <v>-1.7456549668778934E-3</v>
      </c>
      <c r="H914" s="4">
        <f t="shared" si="14"/>
        <v>-1.2880655742474188E-2</v>
      </c>
      <c r="I914" s="271"/>
      <c r="J914" s="4"/>
    </row>
    <row r="915" spans="1:10" ht="14.25" customHeight="1" x14ac:dyDescent="0.3">
      <c r="A915" s="272">
        <v>45268</v>
      </c>
      <c r="B915" s="4">
        <v>20969.400000000001</v>
      </c>
      <c r="C915" s="272">
        <v>45268</v>
      </c>
      <c r="D915" s="4">
        <v>5566.86</v>
      </c>
      <c r="E915" s="271"/>
      <c r="F915" s="271"/>
      <c r="G915" s="273">
        <f>(B915-B914)/B914</f>
        <v>3.2653705657344212E-3</v>
      </c>
      <c r="H915" s="4">
        <f t="shared" si="14"/>
        <v>2.541592372644073E-2</v>
      </c>
      <c r="I915" s="271"/>
      <c r="J915" s="4"/>
    </row>
    <row r="916" spans="1:10" ht="14.25" customHeight="1" x14ac:dyDescent="0.3">
      <c r="A916" s="272">
        <v>45271</v>
      </c>
      <c r="B916" s="4">
        <v>20997.1</v>
      </c>
      <c r="C916" s="272">
        <v>45271</v>
      </c>
      <c r="D916" s="4">
        <v>5627.27</v>
      </c>
      <c r="E916" s="271"/>
      <c r="F916" s="271"/>
      <c r="G916" s="273">
        <f>(B916-B915)/B915</f>
        <v>1.3209724646388113E-3</v>
      </c>
      <c r="H916" s="4">
        <f t="shared" si="14"/>
        <v>1.0851718922336967E-2</v>
      </c>
      <c r="I916" s="271"/>
      <c r="J916" s="4"/>
    </row>
    <row r="917" spans="1:10" ht="14.25" customHeight="1" x14ac:dyDescent="0.3">
      <c r="A917" s="272">
        <v>45272</v>
      </c>
      <c r="B917" s="4">
        <v>20906.400000000001</v>
      </c>
      <c r="C917" s="272">
        <v>45272</v>
      </c>
      <c r="D917" s="4">
        <v>5614.94</v>
      </c>
      <c r="E917" s="271"/>
      <c r="F917" s="271"/>
      <c r="G917" s="273">
        <f>(B917-B916)/B916</f>
        <v>-4.3196441413336653E-3</v>
      </c>
      <c r="H917" s="4">
        <f t="shared" si="14"/>
        <v>-2.1911157630611E-3</v>
      </c>
      <c r="I917" s="271"/>
      <c r="J917" s="4"/>
    </row>
    <row r="918" spans="1:10" ht="14.25" customHeight="1" x14ac:dyDescent="0.3">
      <c r="A918" s="272">
        <v>45273</v>
      </c>
      <c r="B918" s="4">
        <v>20926.349999999999</v>
      </c>
      <c r="C918" s="272">
        <v>45273</v>
      </c>
      <c r="D918" s="4">
        <v>5585.2</v>
      </c>
      <c r="E918" s="271"/>
      <c r="F918" s="271"/>
      <c r="G918" s="273">
        <f>(B918-B917)/B917</f>
        <v>9.5425324302591977E-4</v>
      </c>
      <c r="H918" s="4">
        <f t="shared" si="14"/>
        <v>-5.2965837569056455E-3</v>
      </c>
      <c r="I918" s="271"/>
      <c r="J918" s="4"/>
    </row>
    <row r="919" spans="1:10" ht="14.25" customHeight="1" x14ac:dyDescent="0.3">
      <c r="A919" s="272">
        <v>45274</v>
      </c>
      <c r="B919" s="4">
        <v>21182.7</v>
      </c>
      <c r="C919" s="272">
        <v>45274</v>
      </c>
      <c r="D919" s="4">
        <v>5796.61</v>
      </c>
      <c r="E919" s="271"/>
      <c r="F919" s="271"/>
      <c r="G919" s="273">
        <f>(B919-B918)/B918</f>
        <v>1.2250105727945973E-2</v>
      </c>
      <c r="H919" s="4">
        <f t="shared" si="14"/>
        <v>3.7851822674210389E-2</v>
      </c>
      <c r="I919" s="271"/>
      <c r="J919" s="4"/>
    </row>
    <row r="920" spans="1:10" ht="14.25" customHeight="1" x14ac:dyDescent="0.3">
      <c r="A920" s="272">
        <v>45275</v>
      </c>
      <c r="B920" s="4">
        <v>21456.65</v>
      </c>
      <c r="C920" s="272">
        <v>45275</v>
      </c>
      <c r="D920" s="4">
        <v>5977.01</v>
      </c>
      <c r="E920" s="271"/>
      <c r="F920" s="271"/>
      <c r="G920" s="273">
        <f>(B920-B919)/B919</f>
        <v>1.2932723401643828E-2</v>
      </c>
      <c r="H920" s="4">
        <f t="shared" si="14"/>
        <v>3.1121638336890106E-2</v>
      </c>
      <c r="I920" s="271"/>
      <c r="J920" s="4"/>
    </row>
    <row r="921" spans="1:10" ht="14.25" customHeight="1" x14ac:dyDescent="0.3">
      <c r="A921" s="272">
        <v>45278</v>
      </c>
      <c r="B921" s="4">
        <v>21418.65</v>
      </c>
      <c r="C921" s="272">
        <v>45278</v>
      </c>
      <c r="D921" s="4">
        <v>5986.67</v>
      </c>
      <c r="E921" s="271"/>
      <c r="F921" s="271"/>
      <c r="G921" s="273">
        <f>(B921-B920)/B920</f>
        <v>-1.7710127163373592E-3</v>
      </c>
      <c r="H921" s="4">
        <f t="shared" si="14"/>
        <v>1.6161927117404613E-3</v>
      </c>
      <c r="I921" s="271"/>
      <c r="J921" s="4"/>
    </row>
    <row r="922" spans="1:10" ht="14.25" customHeight="1" x14ac:dyDescent="0.3">
      <c r="A922" s="272">
        <v>45279</v>
      </c>
      <c r="B922" s="4">
        <v>21453.1</v>
      </c>
      <c r="C922" s="272">
        <v>45279</v>
      </c>
      <c r="D922" s="4">
        <v>5960.87</v>
      </c>
      <c r="E922" s="271"/>
      <c r="F922" s="271"/>
      <c r="G922" s="273">
        <f>(B922-B921)/B921</f>
        <v>1.6084113611267324E-3</v>
      </c>
      <c r="H922" s="4">
        <f t="shared" si="14"/>
        <v>-4.3095744378761789E-3</v>
      </c>
      <c r="I922" s="271"/>
      <c r="J922" s="4"/>
    </row>
    <row r="923" spans="1:10" ht="14.25" customHeight="1" x14ac:dyDescent="0.3">
      <c r="A923" s="272">
        <v>45280</v>
      </c>
      <c r="B923" s="4">
        <v>21150.15</v>
      </c>
      <c r="C923" s="272">
        <v>45280</v>
      </c>
      <c r="D923" s="4">
        <v>5882.62</v>
      </c>
      <c r="E923" s="271"/>
      <c r="F923" s="271"/>
      <c r="G923" s="273">
        <f>(B923-B922)/B922</f>
        <v>-1.4121502253753401E-2</v>
      </c>
      <c r="H923" s="4">
        <f t="shared" si="14"/>
        <v>-1.3127278400636148E-2</v>
      </c>
      <c r="I923" s="271"/>
      <c r="J923" s="4"/>
    </row>
    <row r="924" spans="1:10" ht="14.25" customHeight="1" x14ac:dyDescent="0.3">
      <c r="A924" s="272">
        <v>45281</v>
      </c>
      <c r="B924" s="4">
        <v>21255.05</v>
      </c>
      <c r="C924" s="272">
        <v>45281</v>
      </c>
      <c r="D924" s="4">
        <v>5959.22</v>
      </c>
      <c r="E924" s="271"/>
      <c r="F924" s="271"/>
      <c r="G924" s="273">
        <f>(B924-B923)/B923</f>
        <v>4.9597756989902108E-3</v>
      </c>
      <c r="H924" s="4">
        <f t="shared" si="14"/>
        <v>1.3021408828039269E-2</v>
      </c>
      <c r="I924" s="271"/>
      <c r="J924" s="4"/>
    </row>
    <row r="925" spans="1:10" ht="14.25" customHeight="1" x14ac:dyDescent="0.3">
      <c r="A925" s="272">
        <v>45282</v>
      </c>
      <c r="B925" s="4">
        <v>21349.4</v>
      </c>
      <c r="C925" s="272">
        <v>45282</v>
      </c>
      <c r="D925" s="4">
        <v>6074.33</v>
      </c>
      <c r="E925" s="271"/>
      <c r="F925" s="271"/>
      <c r="G925" s="273">
        <f>(B925-B924)/B924</f>
        <v>4.4389450977533424E-3</v>
      </c>
      <c r="H925" s="4">
        <f t="shared" si="14"/>
        <v>1.931628635962419E-2</v>
      </c>
      <c r="I925" s="271"/>
      <c r="J925" s="4"/>
    </row>
    <row r="926" spans="1:10" ht="14.25" customHeight="1" x14ac:dyDescent="0.3">
      <c r="A926" s="272">
        <v>45286</v>
      </c>
      <c r="B926" s="4">
        <v>21441.35</v>
      </c>
      <c r="C926" s="272">
        <v>45286</v>
      </c>
      <c r="D926" s="4">
        <v>6104.17</v>
      </c>
      <c r="E926" s="271"/>
      <c r="F926" s="271"/>
      <c r="G926" s="273">
        <f>(B926-B925)/B925</f>
        <v>4.3069126064431357E-3</v>
      </c>
      <c r="H926" s="4">
        <f t="shared" si="14"/>
        <v>4.912475943848975E-3</v>
      </c>
      <c r="I926" s="271"/>
      <c r="J926" s="4"/>
    </row>
    <row r="927" spans="1:10" ht="14.25" customHeight="1" x14ac:dyDescent="0.3">
      <c r="A927" s="272">
        <v>45287</v>
      </c>
      <c r="B927" s="4">
        <v>21654.75</v>
      </c>
      <c r="C927" s="272">
        <v>45287</v>
      </c>
      <c r="D927" s="4">
        <v>6130.99</v>
      </c>
      <c r="E927" s="271"/>
      <c r="F927" s="271"/>
      <c r="G927" s="273">
        <f>(B927-B926)/B926</f>
        <v>9.9527315211029848E-3</v>
      </c>
      <c r="H927" s="4">
        <f t="shared" si="14"/>
        <v>4.3937177372189353E-3</v>
      </c>
      <c r="I927" s="271"/>
      <c r="J927" s="4"/>
    </row>
    <row r="928" spans="1:10" ht="14.25" customHeight="1" x14ac:dyDescent="0.3">
      <c r="A928" s="272">
        <v>45288</v>
      </c>
      <c r="B928" s="4">
        <v>21778.7</v>
      </c>
      <c r="C928" s="272">
        <v>45288</v>
      </c>
      <c r="D928" s="4">
        <v>6097.79</v>
      </c>
      <c r="E928" s="271"/>
      <c r="F928" s="271"/>
      <c r="G928" s="273">
        <f>(B928-B927)/B927</f>
        <v>5.7239173853311969E-3</v>
      </c>
      <c r="H928" s="4">
        <f t="shared" si="14"/>
        <v>-5.41511240435881E-3</v>
      </c>
      <c r="I928" s="271"/>
      <c r="J928" s="4"/>
    </row>
    <row r="929" spans="1:10" ht="14.25" customHeight="1" x14ac:dyDescent="0.3">
      <c r="A929" s="272">
        <v>45289</v>
      </c>
      <c r="B929" s="4">
        <v>21731.4</v>
      </c>
      <c r="C929" s="272">
        <v>45289</v>
      </c>
      <c r="D929" s="4">
        <v>6138.55</v>
      </c>
      <c r="E929" s="271"/>
      <c r="F929" s="271"/>
      <c r="G929" s="273">
        <f>(B929-B928)/B928</f>
        <v>-2.1718468044465127E-3</v>
      </c>
      <c r="H929" s="4">
        <f t="shared" si="14"/>
        <v>6.6843889343516615E-3</v>
      </c>
      <c r="I929" s="271"/>
      <c r="J929" s="4"/>
    </row>
    <row r="930" spans="1:10" ht="14.25" customHeight="1" x14ac:dyDescent="0.3">
      <c r="A930" s="272">
        <v>45292</v>
      </c>
      <c r="B930" s="4">
        <v>21741.9</v>
      </c>
      <c r="C930" s="272">
        <v>45292</v>
      </c>
      <c r="D930" s="4">
        <v>6106.32</v>
      </c>
      <c r="E930" s="271"/>
      <c r="F930" s="271"/>
      <c r="G930" s="273">
        <f>(B930-B929)/B929</f>
        <v>4.8317181589773318E-4</v>
      </c>
      <c r="H930" s="4">
        <f t="shared" si="14"/>
        <v>-5.2504255891049961E-3</v>
      </c>
      <c r="I930" s="271"/>
      <c r="J930" s="4"/>
    </row>
    <row r="931" spans="1:10" ht="14.25" customHeight="1" x14ac:dyDescent="0.3">
      <c r="A931" s="272">
        <v>45293</v>
      </c>
      <c r="B931" s="4">
        <v>21665.8</v>
      </c>
      <c r="C931" s="272">
        <v>45293</v>
      </c>
      <c r="D931" s="4">
        <v>5991.35</v>
      </c>
      <c r="E931" s="271"/>
      <c r="F931" s="271"/>
      <c r="G931" s="273">
        <f>(B931-B930)/B930</f>
        <v>-3.5001540803702609E-3</v>
      </c>
      <c r="H931" s="4">
        <f t="shared" si="14"/>
        <v>-1.8828033905854812E-2</v>
      </c>
      <c r="I931" s="271"/>
      <c r="J931" s="4"/>
    </row>
    <row r="932" spans="1:10" ht="14.25" customHeight="1" x14ac:dyDescent="0.3">
      <c r="A932" s="272">
        <v>45294</v>
      </c>
      <c r="B932" s="4">
        <v>21517.35</v>
      </c>
      <c r="C932" s="272">
        <v>45294</v>
      </c>
      <c r="D932" s="4">
        <v>5812.94</v>
      </c>
      <c r="E932" s="271"/>
      <c r="F932" s="271"/>
      <c r="G932" s="273">
        <f>(B932-B931)/B931</f>
        <v>-6.8518125340398571E-3</v>
      </c>
      <c r="H932" s="4">
        <f t="shared" si="14"/>
        <v>-2.9777929848865573E-2</v>
      </c>
      <c r="I932" s="271"/>
      <c r="J932" s="4"/>
    </row>
    <row r="933" spans="1:10" ht="14.25" customHeight="1" x14ac:dyDescent="0.3">
      <c r="A933" s="272">
        <v>45295</v>
      </c>
      <c r="B933" s="4">
        <v>21658.6</v>
      </c>
      <c r="C933" s="272">
        <v>45295</v>
      </c>
      <c r="D933" s="4">
        <v>5720.65</v>
      </c>
      <c r="E933" s="271"/>
      <c r="F933" s="271"/>
      <c r="G933" s="273">
        <f>(B933-B932)/B932</f>
        <v>6.5644700671783473E-3</v>
      </c>
      <c r="H933" s="4">
        <f t="shared" si="14"/>
        <v>-1.5876647617212629E-2</v>
      </c>
      <c r="I933" s="271"/>
      <c r="J933" s="4"/>
    </row>
    <row r="934" spans="1:10" ht="14.25" customHeight="1" x14ac:dyDescent="0.3">
      <c r="A934" s="272">
        <v>45296</v>
      </c>
      <c r="B934" s="4">
        <v>21710.799999999999</v>
      </c>
      <c r="C934" s="272">
        <v>45296</v>
      </c>
      <c r="D934" s="4">
        <v>5799.88</v>
      </c>
      <c r="E934" s="271"/>
      <c r="F934" s="271"/>
      <c r="G934" s="273">
        <f>(B934-B933)/B933</f>
        <v>2.4101280784538581E-3</v>
      </c>
      <c r="H934" s="4">
        <f t="shared" si="14"/>
        <v>1.3849824757676222E-2</v>
      </c>
      <c r="I934" s="271"/>
      <c r="J934" s="4"/>
    </row>
    <row r="935" spans="1:10" ht="14.25" customHeight="1" x14ac:dyDescent="0.3">
      <c r="A935" s="272">
        <v>45299</v>
      </c>
      <c r="B935" s="4">
        <v>21513</v>
      </c>
      <c r="C935" s="272">
        <v>45299</v>
      </c>
      <c r="D935" s="4">
        <v>5700.36</v>
      </c>
      <c r="E935" s="271"/>
      <c r="F935" s="271"/>
      <c r="G935" s="273">
        <f>(B935-B934)/B934</f>
        <v>-9.1106730290914789E-3</v>
      </c>
      <c r="H935" s="4">
        <f t="shared" si="14"/>
        <v>-1.7158975702945653E-2</v>
      </c>
      <c r="I935" s="271"/>
      <c r="J935" s="4"/>
    </row>
    <row r="936" spans="1:10" ht="14.25" customHeight="1" x14ac:dyDescent="0.3">
      <c r="A936" s="272">
        <v>45300</v>
      </c>
      <c r="B936" s="4">
        <v>21544.85</v>
      </c>
      <c r="C936" s="272">
        <v>45300</v>
      </c>
      <c r="D936" s="4">
        <v>5762.58</v>
      </c>
      <c r="E936" s="271"/>
      <c r="F936" s="271"/>
      <c r="G936" s="273">
        <f>(B936-B935)/B935</f>
        <v>1.4805001626922579E-3</v>
      </c>
      <c r="H936" s="4">
        <f t="shared" si="14"/>
        <v>1.0915100098941165E-2</v>
      </c>
      <c r="I936" s="271"/>
      <c r="J936" s="4"/>
    </row>
    <row r="937" spans="1:10" ht="14.25" customHeight="1" x14ac:dyDescent="0.3">
      <c r="A937" s="272">
        <v>45301</v>
      </c>
      <c r="B937" s="4">
        <v>21618.7</v>
      </c>
      <c r="C937" s="272">
        <v>45301</v>
      </c>
      <c r="D937" s="4">
        <v>5799.73</v>
      </c>
      <c r="E937" s="271"/>
      <c r="F937" s="271"/>
      <c r="G937" s="273">
        <f>(B937-B936)/B936</f>
        <v>3.4277333098166004E-3</v>
      </c>
      <c r="H937" s="4">
        <f t="shared" si="14"/>
        <v>6.446765164214577E-3</v>
      </c>
      <c r="I937" s="271"/>
      <c r="J937" s="4"/>
    </row>
    <row r="938" spans="1:10" ht="14.25" customHeight="1" x14ac:dyDescent="0.3">
      <c r="A938" s="272">
        <v>45302</v>
      </c>
      <c r="B938" s="4">
        <v>21647.200000000001</v>
      </c>
      <c r="C938" s="272">
        <v>45302</v>
      </c>
      <c r="D938" s="4">
        <v>5811.87</v>
      </c>
      <c r="E938" s="271"/>
      <c r="F938" s="271"/>
      <c r="G938" s="273">
        <f>(B938-B937)/B937</f>
        <v>1.3183031357112129E-3</v>
      </c>
      <c r="H938" s="4">
        <f t="shared" si="14"/>
        <v>2.0932008903863332E-3</v>
      </c>
      <c r="I938" s="271"/>
      <c r="J938" s="4"/>
    </row>
    <row r="939" spans="1:10" ht="14.25" customHeight="1" x14ac:dyDescent="0.3">
      <c r="A939" s="272">
        <v>45303</v>
      </c>
      <c r="B939" s="4">
        <v>21894.55</v>
      </c>
      <c r="C939" s="272">
        <v>45303</v>
      </c>
      <c r="D939" s="4">
        <v>6082.09</v>
      </c>
      <c r="E939" s="271"/>
      <c r="F939" s="271"/>
      <c r="G939" s="273">
        <f>(B939-B938)/B938</f>
        <v>1.1426420045086596E-2</v>
      </c>
      <c r="H939" s="4">
        <f t="shared" si="14"/>
        <v>4.6494501769654216E-2</v>
      </c>
      <c r="I939" s="271"/>
      <c r="J939" s="4"/>
    </row>
    <row r="940" spans="1:10" ht="14.25" customHeight="1" x14ac:dyDescent="0.3">
      <c r="A940" s="272">
        <v>45306</v>
      </c>
      <c r="B940" s="4">
        <v>22097.45</v>
      </c>
      <c r="C940" s="272">
        <v>45306</v>
      </c>
      <c r="D940" s="4">
        <v>6082.09</v>
      </c>
      <c r="E940" s="271"/>
      <c r="F940" s="271"/>
      <c r="G940" s="273">
        <f>(B940-B939)/B939</f>
        <v>9.2671463903118111E-3</v>
      </c>
      <c r="H940" s="4">
        <f t="shared" si="14"/>
        <v>0</v>
      </c>
      <c r="I940" s="271"/>
      <c r="J940" s="4"/>
    </row>
    <row r="941" spans="1:10" ht="14.25" customHeight="1" x14ac:dyDescent="0.3">
      <c r="A941" s="272">
        <v>45307</v>
      </c>
      <c r="B941" s="4">
        <v>22032.3</v>
      </c>
      <c r="C941" s="272">
        <v>45307</v>
      </c>
      <c r="D941" s="4">
        <v>6080.96</v>
      </c>
      <c r="E941" s="271"/>
      <c r="F941" s="271"/>
      <c r="G941" s="273">
        <f>(B941-B940)/B940</f>
        <v>-2.9483039898269463E-3</v>
      </c>
      <c r="H941" s="4">
        <f t="shared" si="14"/>
        <v>-1.8579139736506843E-4</v>
      </c>
      <c r="I941" s="271"/>
      <c r="J941" s="4"/>
    </row>
    <row r="942" spans="1:10" ht="14.25" customHeight="1" x14ac:dyDescent="0.3">
      <c r="A942" s="272">
        <v>45308</v>
      </c>
      <c r="B942" s="4">
        <v>21571.95</v>
      </c>
      <c r="C942" s="272">
        <v>45308</v>
      </c>
      <c r="D942" s="4">
        <v>6119.68</v>
      </c>
      <c r="E942" s="271"/>
      <c r="F942" s="271"/>
      <c r="G942" s="273">
        <f>(B942-B941)/B941</f>
        <v>-2.0894323334377189E-2</v>
      </c>
      <c r="H942" s="4">
        <f t="shared" si="14"/>
        <v>6.3674156712098511E-3</v>
      </c>
      <c r="I942" s="271"/>
      <c r="J942" s="4"/>
    </row>
    <row r="943" spans="1:10" ht="14.25" customHeight="1" x14ac:dyDescent="0.3">
      <c r="A943" s="272">
        <v>45309</v>
      </c>
      <c r="B943" s="4">
        <v>21462.25</v>
      </c>
      <c r="C943" s="272">
        <v>45309</v>
      </c>
      <c r="D943" s="4">
        <v>5463.79</v>
      </c>
      <c r="E943" s="271"/>
      <c r="F943" s="271"/>
      <c r="G943" s="273">
        <f>(B943-B942)/B942</f>
        <v>-5.0853075405793511E-3</v>
      </c>
      <c r="H943" s="4">
        <f t="shared" si="14"/>
        <v>-0.10717717266262293</v>
      </c>
      <c r="I943" s="271"/>
      <c r="J943" s="4"/>
    </row>
    <row r="944" spans="1:10" ht="14.25" customHeight="1" x14ac:dyDescent="0.3">
      <c r="A944" s="272">
        <v>45310</v>
      </c>
      <c r="B944" s="4">
        <v>21622.400000000001</v>
      </c>
      <c r="C944" s="272">
        <v>45310</v>
      </c>
      <c r="D944" s="4">
        <v>5511.72</v>
      </c>
      <c r="E944" s="271"/>
      <c r="F944" s="271"/>
      <c r="G944" s="273">
        <f>(B944-B943)/B943</f>
        <v>7.4619389858939043E-3</v>
      </c>
      <c r="H944" s="4">
        <f t="shared" si="14"/>
        <v>8.7722990817729624E-3</v>
      </c>
      <c r="I944" s="271"/>
      <c r="J944" s="4"/>
    </row>
    <row r="945" spans="1:10" ht="14.25" customHeight="1" x14ac:dyDescent="0.3">
      <c r="A945" s="272">
        <v>45314</v>
      </c>
      <c r="B945" s="4">
        <v>21238.799999999999</v>
      </c>
      <c r="C945" s="272">
        <v>45314</v>
      </c>
      <c r="D945" s="4">
        <v>5498.41</v>
      </c>
      <c r="E945" s="271"/>
      <c r="F945" s="271"/>
      <c r="G945" s="273">
        <f>(B945-B944)/B944</f>
        <v>-1.7740861328992257E-2</v>
      </c>
      <c r="H945" s="4">
        <f t="shared" si="14"/>
        <v>-2.4148541653060025E-3</v>
      </c>
      <c r="I945" s="271"/>
      <c r="J945" s="4"/>
    </row>
    <row r="946" spans="1:10" ht="14.25" customHeight="1" x14ac:dyDescent="0.3">
      <c r="A946" s="272">
        <v>45315</v>
      </c>
      <c r="B946" s="4">
        <v>21453.95</v>
      </c>
      <c r="C946" s="272">
        <v>45315</v>
      </c>
      <c r="D946" s="4">
        <v>5479.93</v>
      </c>
      <c r="E946" s="271"/>
      <c r="F946" s="271"/>
      <c r="G946" s="273">
        <f>(B946-B945)/B945</f>
        <v>1.0130045011959313E-2</v>
      </c>
      <c r="H946" s="4">
        <f t="shared" si="14"/>
        <v>-3.3609716263428087E-3</v>
      </c>
      <c r="I946" s="271"/>
      <c r="J946" s="4"/>
    </row>
    <row r="947" spans="1:10" ht="14.25" customHeight="1" x14ac:dyDescent="0.3">
      <c r="A947" s="272">
        <v>45316</v>
      </c>
      <c r="B947" s="4">
        <v>21352.6</v>
      </c>
      <c r="C947" s="272">
        <v>45316</v>
      </c>
      <c r="D947" s="4">
        <v>5358.13</v>
      </c>
      <c r="E947" s="271"/>
      <c r="F947" s="271"/>
      <c r="G947" s="273">
        <f>(B947-B946)/B946</f>
        <v>-4.7240717909756563E-3</v>
      </c>
      <c r="H947" s="4">
        <f t="shared" si="14"/>
        <v>-2.2226561288191671E-2</v>
      </c>
      <c r="I947" s="271"/>
      <c r="J947" s="4"/>
    </row>
    <row r="948" spans="1:10" ht="14.25" customHeight="1" x14ac:dyDescent="0.3">
      <c r="A948" s="272">
        <v>45320</v>
      </c>
      <c r="B948" s="4">
        <v>21737.599999999999</v>
      </c>
      <c r="C948" s="272">
        <v>45320</v>
      </c>
      <c r="D948" s="4">
        <v>5312.98</v>
      </c>
      <c r="E948" s="271"/>
      <c r="F948" s="271"/>
      <c r="G948" s="273">
        <f>(B948-B947)/B947</f>
        <v>1.8030591122392591E-2</v>
      </c>
      <c r="H948" s="4">
        <f t="shared" si="14"/>
        <v>-8.4264472866467481E-3</v>
      </c>
      <c r="I948" s="271"/>
      <c r="J948" s="4"/>
    </row>
    <row r="949" spans="1:10" ht="14.25" customHeight="1" x14ac:dyDescent="0.3">
      <c r="A949" s="272">
        <v>45321</v>
      </c>
      <c r="B949" s="4">
        <v>21522.1</v>
      </c>
      <c r="C949" s="272">
        <v>45321</v>
      </c>
      <c r="D949" s="4">
        <v>5219.8100000000004</v>
      </c>
      <c r="E949" s="271"/>
      <c r="F949" s="271"/>
      <c r="G949" s="273">
        <f>(B949-B948)/B948</f>
        <v>-9.9136979243338742E-3</v>
      </c>
      <c r="H949" s="4">
        <f t="shared" si="14"/>
        <v>-1.7536297896848692E-2</v>
      </c>
      <c r="I949" s="271"/>
      <c r="J949" s="4"/>
    </row>
    <row r="950" spans="1:10" ht="14.25" customHeight="1" x14ac:dyDescent="0.3">
      <c r="A950" s="272">
        <v>45322</v>
      </c>
      <c r="B950" s="4">
        <v>21725.7</v>
      </c>
      <c r="C950" s="272">
        <v>45322</v>
      </c>
      <c r="D950" s="4">
        <v>5313.18</v>
      </c>
      <c r="E950" s="271"/>
      <c r="F950" s="271"/>
      <c r="G950" s="273">
        <f>(B950-B949)/B949</f>
        <v>9.460043397252229E-3</v>
      </c>
      <c r="H950" s="4">
        <f t="shared" si="14"/>
        <v>1.7887624262185767E-2</v>
      </c>
      <c r="I950" s="271"/>
      <c r="J950" s="4"/>
    </row>
    <row r="951" spans="1:10" ht="14.25" customHeight="1" x14ac:dyDescent="0.3">
      <c r="A951" s="272">
        <v>45323</v>
      </c>
      <c r="B951" s="4">
        <v>21697.45</v>
      </c>
      <c r="C951" s="272">
        <v>45323</v>
      </c>
      <c r="D951" s="4">
        <v>5231.3599999999997</v>
      </c>
      <c r="E951" s="271"/>
      <c r="F951" s="271"/>
      <c r="G951" s="273">
        <f>(B951-B950)/B950</f>
        <v>-1.3003033273956651E-3</v>
      </c>
      <c r="H951" s="4">
        <f t="shared" si="14"/>
        <v>-1.5399440636304551E-2</v>
      </c>
      <c r="I951" s="271"/>
      <c r="J951" s="4"/>
    </row>
    <row r="952" spans="1:10" ht="14.25" customHeight="1" x14ac:dyDescent="0.3">
      <c r="A952" s="272">
        <v>45324</v>
      </c>
      <c r="B952" s="4">
        <v>21853.8</v>
      </c>
      <c r="C952" s="272">
        <v>45324</v>
      </c>
      <c r="D952" s="4">
        <v>5349.55</v>
      </c>
      <c r="E952" s="271"/>
      <c r="F952" s="271"/>
      <c r="G952" s="273">
        <f>(B952-B951)/B951</f>
        <v>7.2059159025599107E-3</v>
      </c>
      <c r="H952" s="4">
        <f t="shared" si="14"/>
        <v>2.2592595424516859E-2</v>
      </c>
      <c r="I952" s="271"/>
      <c r="J952" s="4"/>
    </row>
    <row r="953" spans="1:10" ht="14.25" customHeight="1" x14ac:dyDescent="0.3">
      <c r="A953" s="272">
        <v>45327</v>
      </c>
      <c r="B953" s="4">
        <v>21771.7</v>
      </c>
      <c r="C953" s="272">
        <v>45327</v>
      </c>
      <c r="D953" s="4">
        <v>5303.33</v>
      </c>
      <c r="E953" s="271"/>
      <c r="F953" s="271"/>
      <c r="G953" s="273">
        <f>(B953-B952)/B952</f>
        <v>-3.7567837172481923E-3</v>
      </c>
      <c r="H953" s="4">
        <f t="shared" si="14"/>
        <v>-8.6399790636596079E-3</v>
      </c>
      <c r="I953" s="271"/>
      <c r="J953" s="4"/>
    </row>
    <row r="954" spans="1:10" ht="14.25" customHeight="1" x14ac:dyDescent="0.3">
      <c r="A954" s="272">
        <v>45328</v>
      </c>
      <c r="B954" s="4">
        <v>21929.4</v>
      </c>
      <c r="C954" s="272">
        <v>45328</v>
      </c>
      <c r="D954" s="4">
        <v>5334.39</v>
      </c>
      <c r="E954" s="271"/>
      <c r="F954" s="271"/>
      <c r="G954" s="273">
        <f>(B954-B953)/B953</f>
        <v>7.2433480160024582E-3</v>
      </c>
      <c r="H954" s="4">
        <f t="shared" si="14"/>
        <v>5.8566975843480232E-3</v>
      </c>
      <c r="I954" s="271"/>
      <c r="J954" s="4"/>
    </row>
    <row r="955" spans="1:10" ht="14.25" customHeight="1" x14ac:dyDescent="0.3">
      <c r="A955" s="272">
        <v>45329</v>
      </c>
      <c r="B955" s="4">
        <v>21930.5</v>
      </c>
      <c r="C955" s="272">
        <v>45329</v>
      </c>
      <c r="D955" s="4">
        <v>5312.54</v>
      </c>
      <c r="E955" s="271"/>
      <c r="F955" s="271"/>
      <c r="G955" s="273">
        <f>(B955-B954)/B954</f>
        <v>5.016097111633445E-5</v>
      </c>
      <c r="H955" s="4">
        <f t="shared" si="14"/>
        <v>-4.096063467425584E-3</v>
      </c>
      <c r="I955" s="271"/>
      <c r="J955" s="4"/>
    </row>
    <row r="956" spans="1:10" ht="14.25" customHeight="1" x14ac:dyDescent="0.3">
      <c r="A956" s="272">
        <v>45330</v>
      </c>
      <c r="B956" s="4">
        <v>21717.95</v>
      </c>
      <c r="C956" s="272">
        <v>45330</v>
      </c>
      <c r="D956" s="4">
        <v>5286.12</v>
      </c>
      <c r="E956" s="271"/>
      <c r="F956" s="271"/>
      <c r="G956" s="273">
        <f>(B956-B955)/B955</f>
        <v>-9.6919814869701679E-3</v>
      </c>
      <c r="H956" s="4">
        <f t="shared" si="14"/>
        <v>-4.9731390257767606E-3</v>
      </c>
      <c r="I956" s="271"/>
      <c r="J956" s="4"/>
    </row>
    <row r="957" spans="1:10" ht="14.25" customHeight="1" x14ac:dyDescent="0.3">
      <c r="A957" s="272">
        <v>45331</v>
      </c>
      <c r="B957" s="4">
        <v>21782.5</v>
      </c>
      <c r="C957" s="272">
        <v>45331</v>
      </c>
      <c r="D957" s="4">
        <v>5317.81</v>
      </c>
      <c r="E957" s="271"/>
      <c r="F957" s="271"/>
      <c r="G957" s="273">
        <f>(B957-B956)/B956</f>
        <v>2.9721958103780177E-3</v>
      </c>
      <c r="H957" s="4">
        <f t="shared" si="14"/>
        <v>5.9949452528509587E-3</v>
      </c>
      <c r="I957" s="271"/>
      <c r="J957" s="4"/>
    </row>
    <row r="958" spans="1:10" ht="14.25" customHeight="1" x14ac:dyDescent="0.3">
      <c r="A958" s="272">
        <v>45334</v>
      </c>
      <c r="B958" s="4">
        <v>21616.05</v>
      </c>
      <c r="C958" s="272">
        <v>45334</v>
      </c>
      <c r="D958" s="4">
        <v>5379.44</v>
      </c>
      <c r="E958" s="271"/>
      <c r="F958" s="271"/>
      <c r="G958" s="273">
        <f>(B958-B957)/B957</f>
        <v>-7.6414552966831504E-3</v>
      </c>
      <c r="H958" s="4">
        <f t="shared" si="14"/>
        <v>1.1589357273012611E-2</v>
      </c>
      <c r="I958" s="271"/>
      <c r="J958" s="4"/>
    </row>
    <row r="959" spans="1:10" ht="14.25" customHeight="1" x14ac:dyDescent="0.3">
      <c r="A959" s="272">
        <v>45335</v>
      </c>
      <c r="B959" s="4">
        <v>21743.25</v>
      </c>
      <c r="C959" s="272">
        <v>45335</v>
      </c>
      <c r="D959" s="4">
        <v>5419.08</v>
      </c>
      <c r="E959" s="271"/>
      <c r="F959" s="271"/>
      <c r="G959" s="273">
        <f>(B959-B958)/B958</f>
        <v>5.8845163663111778E-3</v>
      </c>
      <c r="H959" s="4">
        <f t="shared" si="14"/>
        <v>7.3687967520783444E-3</v>
      </c>
      <c r="I959" s="271"/>
      <c r="J959" s="4"/>
    </row>
    <row r="960" spans="1:10" ht="14.25" customHeight="1" x14ac:dyDescent="0.3">
      <c r="A960" s="272">
        <v>45336</v>
      </c>
      <c r="B960" s="4">
        <v>21840.05</v>
      </c>
      <c r="C960" s="272">
        <v>45336</v>
      </c>
      <c r="D960" s="4">
        <v>5368.37</v>
      </c>
      <c r="E960" s="271"/>
      <c r="F960" s="271"/>
      <c r="G960" s="273">
        <f>(B960-B959)/B959</f>
        <v>4.4519563542708323E-3</v>
      </c>
      <c r="H960" s="4">
        <f t="shared" si="14"/>
        <v>-9.3576769488547939E-3</v>
      </c>
      <c r="I960" s="271"/>
      <c r="J960" s="4"/>
    </row>
    <row r="961" spans="1:10" ht="14.25" customHeight="1" x14ac:dyDescent="0.3">
      <c r="A961" s="272">
        <v>45337</v>
      </c>
      <c r="B961" s="4">
        <v>21910.75</v>
      </c>
      <c r="C961" s="272">
        <v>45337</v>
      </c>
      <c r="D961" s="4">
        <v>5385.09</v>
      </c>
      <c r="E961" s="271"/>
      <c r="F961" s="271"/>
      <c r="G961" s="273">
        <f>(B961-B960)/B960</f>
        <v>3.2371720760712877E-3</v>
      </c>
      <c r="H961" s="4">
        <f t="shared" si="14"/>
        <v>3.1145394225808309E-3</v>
      </c>
      <c r="I961" s="271"/>
      <c r="J961" s="4"/>
    </row>
    <row r="962" spans="1:10" ht="14.25" customHeight="1" x14ac:dyDescent="0.3">
      <c r="A962" s="272">
        <v>45338</v>
      </c>
      <c r="B962" s="4">
        <v>22040.7</v>
      </c>
      <c r="C962" s="272">
        <v>45338</v>
      </c>
      <c r="D962" s="4">
        <v>5441.75</v>
      </c>
      <c r="E962" s="271"/>
      <c r="F962" s="271"/>
      <c r="G962" s="273">
        <f>(B962-B961)/B961</f>
        <v>5.9308786782743964E-3</v>
      </c>
      <c r="H962" s="4">
        <f t="shared" si="14"/>
        <v>1.0521644020805567E-2</v>
      </c>
      <c r="I962" s="271"/>
      <c r="J962" s="4"/>
    </row>
    <row r="963" spans="1:10" ht="14.25" customHeight="1" x14ac:dyDescent="0.3">
      <c r="A963" s="272">
        <v>45341</v>
      </c>
      <c r="B963" s="4">
        <v>22122.25</v>
      </c>
      <c r="C963" s="272">
        <v>45341</v>
      </c>
      <c r="D963" s="4">
        <v>5377.05</v>
      </c>
      <c r="E963" s="271"/>
      <c r="F963" s="271"/>
      <c r="G963" s="273">
        <f>(B963-B962)/B962</f>
        <v>3.6999732313401693E-3</v>
      </c>
      <c r="H963" s="4">
        <f t="shared" ref="H963:H1026" si="15">(D963-D962)/D962</f>
        <v>-1.188955758717321E-2</v>
      </c>
      <c r="I963" s="271"/>
      <c r="J963" s="4"/>
    </row>
    <row r="964" spans="1:10" ht="14.25" customHeight="1" x14ac:dyDescent="0.3">
      <c r="A964" s="272">
        <v>45342</v>
      </c>
      <c r="B964" s="4">
        <v>22196.95</v>
      </c>
      <c r="C964" s="272">
        <v>45342</v>
      </c>
      <c r="D964" s="4">
        <v>5367.59</v>
      </c>
      <c r="E964" s="271"/>
      <c r="F964" s="271"/>
      <c r="G964" s="273">
        <f>(B964-B963)/B963</f>
        <v>3.376690888133021E-3</v>
      </c>
      <c r="H964" s="4">
        <f t="shared" si="15"/>
        <v>-1.7593290001022932E-3</v>
      </c>
      <c r="I964" s="271"/>
      <c r="J964" s="4"/>
    </row>
    <row r="965" spans="1:10" ht="14.25" customHeight="1" x14ac:dyDescent="0.3">
      <c r="A965" s="272">
        <v>45343</v>
      </c>
      <c r="B965" s="4">
        <v>22055.05</v>
      </c>
      <c r="C965" s="272">
        <v>45343</v>
      </c>
      <c r="D965" s="4">
        <v>5285.43</v>
      </c>
      <c r="E965" s="271"/>
      <c r="F965" s="271"/>
      <c r="G965" s="273">
        <f>(B965-B964)/B964</f>
        <v>-6.3927701778848647E-3</v>
      </c>
      <c r="H965" s="4">
        <f t="shared" si="15"/>
        <v>-1.5306683260085038E-2</v>
      </c>
      <c r="I965" s="271"/>
      <c r="J965" s="4"/>
    </row>
    <row r="966" spans="1:10" ht="14.25" customHeight="1" x14ac:dyDescent="0.3">
      <c r="A966" s="272">
        <v>45344</v>
      </c>
      <c r="B966" s="4">
        <v>22217.45</v>
      </c>
      <c r="C966" s="272">
        <v>45344</v>
      </c>
      <c r="D966" s="4">
        <v>5350.43</v>
      </c>
      <c r="E966" s="271"/>
      <c r="F966" s="271"/>
      <c r="G966" s="273">
        <f>(B966-B965)/B965</f>
        <v>7.3633929644231801E-3</v>
      </c>
      <c r="H966" s="4">
        <f t="shared" si="15"/>
        <v>1.2297958728050508E-2</v>
      </c>
      <c r="I966" s="271"/>
      <c r="J966" s="4"/>
    </row>
    <row r="967" spans="1:10" ht="14.25" customHeight="1" x14ac:dyDescent="0.3">
      <c r="A967" s="272">
        <v>45345</v>
      </c>
      <c r="B967" s="4">
        <v>22212.7</v>
      </c>
      <c r="C967" s="272">
        <v>45345</v>
      </c>
      <c r="D967" s="4">
        <v>5404.94</v>
      </c>
      <c r="E967" s="271"/>
      <c r="F967" s="271"/>
      <c r="G967" s="273">
        <f>(B967-B966)/B966</f>
        <v>-2.1379591267224637E-4</v>
      </c>
      <c r="H967" s="4">
        <f t="shared" si="15"/>
        <v>1.0187966200847279E-2</v>
      </c>
      <c r="I967" s="271"/>
      <c r="J967" s="4"/>
    </row>
    <row r="968" spans="1:10" ht="14.25" customHeight="1" x14ac:dyDescent="0.3">
      <c r="A968" s="272">
        <v>45348</v>
      </c>
      <c r="B968" s="4">
        <v>22122.05</v>
      </c>
      <c r="C968" s="272">
        <v>45348</v>
      </c>
      <c r="D968" s="4">
        <v>5330.34</v>
      </c>
      <c r="E968" s="271"/>
      <c r="F968" s="271"/>
      <c r="G968" s="273">
        <f>(B968-B967)/B967</f>
        <v>-4.08099870794642E-3</v>
      </c>
      <c r="H968" s="4">
        <f t="shared" si="15"/>
        <v>-1.3802188368418421E-2</v>
      </c>
      <c r="I968" s="271"/>
      <c r="J968" s="4"/>
    </row>
    <row r="969" spans="1:10" ht="14.25" customHeight="1" x14ac:dyDescent="0.3">
      <c r="A969" s="272">
        <v>45349</v>
      </c>
      <c r="B969" s="4">
        <v>22198.35</v>
      </c>
      <c r="C969" s="272">
        <v>45349</v>
      </c>
      <c r="D969" s="4">
        <v>5307.47</v>
      </c>
      <c r="E969" s="271"/>
      <c r="F969" s="271"/>
      <c r="G969" s="273">
        <f>(B969-B968)/B968</f>
        <v>3.449047443613918E-3</v>
      </c>
      <c r="H969" s="4">
        <f t="shared" si="15"/>
        <v>-4.2905330616808479E-3</v>
      </c>
      <c r="I969" s="271"/>
      <c r="J969" s="4"/>
    </row>
    <row r="970" spans="1:10" ht="14.25" customHeight="1" x14ac:dyDescent="0.3">
      <c r="A970" s="272">
        <v>45350</v>
      </c>
      <c r="B970" s="4">
        <v>21951.15</v>
      </c>
      <c r="C970" s="272">
        <v>45350</v>
      </c>
      <c r="D970" s="4">
        <v>5275.54</v>
      </c>
      <c r="E970" s="271"/>
      <c r="F970" s="271"/>
      <c r="G970" s="273">
        <f>(B970-B969)/B969</f>
        <v>-1.1135962808046414E-2</v>
      </c>
      <c r="H970" s="4">
        <f t="shared" si="15"/>
        <v>-6.016049077997669E-3</v>
      </c>
      <c r="I970" s="271"/>
      <c r="J970" s="4"/>
    </row>
    <row r="971" spans="1:10" ht="14.25" customHeight="1" x14ac:dyDescent="0.3">
      <c r="A971" s="272">
        <v>45351</v>
      </c>
      <c r="B971" s="4">
        <v>21982.799999999999</v>
      </c>
      <c r="C971" s="272">
        <v>45351</v>
      </c>
      <c r="D971" s="4">
        <v>5169.1499999999996</v>
      </c>
      <c r="E971" s="271"/>
      <c r="F971" s="271"/>
      <c r="G971" s="273">
        <f>(B971-B970)/B970</f>
        <v>1.4418378991532478E-3</v>
      </c>
      <c r="H971" s="4">
        <f t="shared" si="15"/>
        <v>-2.0166655925270272E-2</v>
      </c>
      <c r="I971" s="271"/>
      <c r="J971" s="4"/>
    </row>
    <row r="972" spans="1:10" ht="14.25" customHeight="1" x14ac:dyDescent="0.3">
      <c r="A972" s="272">
        <v>45352</v>
      </c>
      <c r="B972" s="4">
        <v>22338.75</v>
      </c>
      <c r="C972" s="272">
        <v>45352</v>
      </c>
      <c r="D972" s="4">
        <v>5142.5200000000004</v>
      </c>
      <c r="E972" s="271"/>
      <c r="F972" s="271"/>
      <c r="G972" s="273">
        <f>(B972-B971)/B971</f>
        <v>1.6192204814673324E-2</v>
      </c>
      <c r="H972" s="4">
        <f t="shared" si="15"/>
        <v>-5.1517174003461305E-3</v>
      </c>
      <c r="I972" s="271"/>
      <c r="J972" s="4"/>
    </row>
    <row r="973" spans="1:10" ht="14.25" customHeight="1" x14ac:dyDescent="0.3">
      <c r="A973" s="272">
        <v>45355</v>
      </c>
      <c r="B973" s="4">
        <v>22405.599999999999</v>
      </c>
      <c r="C973" s="272">
        <v>45355</v>
      </c>
      <c r="D973" s="4">
        <v>5087.2299999999996</v>
      </c>
      <c r="E973" s="271"/>
      <c r="F973" s="271"/>
      <c r="G973" s="273">
        <f>(B973-B972)/B972</f>
        <v>2.9925577751664057E-3</v>
      </c>
      <c r="H973" s="4">
        <f t="shared" si="15"/>
        <v>-1.0751538156390421E-2</v>
      </c>
      <c r="I973" s="271"/>
      <c r="J973" s="4"/>
    </row>
    <row r="974" spans="1:10" ht="14.25" customHeight="1" x14ac:dyDescent="0.3">
      <c r="A974" s="272">
        <v>45356</v>
      </c>
      <c r="B974" s="4">
        <v>22356.3</v>
      </c>
      <c r="C974" s="272">
        <v>45356</v>
      </c>
      <c r="D974" s="4">
        <v>5004.05</v>
      </c>
      <c r="E974" s="271"/>
      <c r="F974" s="271"/>
      <c r="G974" s="273">
        <f>(B974-B973)/B973</f>
        <v>-2.2003427714499622E-3</v>
      </c>
      <c r="H974" s="4">
        <f t="shared" si="15"/>
        <v>-1.6350744904397755E-2</v>
      </c>
      <c r="I974" s="271"/>
      <c r="J974" s="4"/>
    </row>
    <row r="975" spans="1:10" ht="14.25" customHeight="1" x14ac:dyDescent="0.3">
      <c r="A975" s="272">
        <v>45357</v>
      </c>
      <c r="B975" s="4">
        <v>22474.05</v>
      </c>
      <c r="C975" s="272">
        <v>45357</v>
      </c>
      <c r="D975" s="4">
        <v>5035.8900000000003</v>
      </c>
      <c r="E975" s="271"/>
      <c r="F975" s="271"/>
      <c r="G975" s="273">
        <f>(B975-B974)/B974</f>
        <v>5.2669717260906326E-3</v>
      </c>
      <c r="H975" s="4">
        <f t="shared" si="15"/>
        <v>6.3628460946633519E-3</v>
      </c>
      <c r="I975" s="271"/>
      <c r="J975" s="4"/>
    </row>
    <row r="976" spans="1:10" ht="14.25" customHeight="1" x14ac:dyDescent="0.3">
      <c r="A976" s="272">
        <v>45358</v>
      </c>
      <c r="B976" s="4">
        <v>22493.55</v>
      </c>
      <c r="C976" s="272">
        <v>45358</v>
      </c>
      <c r="D976" s="4">
        <v>4995.42</v>
      </c>
      <c r="E976" s="271"/>
      <c r="F976" s="271"/>
      <c r="G976" s="273">
        <f>(B976-B975)/B975</f>
        <v>8.6766737637408481E-4</v>
      </c>
      <c r="H976" s="4">
        <f t="shared" si="15"/>
        <v>-8.0363153285715645E-3</v>
      </c>
      <c r="I976" s="271"/>
      <c r="J976" s="4"/>
    </row>
    <row r="977" spans="1:10" ht="14.25" customHeight="1" x14ac:dyDescent="0.3">
      <c r="A977" s="272">
        <v>45362</v>
      </c>
      <c r="B977" s="4">
        <v>22332.65</v>
      </c>
      <c r="C977" s="272">
        <v>45362</v>
      </c>
      <c r="D977" s="4">
        <v>4995.71</v>
      </c>
      <c r="E977" s="271"/>
      <c r="F977" s="271"/>
      <c r="G977" s="273">
        <f>(B977-B976)/B976</f>
        <v>-7.1531616841271307E-3</v>
      </c>
      <c r="H977" s="4">
        <f t="shared" si="15"/>
        <v>5.8053176709858953E-5</v>
      </c>
      <c r="I977" s="271"/>
      <c r="J977" s="4"/>
    </row>
    <row r="978" spans="1:10" ht="14.25" customHeight="1" x14ac:dyDescent="0.3">
      <c r="A978" s="272">
        <v>45363</v>
      </c>
      <c r="B978" s="4">
        <v>22335.7</v>
      </c>
      <c r="C978" s="272">
        <v>45363</v>
      </c>
      <c r="D978" s="4">
        <v>5079.7700000000004</v>
      </c>
      <c r="E978" s="271"/>
      <c r="F978" s="271"/>
      <c r="G978" s="273">
        <f>(B978-B977)/B977</f>
        <v>1.3657134285448758E-4</v>
      </c>
      <c r="H978" s="4">
        <f t="shared" si="15"/>
        <v>1.6826437083017308E-2</v>
      </c>
      <c r="I978" s="271"/>
      <c r="J978" s="4"/>
    </row>
    <row r="979" spans="1:10" ht="14.25" customHeight="1" x14ac:dyDescent="0.3">
      <c r="A979" s="272">
        <v>45364</v>
      </c>
      <c r="B979" s="4">
        <v>21997.7</v>
      </c>
      <c r="C979" s="272">
        <v>45364</v>
      </c>
      <c r="D979" s="4">
        <v>5065.93</v>
      </c>
      <c r="E979" s="271"/>
      <c r="F979" s="271"/>
      <c r="G979" s="273">
        <f>(B979-B978)/B978</f>
        <v>-1.5132724741109523E-2</v>
      </c>
      <c r="H979" s="4">
        <f t="shared" si="15"/>
        <v>-2.7245328036505875E-3</v>
      </c>
      <c r="I979" s="271"/>
      <c r="J979" s="4"/>
    </row>
    <row r="980" spans="1:10" ht="14.25" customHeight="1" x14ac:dyDescent="0.3">
      <c r="A980" s="272">
        <v>45365</v>
      </c>
      <c r="B980" s="4">
        <v>22146.65</v>
      </c>
      <c r="C980" s="272">
        <v>45365</v>
      </c>
      <c r="D980" s="4">
        <v>5133.41</v>
      </c>
      <c r="E980" s="271"/>
      <c r="F980" s="271"/>
      <c r="G980" s="273">
        <f>(B980-B979)/B979</f>
        <v>6.7711624397096392E-3</v>
      </c>
      <c r="H980" s="4">
        <f t="shared" si="15"/>
        <v>1.332035776254302E-2</v>
      </c>
      <c r="I980" s="271"/>
      <c r="J980" s="4"/>
    </row>
    <row r="981" spans="1:10" ht="14.25" customHeight="1" x14ac:dyDescent="0.3">
      <c r="A981" s="272">
        <v>45366</v>
      </c>
      <c r="B981" s="4">
        <v>22023.35</v>
      </c>
      <c r="C981" s="272">
        <v>45366</v>
      </c>
      <c r="D981" s="4">
        <v>5065.29</v>
      </c>
      <c r="E981" s="271"/>
      <c r="F981" s="271"/>
      <c r="G981" s="273">
        <f>(B981-B980)/B980</f>
        <v>-5.5674334493028476E-3</v>
      </c>
      <c r="H981" s="4">
        <f t="shared" si="15"/>
        <v>-1.3269931682838482E-2</v>
      </c>
      <c r="I981" s="271"/>
      <c r="J981" s="4"/>
    </row>
    <row r="982" spans="1:10" ht="14.25" customHeight="1" x14ac:dyDescent="0.3">
      <c r="A982" s="272">
        <v>45369</v>
      </c>
      <c r="B982" s="4">
        <v>22055.7</v>
      </c>
      <c r="C982" s="272">
        <v>45369</v>
      </c>
      <c r="D982" s="4">
        <v>5039.0600000000004</v>
      </c>
      <c r="E982" s="271"/>
      <c r="F982" s="271"/>
      <c r="G982" s="273">
        <f>(B982-B981)/B981</f>
        <v>1.468895513171347E-3</v>
      </c>
      <c r="H982" s="4">
        <f t="shared" si="15"/>
        <v>-5.1783807047571934E-3</v>
      </c>
      <c r="I982" s="271"/>
      <c r="J982" s="4"/>
    </row>
    <row r="983" spans="1:10" ht="14.25" customHeight="1" x14ac:dyDescent="0.3">
      <c r="A983" s="272">
        <v>45370</v>
      </c>
      <c r="B983" s="4">
        <v>21817.45</v>
      </c>
      <c r="C983" s="272">
        <v>45370</v>
      </c>
      <c r="D983" s="4">
        <v>4978.8500000000004</v>
      </c>
      <c r="E983" s="271"/>
      <c r="F983" s="271"/>
      <c r="G983" s="273">
        <f>(B983-B982)/B982</f>
        <v>-1.080219625765675E-2</v>
      </c>
      <c r="H983" s="4">
        <f t="shared" si="15"/>
        <v>-1.1948657090806626E-2</v>
      </c>
      <c r="I983" s="271"/>
      <c r="J983" s="4"/>
    </row>
    <row r="984" spans="1:10" ht="14.25" customHeight="1" x14ac:dyDescent="0.3">
      <c r="A984" s="272">
        <v>45371</v>
      </c>
      <c r="B984" s="4">
        <v>21839.1</v>
      </c>
      <c r="C984" s="272">
        <v>45371</v>
      </c>
      <c r="D984" s="4">
        <v>4974.3100000000004</v>
      </c>
      <c r="E984" s="271"/>
      <c r="F984" s="271"/>
      <c r="G984" s="273">
        <f>(B984-B983)/B983</f>
        <v>9.9232495089929458E-4</v>
      </c>
      <c r="H984" s="4">
        <f t="shared" si="15"/>
        <v>-9.1185715576889504E-4</v>
      </c>
      <c r="I984" s="271"/>
      <c r="J984" s="4"/>
    </row>
    <row r="985" spans="1:10" ht="14.25" customHeight="1" x14ac:dyDescent="0.3">
      <c r="A985" s="272">
        <v>45372</v>
      </c>
      <c r="B985" s="4">
        <v>22011.95</v>
      </c>
      <c r="C985" s="272">
        <v>45372</v>
      </c>
      <c r="D985" s="4">
        <v>5031.7</v>
      </c>
      <c r="E985" s="271"/>
      <c r="F985" s="271"/>
      <c r="G985" s="273">
        <f>(B985-B984)/B984</f>
        <v>7.9147034447391244E-3</v>
      </c>
      <c r="H985" s="4">
        <f t="shared" si="15"/>
        <v>1.1537278537123623E-2</v>
      </c>
      <c r="I985" s="271"/>
      <c r="J985" s="4"/>
    </row>
    <row r="986" spans="1:10" ht="14.25" customHeight="1" x14ac:dyDescent="0.3">
      <c r="A986" s="272">
        <v>45373</v>
      </c>
      <c r="B986" s="4">
        <v>22096.75</v>
      </c>
      <c r="C986" s="272">
        <v>45373</v>
      </c>
      <c r="D986" s="4">
        <v>4880.6499999999996</v>
      </c>
      <c r="E986" s="271"/>
      <c r="F986" s="271"/>
      <c r="G986" s="273">
        <f>(B986-B985)/B985</f>
        <v>3.8524528721898457E-3</v>
      </c>
      <c r="H986" s="4">
        <f t="shared" si="15"/>
        <v>-3.0019675258858871E-2</v>
      </c>
      <c r="I986" s="271"/>
      <c r="J986" s="4"/>
    </row>
    <row r="987" spans="1:10" ht="14.25" customHeight="1" x14ac:dyDescent="0.3">
      <c r="A987" s="272">
        <v>45377</v>
      </c>
      <c r="B987" s="4">
        <v>22004.7</v>
      </c>
      <c r="C987" s="272">
        <v>45377</v>
      </c>
      <c r="D987" s="4">
        <v>4851.59</v>
      </c>
      <c r="E987" s="271"/>
      <c r="F987" s="271"/>
      <c r="G987" s="273">
        <f>(B987-B986)/B986</f>
        <v>-4.1657709844207533E-3</v>
      </c>
      <c r="H987" s="4">
        <f t="shared" si="15"/>
        <v>-5.9541249628634494E-3</v>
      </c>
      <c r="I987" s="271"/>
      <c r="J987" s="4"/>
    </row>
    <row r="988" spans="1:10" ht="14.25" customHeight="1" x14ac:dyDescent="0.3">
      <c r="A988" s="272">
        <v>45378</v>
      </c>
      <c r="B988" s="4">
        <v>22123.65</v>
      </c>
      <c r="C988" s="272">
        <v>45378</v>
      </c>
      <c r="D988" s="4">
        <v>4805.07</v>
      </c>
      <c r="E988" s="271"/>
      <c r="F988" s="271"/>
      <c r="G988" s="273">
        <f>(B988-B987)/B987</f>
        <v>5.4056633355601636E-3</v>
      </c>
      <c r="H988" s="4">
        <f t="shared" si="15"/>
        <v>-9.5886090951627072E-3</v>
      </c>
      <c r="I988" s="271"/>
      <c r="J988" s="4"/>
    </row>
    <row r="989" spans="1:10" ht="14.25" customHeight="1" x14ac:dyDescent="0.3">
      <c r="A989" s="272">
        <v>45379</v>
      </c>
      <c r="B989" s="4">
        <v>22326.9</v>
      </c>
      <c r="C989" s="272">
        <v>45379</v>
      </c>
      <c r="D989" s="4">
        <v>4815.7</v>
      </c>
      <c r="E989" s="271"/>
      <c r="F989" s="271"/>
      <c r="G989" s="273">
        <f>(B989-B988)/B988</f>
        <v>9.1870012407536724E-3</v>
      </c>
      <c r="H989" s="4">
        <f t="shared" si="15"/>
        <v>2.2122466478116053E-3</v>
      </c>
      <c r="I989" s="271"/>
      <c r="J989" s="4"/>
    </row>
    <row r="990" spans="1:10" ht="14.25" customHeight="1" x14ac:dyDescent="0.3">
      <c r="A990" s="272">
        <v>45383</v>
      </c>
      <c r="B990" s="4">
        <v>22462</v>
      </c>
      <c r="C990" s="272">
        <v>45383</v>
      </c>
      <c r="D990" s="4">
        <v>4761.29</v>
      </c>
      <c r="E990" s="271"/>
      <c r="F990" s="271"/>
      <c r="G990" s="273">
        <f>(B990-B989)/B989</f>
        <v>6.0509967796693017E-3</v>
      </c>
      <c r="H990" s="4">
        <f t="shared" si="15"/>
        <v>-1.1298461282887194E-2</v>
      </c>
      <c r="I990" s="271"/>
      <c r="J990" s="4"/>
    </row>
    <row r="991" spans="1:10" ht="14.25" customHeight="1" x14ac:dyDescent="0.3">
      <c r="A991" s="272">
        <v>45384</v>
      </c>
      <c r="B991" s="4">
        <v>22453.3</v>
      </c>
      <c r="C991" s="272">
        <v>45384</v>
      </c>
      <c r="D991" s="4">
        <v>4778.99</v>
      </c>
      <c r="E991" s="271"/>
      <c r="F991" s="271"/>
      <c r="G991" s="273">
        <f>(B991-B990)/B990</f>
        <v>-3.8732080847657055E-4</v>
      </c>
      <c r="H991" s="4">
        <f t="shared" si="15"/>
        <v>3.7174799266584935E-3</v>
      </c>
      <c r="I991" s="271"/>
      <c r="J991" s="4"/>
    </row>
    <row r="992" spans="1:10" ht="14.25" customHeight="1" x14ac:dyDescent="0.3">
      <c r="A992" s="272">
        <v>45385</v>
      </c>
      <c r="B992" s="4">
        <v>22434.65</v>
      </c>
      <c r="C992" s="272">
        <v>45385</v>
      </c>
      <c r="D992" s="4">
        <v>4748.32</v>
      </c>
      <c r="E992" s="271"/>
      <c r="F992" s="271"/>
      <c r="G992" s="273">
        <f>(B992-B991)/B991</f>
        <v>-8.3061287204989106E-4</v>
      </c>
      <c r="H992" s="4">
        <f t="shared" si="15"/>
        <v>-6.4176740273572605E-3</v>
      </c>
      <c r="I992" s="271"/>
      <c r="J992" s="4"/>
    </row>
    <row r="993" spans="1:10" ht="14.25" customHeight="1" x14ac:dyDescent="0.3">
      <c r="A993" s="272">
        <v>45386</v>
      </c>
      <c r="B993" s="4">
        <v>22514.65</v>
      </c>
      <c r="C993" s="272">
        <v>45386</v>
      </c>
      <c r="D993" s="4">
        <v>4812.58</v>
      </c>
      <c r="E993" s="271"/>
      <c r="F993" s="271"/>
      <c r="G993" s="273">
        <f>(B993-B992)/B992</f>
        <v>3.5659125504520907E-3</v>
      </c>
      <c r="H993" s="4">
        <f t="shared" si="15"/>
        <v>1.3533207534454339E-2</v>
      </c>
      <c r="I993" s="271"/>
      <c r="J993" s="4"/>
    </row>
    <row r="994" spans="1:10" ht="14.25" customHeight="1" x14ac:dyDescent="0.3">
      <c r="A994" s="272">
        <v>45387</v>
      </c>
      <c r="B994" s="4">
        <v>22513.7</v>
      </c>
      <c r="C994" s="272">
        <v>45387</v>
      </c>
      <c r="D994" s="4">
        <v>4805.07</v>
      </c>
      <c r="E994" s="271"/>
      <c r="F994" s="271"/>
      <c r="G994" s="273">
        <f>(B994-B993)/B993</f>
        <v>-4.2194748752511256E-5</v>
      </c>
      <c r="H994" s="4">
        <f t="shared" si="15"/>
        <v>-1.5604935398476946E-3</v>
      </c>
      <c r="I994" s="271"/>
      <c r="J994" s="4"/>
    </row>
    <row r="995" spans="1:10" ht="14.25" customHeight="1" x14ac:dyDescent="0.3">
      <c r="A995" s="272">
        <v>45390</v>
      </c>
      <c r="B995" s="4">
        <v>22666.3</v>
      </c>
      <c r="C995" s="272">
        <v>45390</v>
      </c>
      <c r="D995" s="4">
        <v>4775.72</v>
      </c>
      <c r="E995" s="271"/>
      <c r="F995" s="271"/>
      <c r="G995" s="273">
        <f>(B995-B994)/B994</f>
        <v>6.7780951154185467E-3</v>
      </c>
      <c r="H995" s="4">
        <f t="shared" si="15"/>
        <v>-6.1081316193103237E-3</v>
      </c>
      <c r="I995" s="271"/>
      <c r="J995" s="4"/>
    </row>
    <row r="996" spans="1:10" ht="14.25" customHeight="1" x14ac:dyDescent="0.3">
      <c r="A996" s="272">
        <v>45391</v>
      </c>
      <c r="B996" s="4">
        <v>22642.75</v>
      </c>
      <c r="C996" s="272">
        <v>45391</v>
      </c>
      <c r="D996" s="4">
        <v>4771.09</v>
      </c>
      <c r="E996" s="271"/>
      <c r="F996" s="271"/>
      <c r="G996" s="273">
        <f>(B996-B995)/B995</f>
        <v>-1.0389873953843051E-3</v>
      </c>
      <c r="H996" s="4">
        <f t="shared" si="15"/>
        <v>-9.6948732337744027E-4</v>
      </c>
      <c r="I996" s="271"/>
      <c r="J996" s="4"/>
    </row>
    <row r="997" spans="1:10" ht="14.25" customHeight="1" x14ac:dyDescent="0.3">
      <c r="A997" s="272">
        <v>45392</v>
      </c>
      <c r="B997" s="4">
        <v>22753.8</v>
      </c>
      <c r="C997" s="272">
        <v>45392</v>
      </c>
      <c r="D997" s="4">
        <v>4796.1499999999996</v>
      </c>
      <c r="E997" s="271"/>
      <c r="F997" s="271"/>
      <c r="G997" s="273">
        <f>(B997-B996)/B996</f>
        <v>4.9044396109129531E-3</v>
      </c>
      <c r="H997" s="4">
        <f t="shared" si="15"/>
        <v>5.2524685134842332E-3</v>
      </c>
      <c r="I997" s="271"/>
      <c r="J997" s="4"/>
    </row>
    <row r="998" spans="1:10" ht="14.25" customHeight="1" x14ac:dyDescent="0.3">
      <c r="A998" s="272">
        <v>45394</v>
      </c>
      <c r="B998" s="4">
        <v>22519.4</v>
      </c>
      <c r="C998" s="272">
        <v>45394</v>
      </c>
      <c r="D998" s="4">
        <v>4767.43</v>
      </c>
      <c r="E998" s="271"/>
      <c r="F998" s="271"/>
      <c r="G998" s="273">
        <f>(B998-B997)/B997</f>
        <v>-1.030157600049213E-2</v>
      </c>
      <c r="H998" s="4">
        <f t="shared" si="15"/>
        <v>-5.9881363176713292E-3</v>
      </c>
      <c r="I998" s="271"/>
      <c r="J998" s="4"/>
    </row>
    <row r="999" spans="1:10" ht="14.25" customHeight="1" x14ac:dyDescent="0.3">
      <c r="A999" s="272">
        <v>45397</v>
      </c>
      <c r="B999" s="4">
        <v>22272.5</v>
      </c>
      <c r="C999" s="272">
        <v>45397</v>
      </c>
      <c r="D999" s="4">
        <v>4695.51</v>
      </c>
      <c r="E999" s="271"/>
      <c r="F999" s="271"/>
      <c r="G999" s="273">
        <f>(B999-B998)/B998</f>
        <v>-1.0963880032327745E-2</v>
      </c>
      <c r="H999" s="4">
        <f t="shared" si="15"/>
        <v>-1.5085696066853643E-2</v>
      </c>
      <c r="I999" s="271"/>
      <c r="J999" s="4"/>
    </row>
    <row r="1000" spans="1:10" ht="14.25" customHeight="1" x14ac:dyDescent="0.3">
      <c r="A1000" s="272">
        <v>45398</v>
      </c>
      <c r="B1000" s="4">
        <v>22147.9</v>
      </c>
      <c r="C1000" s="272">
        <v>45398</v>
      </c>
      <c r="D1000" s="4">
        <v>4547</v>
      </c>
      <c r="E1000" s="271"/>
      <c r="F1000" s="271"/>
      <c r="G1000" s="273">
        <f>(B1000-B999)/B999</f>
        <v>-5.594342799416255E-3</v>
      </c>
      <c r="H1000" s="4">
        <f t="shared" si="15"/>
        <v>-3.1628087257827203E-2</v>
      </c>
      <c r="I1000" s="271"/>
      <c r="J1000" s="4"/>
    </row>
    <row r="1001" spans="1:10" ht="14.25" customHeight="1" x14ac:dyDescent="0.3">
      <c r="A1001" s="272">
        <v>45400</v>
      </c>
      <c r="B1001" s="4">
        <v>21995.85</v>
      </c>
      <c r="C1001" s="272">
        <v>45400</v>
      </c>
      <c r="D1001" s="4">
        <v>4580.45</v>
      </c>
      <c r="E1001" s="271"/>
      <c r="F1001" s="271"/>
      <c r="G1001" s="273">
        <f>(B1001-B1000)/B1000</f>
        <v>-6.865210697176838E-3</v>
      </c>
      <c r="H1001" s="4">
        <f t="shared" si="15"/>
        <v>7.3564987904112204E-3</v>
      </c>
      <c r="I1001" s="271"/>
      <c r="J1001" s="4"/>
    </row>
    <row r="1002" spans="1:10" ht="14.25" customHeight="1" x14ac:dyDescent="0.3">
      <c r="A1002" s="272">
        <v>45401</v>
      </c>
      <c r="B1002" s="4">
        <v>22147</v>
      </c>
      <c r="C1002" s="272">
        <v>45401</v>
      </c>
      <c r="D1002" s="4">
        <v>4544.76</v>
      </c>
      <c r="E1002" s="271"/>
      <c r="F1002" s="271"/>
      <c r="G1002" s="273">
        <f>(B1002-B1001)/B1001</f>
        <v>6.8717508075387618E-3</v>
      </c>
      <c r="H1002" s="4">
        <f t="shared" si="15"/>
        <v>-7.7918108482790118E-3</v>
      </c>
      <c r="I1002" s="271"/>
      <c r="J1002" s="4"/>
    </row>
    <row r="1003" spans="1:10" ht="14.25" customHeight="1" x14ac:dyDescent="0.3">
      <c r="A1003" s="272">
        <v>45404</v>
      </c>
      <c r="B1003" s="4">
        <v>22336.400000000001</v>
      </c>
      <c r="C1003" s="272">
        <v>45404</v>
      </c>
      <c r="D1003" s="4">
        <v>4560.0200000000004</v>
      </c>
      <c r="E1003" s="271"/>
      <c r="F1003" s="271"/>
      <c r="G1003" s="273">
        <f>(B1003-B1002)/B1002</f>
        <v>8.5519483451483927E-3</v>
      </c>
      <c r="H1003" s="4">
        <f t="shared" si="15"/>
        <v>3.3577130585553949E-3</v>
      </c>
      <c r="I1003" s="271"/>
      <c r="J1003" s="4"/>
    </row>
    <row r="1004" spans="1:10" ht="14.25" customHeight="1" x14ac:dyDescent="0.3">
      <c r="A1004" s="272">
        <v>45405</v>
      </c>
      <c r="B1004" s="4">
        <v>22368</v>
      </c>
      <c r="C1004" s="272">
        <v>45405</v>
      </c>
      <c r="D1004" s="4">
        <v>4606.04</v>
      </c>
      <c r="E1004" s="271"/>
      <c r="F1004" s="271"/>
      <c r="G1004" s="273">
        <f>(B1004-B1003)/B1003</f>
        <v>1.4147311115487967E-3</v>
      </c>
      <c r="H1004" s="4">
        <f t="shared" si="15"/>
        <v>1.0092060999732352E-2</v>
      </c>
      <c r="I1004" s="271"/>
      <c r="J1004" s="4"/>
    </row>
    <row r="1005" spans="1:10" ht="14.25" customHeight="1" x14ac:dyDescent="0.3">
      <c r="A1005" s="272">
        <v>45406</v>
      </c>
      <c r="B1005" s="4">
        <v>22402.400000000001</v>
      </c>
      <c r="C1005" s="272">
        <v>45406</v>
      </c>
      <c r="D1005" s="4">
        <v>4609.3599999999997</v>
      </c>
      <c r="E1005" s="271"/>
      <c r="F1005" s="271"/>
      <c r="G1005" s="273">
        <f>(B1005-B1004)/B1004</f>
        <v>1.5379113018598647E-3</v>
      </c>
      <c r="H1005" s="4">
        <f t="shared" si="15"/>
        <v>7.2079269828306076E-4</v>
      </c>
      <c r="I1005" s="271"/>
      <c r="J1005" s="4"/>
    </row>
    <row r="1006" spans="1:10" ht="14.25" customHeight="1" x14ac:dyDescent="0.3">
      <c r="A1006" s="272">
        <v>45407</v>
      </c>
      <c r="B1006" s="4">
        <v>22570.35</v>
      </c>
      <c r="C1006" s="272">
        <v>45407</v>
      </c>
      <c r="D1006" s="4">
        <v>4519.55</v>
      </c>
      <c r="E1006" s="271"/>
      <c r="F1006" s="271"/>
      <c r="G1006" s="273">
        <f>(B1006-B1005)/B1005</f>
        <v>7.4969646109344125E-3</v>
      </c>
      <c r="H1006" s="4">
        <f t="shared" si="15"/>
        <v>-1.9484266796257938E-2</v>
      </c>
      <c r="I1006" s="271"/>
      <c r="J1006" s="4"/>
    </row>
    <row r="1007" spans="1:10" ht="14.25" customHeight="1" x14ac:dyDescent="0.3">
      <c r="A1007" s="272">
        <v>45408</v>
      </c>
      <c r="B1007" s="4">
        <v>22419.95</v>
      </c>
      <c r="C1007" s="272">
        <v>45408</v>
      </c>
      <c r="D1007" s="4">
        <v>4669.09</v>
      </c>
      <c r="E1007" s="271"/>
      <c r="F1007" s="271"/>
      <c r="G1007" s="273">
        <f>(B1007-B1006)/B1006</f>
        <v>-6.663609558557923E-3</v>
      </c>
      <c r="H1007" s="4">
        <f t="shared" si="15"/>
        <v>3.3087364892522474E-2</v>
      </c>
      <c r="I1007" s="271"/>
      <c r="J1007" s="4"/>
    </row>
    <row r="1008" spans="1:10" ht="14.25" customHeight="1" x14ac:dyDescent="0.3">
      <c r="A1008" s="272">
        <v>45411</v>
      </c>
      <c r="B1008" s="4">
        <v>22643.4</v>
      </c>
      <c r="C1008" s="272">
        <v>45411</v>
      </c>
      <c r="D1008" s="4">
        <v>4626.08</v>
      </c>
      <c r="E1008" s="271"/>
      <c r="F1008" s="271"/>
      <c r="G1008" s="273">
        <f>(B1008-B1007)/B1007</f>
        <v>9.9665699522077759E-3</v>
      </c>
      <c r="H1008" s="4">
        <f t="shared" si="15"/>
        <v>-9.2116450957253383E-3</v>
      </c>
      <c r="I1008" s="271"/>
      <c r="J1008" s="4"/>
    </row>
    <row r="1009" spans="1:10" ht="14.25" customHeight="1" x14ac:dyDescent="0.3">
      <c r="A1009" s="272">
        <v>45412</v>
      </c>
      <c r="B1009" s="4">
        <v>22604.85</v>
      </c>
      <c r="C1009" s="272">
        <v>45412</v>
      </c>
      <c r="D1009" s="4">
        <v>4589.47</v>
      </c>
      <c r="E1009" s="271"/>
      <c r="F1009" s="271"/>
      <c r="G1009" s="273">
        <f>(B1009-B1008)/B1008</f>
        <v>-1.7024828426827645E-3</v>
      </c>
      <c r="H1009" s="4">
        <f t="shared" si="15"/>
        <v>-7.9138276899663809E-3</v>
      </c>
      <c r="I1009" s="271"/>
      <c r="J1009" s="4"/>
    </row>
    <row r="1010" spans="1:10" ht="14.25" customHeight="1" x14ac:dyDescent="0.3">
      <c r="A1010" s="272">
        <v>45414</v>
      </c>
      <c r="B1010" s="4">
        <v>22648.2</v>
      </c>
      <c r="C1010" s="272">
        <v>45414</v>
      </c>
      <c r="D1010" s="4">
        <v>4576.1099999999997</v>
      </c>
      <c r="E1010" s="271"/>
      <c r="F1010" s="271"/>
      <c r="G1010" s="273">
        <f>(B1010-B1009)/B1009</f>
        <v>1.9177300446586545E-3</v>
      </c>
      <c r="H1010" s="4">
        <f t="shared" si="15"/>
        <v>-2.9110115111332206E-3</v>
      </c>
      <c r="I1010" s="271"/>
      <c r="J1010" s="4"/>
    </row>
    <row r="1011" spans="1:10" ht="14.25" customHeight="1" x14ac:dyDescent="0.3">
      <c r="A1011" s="272">
        <v>45415</v>
      </c>
      <c r="B1011" s="4">
        <v>22475.85</v>
      </c>
      <c r="C1011" s="272">
        <v>45415</v>
      </c>
      <c r="D1011" s="4">
        <v>4536.37</v>
      </c>
      <c r="E1011" s="271"/>
      <c r="F1011" s="271"/>
      <c r="G1011" s="273">
        <f>(B1011-B1010)/B1010</f>
        <v>-7.6098762815588958E-3</v>
      </c>
      <c r="H1011" s="4">
        <f t="shared" si="15"/>
        <v>-8.6842318038683041E-3</v>
      </c>
      <c r="I1011" s="271"/>
      <c r="J1011" s="4"/>
    </row>
    <row r="1012" spans="1:10" ht="14.25" customHeight="1" x14ac:dyDescent="0.3">
      <c r="A1012" s="272">
        <v>45418</v>
      </c>
      <c r="B1012" s="4">
        <v>22442.7</v>
      </c>
      <c r="C1012" s="272">
        <v>45418</v>
      </c>
      <c r="D1012" s="4">
        <v>4587.08</v>
      </c>
      <c r="E1012" s="271"/>
      <c r="F1012" s="271"/>
      <c r="G1012" s="273">
        <f>(B1012-B1011)/B1011</f>
        <v>-1.4749164102802706E-3</v>
      </c>
      <c r="H1012" s="4">
        <f t="shared" si="15"/>
        <v>1.1178541432907817E-2</v>
      </c>
      <c r="I1012" s="271"/>
      <c r="J1012" s="4"/>
    </row>
    <row r="1013" spans="1:10" ht="14.25" customHeight="1" x14ac:dyDescent="0.3">
      <c r="A1013" s="272">
        <v>45419</v>
      </c>
      <c r="B1013" s="4">
        <v>22302.5</v>
      </c>
      <c r="C1013" s="272">
        <v>45419</v>
      </c>
      <c r="D1013" s="4">
        <v>4582.6400000000003</v>
      </c>
      <c r="E1013" s="271"/>
      <c r="F1013" s="271"/>
      <c r="G1013" s="273">
        <f>(B1013-B1012)/B1012</f>
        <v>-6.2470201891929545E-3</v>
      </c>
      <c r="H1013" s="4">
        <f t="shared" si="15"/>
        <v>-9.679360290205534E-4</v>
      </c>
      <c r="I1013" s="271"/>
      <c r="J1013" s="4"/>
    </row>
    <row r="1014" spans="1:10" ht="14.25" customHeight="1" x14ac:dyDescent="0.3">
      <c r="A1014" s="272">
        <v>45420</v>
      </c>
      <c r="B1014" s="4">
        <v>22302.5</v>
      </c>
      <c r="C1014" s="272">
        <v>45420</v>
      </c>
      <c r="D1014" s="4">
        <v>4596.68</v>
      </c>
      <c r="E1014" s="271"/>
      <c r="F1014" s="271"/>
      <c r="G1014" s="273">
        <f>(B1014-B1013)/B1013</f>
        <v>0</v>
      </c>
      <c r="H1014" s="4">
        <f t="shared" si="15"/>
        <v>3.063736187001371E-3</v>
      </c>
      <c r="I1014" s="271"/>
      <c r="J1014" s="4"/>
    </row>
    <row r="1015" spans="1:10" ht="14.25" customHeight="1" x14ac:dyDescent="0.3">
      <c r="A1015" s="272">
        <v>45421</v>
      </c>
      <c r="B1015" s="4">
        <v>21957.5</v>
      </c>
      <c r="C1015" s="272">
        <v>45421</v>
      </c>
      <c r="D1015" s="4">
        <v>4542.2700000000004</v>
      </c>
      <c r="E1015" s="271"/>
      <c r="F1015" s="271"/>
      <c r="G1015" s="273">
        <f>(B1015-B1014)/B1014</f>
        <v>-1.5469117811904494E-2</v>
      </c>
      <c r="H1015" s="4">
        <f t="shared" si="15"/>
        <v>-1.1836803954158186E-2</v>
      </c>
      <c r="I1015" s="271"/>
      <c r="J1015" s="4"/>
    </row>
    <row r="1016" spans="1:10" ht="14.25" customHeight="1" x14ac:dyDescent="0.3">
      <c r="A1016" s="272">
        <v>45422</v>
      </c>
      <c r="B1016" s="4">
        <v>22055.200000000001</v>
      </c>
      <c r="C1016" s="272">
        <v>45422</v>
      </c>
      <c r="D1016" s="4">
        <v>4493.17</v>
      </c>
      <c r="E1016" s="271"/>
      <c r="F1016" s="271"/>
      <c r="G1016" s="273">
        <f>(B1016-B1015)/B1015</f>
        <v>4.4495047250370364E-3</v>
      </c>
      <c r="H1016" s="4">
        <f t="shared" si="15"/>
        <v>-1.0809573186974874E-2</v>
      </c>
      <c r="I1016" s="271"/>
      <c r="J1016" s="4"/>
    </row>
    <row r="1017" spans="1:10" ht="14.25" customHeight="1" x14ac:dyDescent="0.3">
      <c r="A1017" s="272">
        <v>45425</v>
      </c>
      <c r="B1017" s="4">
        <v>22104.05</v>
      </c>
      <c r="C1017" s="272">
        <v>45425</v>
      </c>
      <c r="D1017" s="4">
        <v>4479.42</v>
      </c>
      <c r="E1017" s="271"/>
      <c r="F1017" s="271"/>
      <c r="G1017" s="273">
        <f>(B1017-B1016)/B1016</f>
        <v>2.2148971671079177E-3</v>
      </c>
      <c r="H1017" s="4">
        <f t="shared" si="15"/>
        <v>-3.0602002595049821E-3</v>
      </c>
      <c r="I1017" s="271"/>
      <c r="J1017" s="4"/>
    </row>
    <row r="1018" spans="1:10" ht="14.25" customHeight="1" x14ac:dyDescent="0.3">
      <c r="A1018" s="272">
        <v>45426</v>
      </c>
      <c r="B1018" s="4">
        <v>22217.85</v>
      </c>
      <c r="C1018" s="272">
        <v>45426</v>
      </c>
      <c r="D1018" s="4">
        <v>4519.6899999999996</v>
      </c>
      <c r="E1018" s="271"/>
      <c r="F1018" s="271"/>
      <c r="G1018" s="273">
        <f>(B1018-B1017)/B1017</f>
        <v>5.1483777859713167E-3</v>
      </c>
      <c r="H1018" s="4">
        <f t="shared" si="15"/>
        <v>8.9900031700531607E-3</v>
      </c>
      <c r="I1018" s="271"/>
      <c r="J1018" s="4"/>
    </row>
    <row r="1019" spans="1:10" ht="14.25" customHeight="1" x14ac:dyDescent="0.3">
      <c r="A1019" s="272">
        <v>45427</v>
      </c>
      <c r="B1019" s="4">
        <v>22200.55</v>
      </c>
      <c r="C1019" s="272">
        <v>45427</v>
      </c>
      <c r="D1019" s="4">
        <v>4533.78</v>
      </c>
      <c r="E1019" s="271"/>
      <c r="F1019" s="271"/>
      <c r="G1019" s="273">
        <f>(B1019-B1018)/B1018</f>
        <v>-7.7865320001707064E-4</v>
      </c>
      <c r="H1019" s="4">
        <f t="shared" si="15"/>
        <v>3.1174704459819473E-3</v>
      </c>
      <c r="I1019" s="271"/>
      <c r="J1019" s="4"/>
    </row>
    <row r="1020" spans="1:10" ht="14.25" customHeight="1" x14ac:dyDescent="0.3">
      <c r="A1020" s="272">
        <v>45428</v>
      </c>
      <c r="B1020" s="4">
        <v>22403.85</v>
      </c>
      <c r="C1020" s="272">
        <v>45428</v>
      </c>
      <c r="D1020" s="4">
        <v>4652.66</v>
      </c>
      <c r="E1020" s="271"/>
      <c r="F1020" s="271"/>
      <c r="G1020" s="273">
        <f>(B1020-B1019)/B1019</f>
        <v>9.1574307843724275E-3</v>
      </c>
      <c r="H1020" s="4">
        <f t="shared" si="15"/>
        <v>2.622094587739152E-2</v>
      </c>
      <c r="I1020" s="271"/>
      <c r="J1020" s="4"/>
    </row>
    <row r="1021" spans="1:10" ht="14.25" customHeight="1" x14ac:dyDescent="0.3">
      <c r="A1021" s="272">
        <v>45429</v>
      </c>
      <c r="B1021" s="4">
        <v>22466.1</v>
      </c>
      <c r="C1021" s="272">
        <v>45429</v>
      </c>
      <c r="D1021" s="4">
        <v>4645.93</v>
      </c>
      <c r="E1021" s="271"/>
      <c r="F1021" s="271"/>
      <c r="G1021" s="273">
        <f>(B1021-B1020)/B1020</f>
        <v>2.778540295529563E-3</v>
      </c>
      <c r="H1021" s="4">
        <f t="shared" si="15"/>
        <v>-1.4464843766790532E-3</v>
      </c>
      <c r="I1021" s="271"/>
      <c r="J1021" s="4"/>
    </row>
    <row r="1022" spans="1:10" ht="14.25" customHeight="1" x14ac:dyDescent="0.3">
      <c r="A1022" s="272">
        <v>45433</v>
      </c>
      <c r="B1022" s="4">
        <v>22529.05</v>
      </c>
      <c r="C1022" s="272">
        <v>45433</v>
      </c>
      <c r="D1022" s="4">
        <v>4613.21</v>
      </c>
      <c r="E1022" s="271"/>
      <c r="F1022" s="271"/>
      <c r="G1022" s="273">
        <f>(B1022-B1021)/B1021</f>
        <v>2.8019994569596293E-3</v>
      </c>
      <c r="H1022" s="4">
        <f t="shared" si="15"/>
        <v>-7.0427234159792015E-3</v>
      </c>
      <c r="I1022" s="271"/>
      <c r="J1022" s="4"/>
    </row>
    <row r="1023" spans="1:10" ht="14.25" customHeight="1" x14ac:dyDescent="0.3">
      <c r="A1023" s="272">
        <v>45434</v>
      </c>
      <c r="B1023" s="4">
        <v>22597.8</v>
      </c>
      <c r="C1023" s="272">
        <v>45434</v>
      </c>
      <c r="D1023" s="4">
        <v>4657.09</v>
      </c>
      <c r="E1023" s="271"/>
      <c r="F1023" s="271"/>
      <c r="G1023" s="273">
        <f>(B1023-B1022)/B1022</f>
        <v>3.0516155807723809E-3</v>
      </c>
      <c r="H1023" s="4">
        <f t="shared" si="15"/>
        <v>9.511814983493079E-3</v>
      </c>
      <c r="I1023" s="271"/>
      <c r="J1023" s="4"/>
    </row>
    <row r="1024" spans="1:10" ht="14.25" customHeight="1" x14ac:dyDescent="0.3">
      <c r="A1024" s="272">
        <v>45435</v>
      </c>
      <c r="B1024" s="4">
        <v>22967.65</v>
      </c>
      <c r="C1024" s="272">
        <v>45435</v>
      </c>
      <c r="D1024" s="4">
        <v>4711.26</v>
      </c>
      <c r="E1024" s="271"/>
      <c r="F1024" s="271"/>
      <c r="G1024" s="273">
        <f>(B1024-B1023)/B1023</f>
        <v>1.6366637460283842E-2</v>
      </c>
      <c r="H1024" s="4">
        <f t="shared" si="15"/>
        <v>1.1631727108559222E-2</v>
      </c>
      <c r="I1024" s="271"/>
      <c r="J1024" s="4"/>
    </row>
    <row r="1025" spans="1:10" ht="14.25" customHeight="1" x14ac:dyDescent="0.3">
      <c r="A1025" s="272">
        <v>45436</v>
      </c>
      <c r="B1025" s="4">
        <v>22957.1</v>
      </c>
      <c r="C1025" s="272">
        <v>45436</v>
      </c>
      <c r="D1025" s="4">
        <v>4719.5</v>
      </c>
      <c r="E1025" s="271"/>
      <c r="F1025" s="271"/>
      <c r="G1025" s="273">
        <f>(B1025-B1024)/B1024</f>
        <v>-4.5934172629776704E-4</v>
      </c>
      <c r="H1025" s="4">
        <f t="shared" si="15"/>
        <v>1.7490013287315455E-3</v>
      </c>
      <c r="I1025" s="271"/>
      <c r="J1025" s="4"/>
    </row>
    <row r="1026" spans="1:10" ht="14.25" customHeight="1" x14ac:dyDescent="0.3">
      <c r="A1026" s="272">
        <v>45439</v>
      </c>
      <c r="B1026" s="4">
        <v>22932.45</v>
      </c>
      <c r="C1026" s="272">
        <v>45439</v>
      </c>
      <c r="D1026" s="4">
        <v>4770.5</v>
      </c>
      <c r="E1026" s="271"/>
      <c r="F1026" s="271"/>
      <c r="G1026" s="273">
        <f>(B1026-B1025)/B1025</f>
        <v>-1.0737418924863253E-3</v>
      </c>
      <c r="H1026" s="4">
        <f t="shared" si="15"/>
        <v>1.0806229473461172E-2</v>
      </c>
      <c r="I1026" s="271"/>
      <c r="J1026" s="4"/>
    </row>
    <row r="1027" spans="1:10" ht="14.25" customHeight="1" x14ac:dyDescent="0.3">
      <c r="A1027" s="272">
        <v>45440</v>
      </c>
      <c r="B1027" s="4">
        <v>22888.15</v>
      </c>
      <c r="C1027" s="272">
        <v>45440</v>
      </c>
      <c r="D1027" s="4">
        <v>4764.5600000000004</v>
      </c>
      <c r="E1027" s="271"/>
      <c r="F1027" s="271"/>
      <c r="G1027" s="273">
        <f>(B1027-B1026)/B1026</f>
        <v>-1.9317604529825322E-3</v>
      </c>
      <c r="H1027" s="4">
        <f t="shared" ref="H1027:H1090" si="16">(D1027-D1026)/D1026</f>
        <v>-1.2451524997378891E-3</v>
      </c>
      <c r="I1027" s="271"/>
      <c r="J1027" s="4"/>
    </row>
    <row r="1028" spans="1:10" ht="14.25" customHeight="1" x14ac:dyDescent="0.3">
      <c r="A1028" s="272">
        <v>45441</v>
      </c>
      <c r="B1028" s="4">
        <v>22704.7</v>
      </c>
      <c r="C1028" s="272">
        <v>45441</v>
      </c>
      <c r="D1028" s="4">
        <v>4759.53</v>
      </c>
      <c r="E1028" s="271"/>
      <c r="F1028" s="271"/>
      <c r="G1028" s="273">
        <f>(B1028-B1027)/B1027</f>
        <v>-8.0150645639774608E-3</v>
      </c>
      <c r="H1028" s="4">
        <f t="shared" si="16"/>
        <v>-1.0557113353595409E-3</v>
      </c>
      <c r="I1028" s="271"/>
      <c r="J1028" s="4"/>
    </row>
    <row r="1029" spans="1:10" ht="14.25" customHeight="1" x14ac:dyDescent="0.3">
      <c r="A1029" s="272">
        <v>45442</v>
      </c>
      <c r="B1029" s="4">
        <v>22488.65</v>
      </c>
      <c r="C1029" s="272">
        <v>45442</v>
      </c>
      <c r="D1029" s="4">
        <v>4654.5600000000004</v>
      </c>
      <c r="E1029" s="271"/>
      <c r="F1029" s="271"/>
      <c r="G1029" s="273">
        <f>(B1029-B1028)/B1028</f>
        <v>-9.5156509445180632E-3</v>
      </c>
      <c r="H1029" s="4">
        <f t="shared" si="16"/>
        <v>-2.2054698678230698E-2</v>
      </c>
      <c r="I1029" s="271"/>
      <c r="J1029" s="4"/>
    </row>
    <row r="1030" spans="1:10" ht="14.25" customHeight="1" x14ac:dyDescent="0.3">
      <c r="A1030" s="272">
        <v>45443</v>
      </c>
      <c r="B1030" s="4">
        <v>22530.7</v>
      </c>
      <c r="C1030" s="272">
        <v>45443</v>
      </c>
      <c r="D1030" s="4">
        <v>4585.08</v>
      </c>
      <c r="E1030" s="271"/>
      <c r="F1030" s="271"/>
      <c r="G1030" s="273">
        <f>(B1030-B1029)/B1029</f>
        <v>1.869832115311469E-3</v>
      </c>
      <c r="H1030" s="4">
        <f t="shared" si="16"/>
        <v>-1.4927297102196656E-2</v>
      </c>
      <c r="I1030" s="271"/>
      <c r="J1030" s="4"/>
    </row>
    <row r="1031" spans="1:10" ht="14.25" customHeight="1" x14ac:dyDescent="0.3">
      <c r="A1031" s="272">
        <v>45446</v>
      </c>
      <c r="B1031" s="4">
        <v>23263.9</v>
      </c>
      <c r="C1031" s="272">
        <v>45446</v>
      </c>
      <c r="D1031" s="4">
        <v>4533.88</v>
      </c>
      <c r="E1031" s="271"/>
      <c r="F1031" s="271"/>
      <c r="G1031" s="273">
        <f>(B1031-B1030)/B1030</f>
        <v>3.2542264554585552E-2</v>
      </c>
      <c r="H1031" s="4">
        <f t="shared" si="16"/>
        <v>-1.1166653580744462E-2</v>
      </c>
      <c r="I1031" s="271"/>
      <c r="J1031" s="4"/>
    </row>
    <row r="1032" spans="1:10" ht="14.25" customHeight="1" x14ac:dyDescent="0.3">
      <c r="A1032" s="272">
        <v>45447</v>
      </c>
      <c r="B1032" s="4">
        <v>21884.5</v>
      </c>
      <c r="C1032" s="272">
        <v>45447</v>
      </c>
      <c r="D1032" s="4">
        <v>4515.6000000000004</v>
      </c>
      <c r="E1032" s="271"/>
      <c r="F1032" s="271"/>
      <c r="G1032" s="273">
        <f>(B1032-B1031)/B1031</f>
        <v>-5.9293583620975046E-2</v>
      </c>
      <c r="H1032" s="4">
        <f t="shared" si="16"/>
        <v>-4.0318667454806358E-3</v>
      </c>
      <c r="I1032" s="271"/>
      <c r="J1032" s="4"/>
    </row>
    <row r="1033" spans="1:10" ht="14.25" customHeight="1" x14ac:dyDescent="0.3">
      <c r="A1033" s="272">
        <v>45448</v>
      </c>
      <c r="B1033" s="4">
        <v>22620.35</v>
      </c>
      <c r="C1033" s="272">
        <v>45448</v>
      </c>
      <c r="D1033" s="4">
        <v>4572.3500000000004</v>
      </c>
      <c r="E1033" s="271"/>
      <c r="F1033" s="271"/>
      <c r="G1033" s="273">
        <f>(B1033-B1032)/B1032</f>
        <v>3.3624254609426696E-2</v>
      </c>
      <c r="H1033" s="4">
        <f t="shared" si="16"/>
        <v>1.2567543626539108E-2</v>
      </c>
      <c r="I1033" s="271"/>
      <c r="J1033" s="4"/>
    </row>
    <row r="1034" spans="1:10" ht="14.25" customHeight="1" x14ac:dyDescent="0.3">
      <c r="A1034" s="272">
        <v>45449</v>
      </c>
      <c r="B1034" s="4">
        <v>22821.4</v>
      </c>
      <c r="C1034" s="272">
        <v>45449</v>
      </c>
      <c r="D1034" s="4">
        <v>4680.9799999999996</v>
      </c>
      <c r="E1034" s="271"/>
      <c r="F1034" s="271"/>
      <c r="G1034" s="273">
        <f>(B1034-B1033)/B1033</f>
        <v>8.8880145532674298E-3</v>
      </c>
      <c r="H1034" s="4">
        <f t="shared" si="16"/>
        <v>2.3758023773333012E-2</v>
      </c>
      <c r="I1034" s="271"/>
      <c r="J1034" s="4"/>
    </row>
    <row r="1035" spans="1:10" ht="14.25" customHeight="1" x14ac:dyDescent="0.3">
      <c r="A1035" s="272">
        <v>45450</v>
      </c>
      <c r="B1035" s="4">
        <v>23290.15</v>
      </c>
      <c r="C1035" s="272">
        <v>45450</v>
      </c>
      <c r="D1035" s="4">
        <v>4853.54</v>
      </c>
      <c r="E1035" s="271"/>
      <c r="F1035" s="271"/>
      <c r="G1035" s="273">
        <f>(B1035-B1034)/B1034</f>
        <v>2.0539931818380992E-2</v>
      </c>
      <c r="H1035" s="4">
        <f t="shared" si="16"/>
        <v>3.686407547137574E-2</v>
      </c>
      <c r="I1035" s="271"/>
      <c r="J1035" s="4"/>
    </row>
    <row r="1036" spans="1:10" ht="14.25" customHeight="1" x14ac:dyDescent="0.3">
      <c r="A1036" s="272">
        <v>45453</v>
      </c>
      <c r="B1036" s="4">
        <v>23259.200000000001</v>
      </c>
      <c r="C1036" s="272">
        <v>45453</v>
      </c>
      <c r="D1036" s="4">
        <v>4781.62</v>
      </c>
      <c r="E1036" s="271"/>
      <c r="F1036" s="271"/>
      <c r="G1036" s="273">
        <f>(B1036-B1035)/B1035</f>
        <v>-1.3288879633665187E-3</v>
      </c>
      <c r="H1036" s="4">
        <f t="shared" si="16"/>
        <v>-1.4818050330274413E-2</v>
      </c>
      <c r="I1036" s="271"/>
      <c r="J1036" s="4"/>
    </row>
    <row r="1037" spans="1:10" ht="14.25" customHeight="1" x14ac:dyDescent="0.3">
      <c r="A1037" s="272">
        <v>45454</v>
      </c>
      <c r="B1037" s="4">
        <v>23264.85</v>
      </c>
      <c r="C1037" s="272">
        <v>45454</v>
      </c>
      <c r="D1037" s="4">
        <v>4781.72</v>
      </c>
      <c r="E1037" s="271"/>
      <c r="F1037" s="271"/>
      <c r="G1037" s="273">
        <f>(B1037-B1036)/B1036</f>
        <v>2.4291463162954088E-4</v>
      </c>
      <c r="H1037" s="4">
        <f t="shared" si="16"/>
        <v>2.0913414282264965E-5</v>
      </c>
      <c r="I1037" s="271"/>
      <c r="J1037" s="4"/>
    </row>
    <row r="1038" spans="1:10" ht="14.25" customHeight="1" x14ac:dyDescent="0.3">
      <c r="A1038" s="272">
        <v>45455</v>
      </c>
      <c r="B1038" s="4">
        <v>23322.95</v>
      </c>
      <c r="C1038" s="272">
        <v>45455</v>
      </c>
      <c r="D1038" s="4">
        <v>4828.09</v>
      </c>
      <c r="E1038" s="271"/>
      <c r="F1038" s="271"/>
      <c r="G1038" s="273">
        <f>(B1038-B1037)/B1037</f>
        <v>2.4973296625597063E-3</v>
      </c>
      <c r="H1038" s="4">
        <f t="shared" si="16"/>
        <v>9.6973473980073877E-3</v>
      </c>
      <c r="I1038" s="271"/>
      <c r="J1038" s="4"/>
    </row>
    <row r="1039" spans="1:10" ht="14.25" customHeight="1" x14ac:dyDescent="0.3">
      <c r="A1039" s="272">
        <v>45456</v>
      </c>
      <c r="B1039" s="4">
        <v>23398.9</v>
      </c>
      <c r="C1039" s="272">
        <v>45456</v>
      </c>
      <c r="D1039" s="4">
        <v>4921.8</v>
      </c>
      <c r="E1039" s="271"/>
      <c r="F1039" s="271"/>
      <c r="G1039" s="273">
        <f>(B1039-B1038)/B1038</f>
        <v>3.2564491198583683E-3</v>
      </c>
      <c r="H1039" s="4">
        <f t="shared" si="16"/>
        <v>1.9409331640462383E-2</v>
      </c>
      <c r="I1039" s="271"/>
      <c r="J1039" s="4"/>
    </row>
    <row r="1040" spans="1:10" ht="14.25" customHeight="1" x14ac:dyDescent="0.3">
      <c r="A1040" s="272">
        <v>45457</v>
      </c>
      <c r="B1040" s="4">
        <v>23465.599999999999</v>
      </c>
      <c r="C1040" s="272">
        <v>45457</v>
      </c>
      <c r="D1040" s="4">
        <v>4907.51</v>
      </c>
      <c r="E1040" s="271"/>
      <c r="F1040" s="271"/>
      <c r="G1040" s="273">
        <f>(B1040-B1039)/B1039</f>
        <v>2.8505613511745033E-3</v>
      </c>
      <c r="H1040" s="4">
        <f t="shared" si="16"/>
        <v>-2.9034093217928324E-3</v>
      </c>
      <c r="I1040" s="271"/>
      <c r="J1040" s="4"/>
    </row>
    <row r="1041" spans="1:10" ht="14.25" customHeight="1" x14ac:dyDescent="0.3">
      <c r="A1041" s="272">
        <v>45461</v>
      </c>
      <c r="B1041" s="4">
        <v>23557.9</v>
      </c>
      <c r="C1041" s="272">
        <v>45461</v>
      </c>
      <c r="D1041" s="4">
        <v>4963.1499999999996</v>
      </c>
      <c r="E1041" s="271"/>
      <c r="F1041" s="271"/>
      <c r="G1041" s="273">
        <f>(B1041-B1040)/B1040</f>
        <v>3.9334174280650364E-3</v>
      </c>
      <c r="H1041" s="4">
        <f t="shared" si="16"/>
        <v>1.1337725241517473E-2</v>
      </c>
      <c r="I1041" s="271"/>
      <c r="J1041" s="4"/>
    </row>
    <row r="1042" spans="1:10" ht="14.25" customHeight="1" x14ac:dyDescent="0.3">
      <c r="A1042" s="272">
        <v>45462</v>
      </c>
      <c r="B1042" s="4">
        <v>23516</v>
      </c>
      <c r="C1042" s="272">
        <v>45462</v>
      </c>
      <c r="D1042" s="4">
        <v>4938.79</v>
      </c>
      <c r="E1042" s="271"/>
      <c r="F1042" s="271"/>
      <c r="G1042" s="273">
        <f>(B1042-B1041)/B1041</f>
        <v>-1.7785965642099445E-3</v>
      </c>
      <c r="H1042" s="4">
        <f t="shared" si="16"/>
        <v>-4.9081732367548181E-3</v>
      </c>
      <c r="I1042" s="271"/>
      <c r="J1042" s="4"/>
    </row>
    <row r="1043" spans="1:10" ht="14.25" customHeight="1" x14ac:dyDescent="0.3">
      <c r="A1043" s="272">
        <v>45463</v>
      </c>
      <c r="B1043" s="4">
        <v>23567</v>
      </c>
      <c r="C1043" s="272">
        <v>45463</v>
      </c>
      <c r="D1043" s="4">
        <v>4970.87</v>
      </c>
      <c r="E1043" s="271"/>
      <c r="F1043" s="271"/>
      <c r="G1043" s="273">
        <f>(B1043-B1042)/B1042</f>
        <v>2.1687361796223848E-3</v>
      </c>
      <c r="H1043" s="4">
        <f t="shared" si="16"/>
        <v>6.495518132983975E-3</v>
      </c>
      <c r="I1043" s="271"/>
      <c r="J1043" s="4"/>
    </row>
    <row r="1044" spans="1:10" ht="14.25" customHeight="1" x14ac:dyDescent="0.3">
      <c r="A1044" s="272">
        <v>45464</v>
      </c>
      <c r="B1044" s="4">
        <v>23501.1</v>
      </c>
      <c r="C1044" s="272">
        <v>45464</v>
      </c>
      <c r="D1044" s="4">
        <v>5042.6899999999996</v>
      </c>
      <c r="E1044" s="271"/>
      <c r="F1044" s="271"/>
      <c r="G1044" s="273">
        <f>(B1044-B1043)/B1043</f>
        <v>-2.7962829380065962E-3</v>
      </c>
      <c r="H1044" s="4">
        <f t="shared" si="16"/>
        <v>1.4448175067945794E-2</v>
      </c>
      <c r="I1044" s="271"/>
      <c r="J1044" s="4"/>
    </row>
    <row r="1045" spans="1:10" ht="14.25" customHeight="1" x14ac:dyDescent="0.3">
      <c r="A1045" s="272">
        <v>45467</v>
      </c>
      <c r="B1045" s="4">
        <v>23537.85</v>
      </c>
      <c r="C1045" s="272">
        <v>45467</v>
      </c>
      <c r="D1045" s="4">
        <v>5028.67</v>
      </c>
      <c r="E1045" s="271"/>
      <c r="F1045" s="271"/>
      <c r="G1045" s="273">
        <f>(B1045-B1044)/B1044</f>
        <v>1.5637565901170584E-3</v>
      </c>
      <c r="H1045" s="4">
        <f t="shared" si="16"/>
        <v>-2.7802621220022502E-3</v>
      </c>
      <c r="I1045" s="271"/>
      <c r="J1045" s="4"/>
    </row>
    <row r="1046" spans="1:10" ht="14.25" customHeight="1" x14ac:dyDescent="0.3">
      <c r="A1046" s="272">
        <v>45468</v>
      </c>
      <c r="B1046" s="4">
        <v>23721.3</v>
      </c>
      <c r="C1046" s="272">
        <v>45468</v>
      </c>
      <c r="D1046" s="4">
        <v>5041.12</v>
      </c>
      <c r="E1046" s="271"/>
      <c r="F1046" s="271"/>
      <c r="G1046" s="273">
        <f>(B1046-B1045)/B1045</f>
        <v>7.7938299377386102E-3</v>
      </c>
      <c r="H1046" s="4">
        <f t="shared" si="16"/>
        <v>2.4758037413470796E-3</v>
      </c>
      <c r="I1046" s="271"/>
      <c r="J1046" s="4"/>
    </row>
    <row r="1047" spans="1:10" ht="14.25" customHeight="1" x14ac:dyDescent="0.3">
      <c r="A1047" s="272">
        <v>45469</v>
      </c>
      <c r="B1047" s="4">
        <v>23868.799999999999</v>
      </c>
      <c r="C1047" s="272">
        <v>45469</v>
      </c>
      <c r="D1047" s="4">
        <v>5093.8999999999996</v>
      </c>
      <c r="E1047" s="271"/>
      <c r="F1047" s="271"/>
      <c r="G1047" s="273">
        <f>(B1047-B1046)/B1046</f>
        <v>6.2180403266262809E-3</v>
      </c>
      <c r="H1047" s="4">
        <f t="shared" si="16"/>
        <v>1.0469895578760225E-2</v>
      </c>
      <c r="I1047" s="271"/>
      <c r="J1047" s="4"/>
    </row>
    <row r="1048" spans="1:10" ht="14.25" customHeight="1" x14ac:dyDescent="0.3">
      <c r="A1048" s="272">
        <v>45470</v>
      </c>
      <c r="B1048" s="4">
        <v>24044.5</v>
      </c>
      <c r="C1048" s="272">
        <v>45470</v>
      </c>
      <c r="D1048" s="4">
        <v>5290.23</v>
      </c>
      <c r="E1048" s="271"/>
      <c r="F1048" s="271"/>
      <c r="G1048" s="273">
        <f>(B1048-B1047)/B1047</f>
        <v>7.3610738704920535E-3</v>
      </c>
      <c r="H1048" s="4">
        <f t="shared" si="16"/>
        <v>3.8542177899055723E-2</v>
      </c>
      <c r="I1048" s="271"/>
      <c r="J1048" s="4"/>
    </row>
    <row r="1049" spans="1:10" ht="14.25" customHeight="1" x14ac:dyDescent="0.3">
      <c r="A1049" s="272">
        <v>45471</v>
      </c>
      <c r="B1049" s="4">
        <v>24010.6</v>
      </c>
      <c r="C1049" s="272">
        <v>45471</v>
      </c>
      <c r="D1049" s="4">
        <v>5298.1</v>
      </c>
      <c r="E1049" s="271"/>
      <c r="F1049" s="271"/>
      <c r="G1049" s="273">
        <f>(B1049-B1048)/B1048</f>
        <v>-1.409885836677887E-3</v>
      </c>
      <c r="H1049" s="4">
        <f t="shared" si="16"/>
        <v>1.4876479850594022E-3</v>
      </c>
      <c r="I1049" s="271"/>
      <c r="J1049" s="4"/>
    </row>
    <row r="1050" spans="1:10" ht="14.25" customHeight="1" x14ac:dyDescent="0.3">
      <c r="A1050" s="272">
        <v>45474</v>
      </c>
      <c r="B1050" s="4">
        <v>24141.95</v>
      </c>
      <c r="C1050" s="272">
        <v>45474</v>
      </c>
      <c r="D1050" s="4">
        <v>5359.54</v>
      </c>
      <c r="E1050" s="271"/>
      <c r="F1050" s="271"/>
      <c r="G1050" s="273">
        <f>(B1050-B1049)/B1049</f>
        <v>5.4705005289331461E-3</v>
      </c>
      <c r="H1050" s="4">
        <f t="shared" si="16"/>
        <v>1.1596610105509445E-2</v>
      </c>
      <c r="I1050" s="271"/>
      <c r="J1050" s="4"/>
    </row>
    <row r="1051" spans="1:10" ht="14.25" customHeight="1" x14ac:dyDescent="0.3">
      <c r="A1051" s="272">
        <v>45475</v>
      </c>
      <c r="B1051" s="4">
        <v>24123.85</v>
      </c>
      <c r="C1051" s="272">
        <v>45475</v>
      </c>
      <c r="D1051" s="4">
        <v>5385.61</v>
      </c>
      <c r="E1051" s="271"/>
      <c r="F1051" s="271"/>
      <c r="G1051" s="273">
        <f>(B1051-B1050)/B1050</f>
        <v>-7.4973231242721412E-4</v>
      </c>
      <c r="H1051" s="4">
        <f t="shared" si="16"/>
        <v>4.8642234221593101E-3</v>
      </c>
      <c r="I1051" s="271"/>
      <c r="J1051" s="4"/>
    </row>
    <row r="1052" spans="1:10" ht="14.25" customHeight="1" x14ac:dyDescent="0.3">
      <c r="A1052" s="272">
        <v>45476</v>
      </c>
      <c r="B1052" s="4">
        <v>24286.5</v>
      </c>
      <c r="C1052" s="272">
        <v>45476</v>
      </c>
      <c r="D1052" s="4">
        <v>5378.13</v>
      </c>
      <c r="E1052" s="271"/>
      <c r="F1052" s="271"/>
      <c r="G1052" s="273">
        <f>(B1052-B1051)/B1051</f>
        <v>6.7422903060664636E-3</v>
      </c>
      <c r="H1052" s="4">
        <f t="shared" si="16"/>
        <v>-1.3888863100000861E-3</v>
      </c>
      <c r="I1052" s="271"/>
      <c r="J1052" s="4"/>
    </row>
    <row r="1053" spans="1:10" ht="14.25" customHeight="1" x14ac:dyDescent="0.3">
      <c r="A1053" s="272">
        <v>45477</v>
      </c>
      <c r="B1053" s="4">
        <v>24302.15</v>
      </c>
      <c r="C1053" s="272">
        <v>45477</v>
      </c>
      <c r="D1053" s="4">
        <v>5371.35</v>
      </c>
      <c r="E1053" s="271"/>
      <c r="F1053" s="271"/>
      <c r="G1053" s="273">
        <f>(B1053-B1052)/B1052</f>
        <v>6.4439091676451749E-4</v>
      </c>
      <c r="H1053" s="4">
        <f t="shared" si="16"/>
        <v>-1.2606612335513915E-3</v>
      </c>
      <c r="I1053" s="271"/>
      <c r="J1053" s="4"/>
    </row>
    <row r="1054" spans="1:10" ht="14.25" customHeight="1" x14ac:dyDescent="0.3">
      <c r="A1054" s="272">
        <v>45478</v>
      </c>
      <c r="B1054" s="4">
        <v>24323.85</v>
      </c>
      <c r="C1054" s="272">
        <v>45478</v>
      </c>
      <c r="D1054" s="4">
        <v>5334.16</v>
      </c>
      <c r="E1054" s="271"/>
      <c r="F1054" s="271"/>
      <c r="G1054" s="273">
        <f>(B1054-B1053)/B1053</f>
        <v>8.9292511156408331E-4</v>
      </c>
      <c r="H1054" s="4">
        <f t="shared" si="16"/>
        <v>-6.9237714913383984E-3</v>
      </c>
      <c r="I1054" s="271"/>
      <c r="J1054" s="4"/>
    </row>
    <row r="1055" spans="1:10" ht="14.25" customHeight="1" x14ac:dyDescent="0.3">
      <c r="A1055" s="272">
        <v>45481</v>
      </c>
      <c r="B1055" s="4">
        <v>24320.55</v>
      </c>
      <c r="C1055" s="272">
        <v>45481</v>
      </c>
      <c r="D1055" s="4">
        <v>5302.67</v>
      </c>
      <c r="E1055" s="271"/>
      <c r="F1055" s="271"/>
      <c r="G1055" s="273">
        <f>(B1055-B1054)/B1054</f>
        <v>-1.3566931221822501E-4</v>
      </c>
      <c r="H1055" s="4">
        <f t="shared" si="16"/>
        <v>-5.9034599637055847E-3</v>
      </c>
      <c r="I1055" s="271"/>
      <c r="J1055" s="4"/>
    </row>
    <row r="1056" spans="1:10" ht="14.25" customHeight="1" x14ac:dyDescent="0.3">
      <c r="A1056" s="272">
        <v>45482</v>
      </c>
      <c r="B1056" s="4">
        <v>24433.200000000001</v>
      </c>
      <c r="C1056" s="272">
        <v>45482</v>
      </c>
      <c r="D1056" s="4">
        <v>5290.33</v>
      </c>
      <c r="E1056" s="271"/>
      <c r="F1056" s="271"/>
      <c r="G1056" s="273">
        <f>(B1056-B1055)/B1055</f>
        <v>4.6318853808816601E-3</v>
      </c>
      <c r="H1056" s="4">
        <f t="shared" si="16"/>
        <v>-2.3271295404013724E-3</v>
      </c>
      <c r="I1056" s="271"/>
      <c r="J1056" s="4"/>
    </row>
    <row r="1057" spans="1:10" ht="14.25" customHeight="1" x14ac:dyDescent="0.3">
      <c r="A1057" s="272">
        <v>45483</v>
      </c>
      <c r="B1057" s="4">
        <v>24324.45</v>
      </c>
      <c r="C1057" s="272">
        <v>45483</v>
      </c>
      <c r="D1057" s="4">
        <v>5289.44</v>
      </c>
      <c r="E1057" s="271"/>
      <c r="F1057" s="271"/>
      <c r="G1057" s="273">
        <f>(B1057-B1056)/B1056</f>
        <v>-4.4509110554491428E-3</v>
      </c>
      <c r="H1057" s="4">
        <f t="shared" si="16"/>
        <v>-1.6823147138275447E-4</v>
      </c>
      <c r="I1057" s="271"/>
      <c r="J1057" s="4"/>
    </row>
    <row r="1058" spans="1:10" ht="14.25" customHeight="1" x14ac:dyDescent="0.3">
      <c r="A1058" s="272">
        <v>45484</v>
      </c>
      <c r="B1058" s="4">
        <v>24315.95</v>
      </c>
      <c r="C1058" s="272">
        <v>45484</v>
      </c>
      <c r="D1058" s="4">
        <v>5320.28</v>
      </c>
      <c r="E1058" s="271"/>
      <c r="F1058" s="271"/>
      <c r="G1058" s="273">
        <f>(B1058-B1057)/B1057</f>
        <v>-3.4944263899080964E-4</v>
      </c>
      <c r="H1058" s="4">
        <f t="shared" si="16"/>
        <v>5.8304848906500775E-3</v>
      </c>
      <c r="I1058" s="271"/>
      <c r="J1058" s="4"/>
    </row>
    <row r="1059" spans="1:10" ht="14.25" customHeight="1" x14ac:dyDescent="0.3">
      <c r="A1059" s="272">
        <v>45485</v>
      </c>
      <c r="B1059" s="4">
        <v>24502.15</v>
      </c>
      <c r="C1059" s="272">
        <v>45485</v>
      </c>
      <c r="D1059" s="4">
        <v>5482.67</v>
      </c>
      <c r="E1059" s="271"/>
      <c r="F1059" s="271"/>
      <c r="G1059" s="273">
        <f>(B1059-B1058)/B1058</f>
        <v>7.6575252046496524E-3</v>
      </c>
      <c r="H1059" s="4">
        <f t="shared" si="16"/>
        <v>3.0522829625508494E-2</v>
      </c>
      <c r="I1059" s="271"/>
      <c r="J1059" s="4"/>
    </row>
    <row r="1060" spans="1:10" ht="14.25" customHeight="1" x14ac:dyDescent="0.3">
      <c r="A1060" s="272">
        <v>45488</v>
      </c>
      <c r="B1060" s="4">
        <v>24586.7</v>
      </c>
      <c r="C1060" s="272">
        <v>45488</v>
      </c>
      <c r="D1060" s="4">
        <v>5389.69</v>
      </c>
      <c r="E1060" s="271"/>
      <c r="F1060" s="271"/>
      <c r="G1060" s="273">
        <f>(B1060-B1059)/B1059</f>
        <v>3.4507175900890031E-3</v>
      </c>
      <c r="H1060" s="4">
        <f t="shared" si="16"/>
        <v>-1.6958890467600726E-2</v>
      </c>
      <c r="I1060" s="271"/>
      <c r="J1060" s="4"/>
    </row>
    <row r="1061" spans="1:10" ht="14.25" customHeight="1" x14ac:dyDescent="0.3">
      <c r="A1061" s="272">
        <v>45489</v>
      </c>
      <c r="B1061" s="4">
        <v>24613</v>
      </c>
      <c r="C1061" s="272">
        <v>45489</v>
      </c>
      <c r="D1061" s="4">
        <v>5472.54</v>
      </c>
      <c r="E1061" s="271"/>
      <c r="F1061" s="271"/>
      <c r="G1061" s="273">
        <f>(B1061-B1060)/B1060</f>
        <v>1.0696840161550461E-3</v>
      </c>
      <c r="H1061" s="4">
        <f t="shared" si="16"/>
        <v>1.5371941614452848E-2</v>
      </c>
      <c r="I1061" s="271"/>
      <c r="J1061" s="4"/>
    </row>
    <row r="1062" spans="1:10" ht="14.25" customHeight="1" x14ac:dyDescent="0.3">
      <c r="A1062" s="272">
        <v>45491</v>
      </c>
      <c r="B1062" s="4">
        <v>24800.85</v>
      </c>
      <c r="C1062" s="272">
        <v>45491</v>
      </c>
      <c r="D1062" s="4">
        <v>5663.94</v>
      </c>
      <c r="E1062" s="271"/>
      <c r="F1062" s="271"/>
      <c r="G1062" s="273">
        <f>(B1062-B1061)/B1061</f>
        <v>7.6321456141063074E-3</v>
      </c>
      <c r="H1062" s="4">
        <f t="shared" si="16"/>
        <v>3.4974618732800423E-2</v>
      </c>
      <c r="I1062" s="271"/>
      <c r="J1062" s="4"/>
    </row>
    <row r="1063" spans="1:10" ht="14.25" customHeight="1" x14ac:dyDescent="0.3">
      <c r="A1063" s="272">
        <v>45492</v>
      </c>
      <c r="B1063" s="4">
        <v>24530.9</v>
      </c>
      <c r="C1063" s="272">
        <v>45492</v>
      </c>
      <c r="D1063" s="4">
        <v>5669.7</v>
      </c>
      <c r="E1063" s="271"/>
      <c r="F1063" s="271"/>
      <c r="G1063" s="273">
        <f>(B1063-B1062)/B1062</f>
        <v>-1.0884707580586839E-2</v>
      </c>
      <c r="H1063" s="4">
        <f t="shared" si="16"/>
        <v>1.0169599254229774E-3</v>
      </c>
      <c r="I1063" s="271"/>
      <c r="J1063" s="4"/>
    </row>
    <row r="1064" spans="1:10" ht="14.25" customHeight="1" x14ac:dyDescent="0.3">
      <c r="A1064" s="272">
        <v>45495</v>
      </c>
      <c r="B1064" s="4">
        <v>24509.25</v>
      </c>
      <c r="C1064" s="272">
        <v>45495</v>
      </c>
      <c r="D1064" s="4">
        <v>5626.02</v>
      </c>
      <c r="E1064" s="271"/>
      <c r="F1064" s="271"/>
      <c r="G1064" s="273">
        <f>(B1064-B1063)/B1063</f>
        <v>-8.8256036264472372E-4</v>
      </c>
      <c r="H1064" s="4">
        <f t="shared" si="16"/>
        <v>-7.7041113286416179E-3</v>
      </c>
      <c r="I1064" s="271"/>
      <c r="J1064" s="4"/>
    </row>
    <row r="1065" spans="1:10" ht="14.25" customHeight="1" x14ac:dyDescent="0.3">
      <c r="A1065" s="272">
        <v>45496</v>
      </c>
      <c r="B1065" s="4">
        <v>24479.05</v>
      </c>
      <c r="C1065" s="272">
        <v>45496</v>
      </c>
      <c r="D1065" s="4">
        <v>5596.75</v>
      </c>
      <c r="E1065" s="271"/>
      <c r="F1065" s="271"/>
      <c r="G1065" s="273">
        <f>(B1065-B1064)/B1064</f>
        <v>-1.2321878474453819E-3</v>
      </c>
      <c r="H1065" s="4">
        <f t="shared" si="16"/>
        <v>-5.202612148552695E-3</v>
      </c>
      <c r="I1065" s="271"/>
      <c r="J1065" s="4"/>
    </row>
    <row r="1066" spans="1:10" ht="14.25" customHeight="1" x14ac:dyDescent="0.3">
      <c r="A1066" s="272">
        <v>45497</v>
      </c>
      <c r="B1066" s="4">
        <v>24413.5</v>
      </c>
      <c r="C1066" s="272">
        <v>45497</v>
      </c>
      <c r="D1066" s="4">
        <v>5573.68</v>
      </c>
      <c r="E1066" s="271"/>
      <c r="F1066" s="271"/>
      <c r="G1066" s="273">
        <f>(B1066-B1065)/B1065</f>
        <v>-2.677799996323357E-3</v>
      </c>
      <c r="H1066" s="4">
        <f t="shared" si="16"/>
        <v>-4.1220351096618053E-3</v>
      </c>
      <c r="I1066" s="271"/>
      <c r="J1066" s="4"/>
    </row>
    <row r="1067" spans="1:10" ht="14.25" customHeight="1" x14ac:dyDescent="0.3">
      <c r="A1067" s="272">
        <v>45498</v>
      </c>
      <c r="B1067" s="4">
        <v>24406.1</v>
      </c>
      <c r="C1067" s="272">
        <v>45498</v>
      </c>
      <c r="D1067" s="4">
        <v>5507.51</v>
      </c>
      <c r="E1067" s="271"/>
      <c r="F1067" s="271"/>
      <c r="G1067" s="273">
        <f>(B1067-B1066)/B1066</f>
        <v>-3.0311098367712352E-4</v>
      </c>
      <c r="H1067" s="4">
        <f t="shared" si="16"/>
        <v>-1.1871869213876661E-2</v>
      </c>
      <c r="I1067" s="271"/>
      <c r="J1067" s="4"/>
    </row>
    <row r="1068" spans="1:10" ht="14.25" customHeight="1" x14ac:dyDescent="0.3">
      <c r="A1068" s="272">
        <v>45499</v>
      </c>
      <c r="B1068" s="4">
        <v>24834.85</v>
      </c>
      <c r="C1068" s="272">
        <v>45499</v>
      </c>
      <c r="D1068" s="4">
        <v>5694.98</v>
      </c>
      <c r="E1068" s="271"/>
      <c r="F1068" s="271"/>
      <c r="G1068" s="273">
        <f>(B1068-B1067)/B1067</f>
        <v>1.7567329479105633E-2</v>
      </c>
      <c r="H1068" s="4">
        <f t="shared" si="16"/>
        <v>3.4038975871128578E-2</v>
      </c>
      <c r="I1068" s="271"/>
      <c r="J1068" s="4"/>
    </row>
    <row r="1069" spans="1:10" ht="14.25" customHeight="1" x14ac:dyDescent="0.3">
      <c r="A1069" s="272">
        <v>45502</v>
      </c>
      <c r="B1069" s="4">
        <v>24836.1</v>
      </c>
      <c r="C1069" s="272">
        <v>45502</v>
      </c>
      <c r="D1069" s="4">
        <v>5693.16</v>
      </c>
      <c r="E1069" s="271"/>
      <c r="F1069" s="271"/>
      <c r="G1069" s="273">
        <f>(B1069-B1068)/B1068</f>
        <v>5.0332496471692003E-5</v>
      </c>
      <c r="H1069" s="4">
        <f t="shared" si="16"/>
        <v>-3.195797000164547E-4</v>
      </c>
      <c r="I1069" s="271"/>
      <c r="J1069" s="4"/>
    </row>
    <row r="1070" spans="1:10" ht="14.25" customHeight="1" x14ac:dyDescent="0.3">
      <c r="A1070" s="272">
        <v>45503</v>
      </c>
      <c r="B1070" s="4">
        <v>24857.3</v>
      </c>
      <c r="C1070" s="272">
        <v>45503</v>
      </c>
      <c r="D1070" s="4">
        <v>5580.91</v>
      </c>
      <c r="E1070" s="271"/>
      <c r="F1070" s="271"/>
      <c r="G1070" s="273">
        <f>(B1070-B1069)/B1069</f>
        <v>8.5359617653338197E-4</v>
      </c>
      <c r="H1070" s="4">
        <f t="shared" si="16"/>
        <v>-1.9716642427052816E-2</v>
      </c>
      <c r="I1070" s="271"/>
      <c r="J1070" s="4"/>
    </row>
    <row r="1071" spans="1:10" ht="14.25" customHeight="1" x14ac:dyDescent="0.3">
      <c r="A1071" s="272">
        <v>45504</v>
      </c>
      <c r="B1071" s="4">
        <v>24951.15</v>
      </c>
      <c r="C1071" s="272">
        <v>45504</v>
      </c>
      <c r="D1071" s="4">
        <v>5566.79</v>
      </c>
      <c r="E1071" s="271"/>
      <c r="F1071" s="271"/>
      <c r="G1071" s="273">
        <f>(B1071-B1070)/B1070</f>
        <v>3.7755508442188887E-3</v>
      </c>
      <c r="H1071" s="4">
        <f t="shared" si="16"/>
        <v>-2.5300533425552268E-3</v>
      </c>
      <c r="I1071" s="271"/>
      <c r="J1071" s="4"/>
    </row>
    <row r="1072" spans="1:10" ht="14.25" customHeight="1" x14ac:dyDescent="0.3">
      <c r="A1072" s="272">
        <v>45505</v>
      </c>
      <c r="B1072" s="4">
        <v>25010.9</v>
      </c>
      <c r="C1072" s="272">
        <v>45505</v>
      </c>
      <c r="D1072" s="4">
        <v>5587.2</v>
      </c>
      <c r="E1072" s="271"/>
      <c r="F1072" s="271"/>
      <c r="G1072" s="273">
        <f>(B1072-B1071)/B1071</f>
        <v>2.3946792031629802E-3</v>
      </c>
      <c r="H1072" s="4">
        <f t="shared" si="16"/>
        <v>3.666385834565316E-3</v>
      </c>
      <c r="I1072" s="271"/>
      <c r="J1072" s="4"/>
    </row>
    <row r="1073" spans="1:10" ht="14.25" customHeight="1" x14ac:dyDescent="0.3">
      <c r="A1073" s="272">
        <v>45506</v>
      </c>
      <c r="B1073" s="4">
        <v>24717.7</v>
      </c>
      <c r="C1073" s="272">
        <v>45506</v>
      </c>
      <c r="D1073" s="4">
        <v>5420.93</v>
      </c>
      <c r="E1073" s="271"/>
      <c r="F1073" s="271"/>
      <c r="G1073" s="273">
        <f>(B1073-B1072)/B1072</f>
        <v>-1.1722888820474302E-2</v>
      </c>
      <c r="H1073" s="4">
        <f t="shared" si="16"/>
        <v>-2.9759092210767384E-2</v>
      </c>
      <c r="I1073" s="271"/>
      <c r="J1073" s="4"/>
    </row>
    <row r="1074" spans="1:10" ht="14.25" customHeight="1" x14ac:dyDescent="0.3">
      <c r="A1074" s="272">
        <v>45509</v>
      </c>
      <c r="B1074" s="4">
        <v>24055.599999999999</v>
      </c>
      <c r="C1074" s="272">
        <v>45509</v>
      </c>
      <c r="D1074" s="4">
        <v>5303.07</v>
      </c>
      <c r="E1074" s="271"/>
      <c r="F1074" s="271"/>
      <c r="G1074" s="273">
        <f>(B1074-B1073)/B1073</f>
        <v>-2.6786472851438529E-2</v>
      </c>
      <c r="H1074" s="4">
        <f t="shared" si="16"/>
        <v>-2.1741656874374061E-2</v>
      </c>
      <c r="I1074" s="271"/>
      <c r="J1074" s="4"/>
    </row>
    <row r="1075" spans="1:10" ht="14.25" customHeight="1" x14ac:dyDescent="0.3">
      <c r="A1075" s="272">
        <v>45510</v>
      </c>
      <c r="B1075" s="4">
        <v>23992.55</v>
      </c>
      <c r="C1075" s="272">
        <v>45510</v>
      </c>
      <c r="D1075" s="4">
        <v>5372.58</v>
      </c>
      <c r="E1075" s="271"/>
      <c r="F1075" s="271"/>
      <c r="G1075" s="273">
        <f>(B1075-B1074)/B1074</f>
        <v>-2.6210113237665773E-3</v>
      </c>
      <c r="H1075" s="4">
        <f t="shared" si="16"/>
        <v>1.3107501880985962E-2</v>
      </c>
      <c r="I1075" s="271"/>
      <c r="J1075" s="4"/>
    </row>
    <row r="1076" spans="1:10" ht="14.25" customHeight="1" x14ac:dyDescent="0.3">
      <c r="A1076" s="272">
        <v>45511</v>
      </c>
      <c r="B1076" s="4">
        <v>24297.5</v>
      </c>
      <c r="C1076" s="272">
        <v>45511</v>
      </c>
      <c r="D1076" s="4">
        <v>5477.6</v>
      </c>
      <c r="E1076" s="271"/>
      <c r="F1076" s="271"/>
      <c r="G1076" s="273">
        <f>(B1076-B1075)/B1075</f>
        <v>1.2710195456506321E-2</v>
      </c>
      <c r="H1076" s="4">
        <f t="shared" si="16"/>
        <v>1.9547405529559438E-2</v>
      </c>
      <c r="I1076" s="271"/>
      <c r="J1076" s="4"/>
    </row>
    <row r="1077" spans="1:10" ht="14.25" customHeight="1" x14ac:dyDescent="0.3">
      <c r="A1077" s="272">
        <v>45512</v>
      </c>
      <c r="B1077" s="4">
        <v>24117</v>
      </c>
      <c r="C1077" s="272">
        <v>45512</v>
      </c>
      <c r="D1077" s="4">
        <v>5252.1</v>
      </c>
      <c r="E1077" s="271"/>
      <c r="F1077" s="271"/>
      <c r="G1077" s="273">
        <f>(B1077-B1076)/B1076</f>
        <v>-7.428747813561066E-3</v>
      </c>
      <c r="H1077" s="4">
        <f t="shared" si="16"/>
        <v>-4.1167664670658681E-2</v>
      </c>
      <c r="I1077" s="271"/>
      <c r="J1077" s="4"/>
    </row>
    <row r="1078" spans="1:10" ht="14.25" customHeight="1" x14ac:dyDescent="0.3">
      <c r="A1078" s="272">
        <v>45513</v>
      </c>
      <c r="B1078" s="4">
        <v>24367.5</v>
      </c>
      <c r="C1078" s="272">
        <v>45513</v>
      </c>
      <c r="D1078" s="4">
        <v>5286.78</v>
      </c>
      <c r="E1078" s="271"/>
      <c r="F1078" s="271"/>
      <c r="G1078" s="273">
        <f>(B1078-B1077)/B1077</f>
        <v>1.0386864037815649E-2</v>
      </c>
      <c r="H1078" s="4">
        <f t="shared" si="16"/>
        <v>6.6030730564915711E-3</v>
      </c>
      <c r="I1078" s="271"/>
      <c r="J1078" s="4"/>
    </row>
    <row r="1079" spans="1:10" ht="14.25" customHeight="1" x14ac:dyDescent="0.3">
      <c r="A1079" s="272">
        <v>45516</v>
      </c>
      <c r="B1079" s="4">
        <v>24347</v>
      </c>
      <c r="C1079" s="272">
        <v>45516</v>
      </c>
      <c r="D1079" s="4">
        <v>5313.25</v>
      </c>
      <c r="E1079" s="271"/>
      <c r="F1079" s="271"/>
      <c r="G1079" s="273">
        <f>(B1079-B1078)/B1078</f>
        <v>-8.412844977941931E-4</v>
      </c>
      <c r="H1079" s="4">
        <f t="shared" si="16"/>
        <v>5.0068283529861764E-3</v>
      </c>
      <c r="I1079" s="271"/>
      <c r="J1079" s="4"/>
    </row>
    <row r="1080" spans="1:10" ht="14.25" customHeight="1" x14ac:dyDescent="0.3">
      <c r="A1080" s="272">
        <v>45517</v>
      </c>
      <c r="B1080" s="4">
        <v>24139</v>
      </c>
      <c r="C1080" s="272">
        <v>45517</v>
      </c>
      <c r="D1080" s="4">
        <v>5297.95</v>
      </c>
      <c r="E1080" s="271"/>
      <c r="F1080" s="271"/>
      <c r="G1080" s="273">
        <f>(B1080-B1079)/B1079</f>
        <v>-8.5431469996303452E-3</v>
      </c>
      <c r="H1080" s="4">
        <f t="shared" si="16"/>
        <v>-2.8795934691573295E-3</v>
      </c>
      <c r="I1080" s="271"/>
      <c r="J1080" s="4"/>
    </row>
    <row r="1081" spans="1:10" ht="14.25" customHeight="1" x14ac:dyDescent="0.3">
      <c r="A1081" s="272">
        <v>45518</v>
      </c>
      <c r="B1081" s="4">
        <v>24143.75</v>
      </c>
      <c r="C1081" s="272">
        <v>45518</v>
      </c>
      <c r="D1081" s="4">
        <v>5339.91</v>
      </c>
      <c r="E1081" s="271"/>
      <c r="F1081" s="271"/>
      <c r="G1081" s="273">
        <f>(B1081-B1080)/B1080</f>
        <v>1.9677699987571978E-4</v>
      </c>
      <c r="H1081" s="4">
        <f t="shared" si="16"/>
        <v>7.9200445455317701E-3</v>
      </c>
      <c r="I1081" s="271"/>
      <c r="J1081" s="4"/>
    </row>
    <row r="1082" spans="1:10" ht="14.25" customHeight="1" x14ac:dyDescent="0.3">
      <c r="A1082" s="272">
        <v>45520</v>
      </c>
      <c r="B1082" s="4">
        <v>24541.15</v>
      </c>
      <c r="C1082" s="272">
        <v>45520</v>
      </c>
      <c r="D1082" s="4">
        <v>5473.91</v>
      </c>
      <c r="E1082" s="271"/>
      <c r="F1082" s="271"/>
      <c r="G1082" s="273">
        <f>(B1082-B1081)/B1081</f>
        <v>1.6459746311157191E-2</v>
      </c>
      <c r="H1082" s="4">
        <f t="shared" si="16"/>
        <v>2.5094055892327775E-2</v>
      </c>
      <c r="I1082" s="271"/>
      <c r="J1082" s="4"/>
    </row>
    <row r="1083" spans="1:10" ht="14.25" customHeight="1" x14ac:dyDescent="0.3">
      <c r="A1083" s="272">
        <v>45523</v>
      </c>
      <c r="B1083" s="4">
        <v>24572.65</v>
      </c>
      <c r="C1083" s="272">
        <v>45523</v>
      </c>
      <c r="D1083" s="4">
        <v>5584.45</v>
      </c>
      <c r="E1083" s="271"/>
      <c r="F1083" s="271"/>
      <c r="G1083" s="273">
        <f>(B1083-B1082)/B1082</f>
        <v>1.2835584314508488E-3</v>
      </c>
      <c r="H1083" s="4">
        <f t="shared" si="16"/>
        <v>2.0193974690851688E-2</v>
      </c>
      <c r="I1083" s="271"/>
      <c r="J1083" s="4"/>
    </row>
    <row r="1084" spans="1:10" ht="14.25" customHeight="1" x14ac:dyDescent="0.3">
      <c r="A1084" s="272">
        <v>45524</v>
      </c>
      <c r="B1084" s="4">
        <v>24698.85</v>
      </c>
      <c r="C1084" s="272">
        <v>45524</v>
      </c>
      <c r="D1084" s="4">
        <v>5615.64</v>
      </c>
      <c r="E1084" s="271"/>
      <c r="F1084" s="271"/>
      <c r="G1084" s="273">
        <f>(B1084-B1083)/B1083</f>
        <v>5.135791215029599E-3</v>
      </c>
      <c r="H1084" s="4">
        <f t="shared" si="16"/>
        <v>5.5851516263912314E-3</v>
      </c>
      <c r="I1084" s="271"/>
      <c r="J1084" s="4"/>
    </row>
    <row r="1085" spans="1:10" ht="14.25" customHeight="1" x14ac:dyDescent="0.3">
      <c r="A1085" s="272">
        <v>45525</v>
      </c>
      <c r="B1085" s="4">
        <v>24770.2</v>
      </c>
      <c r="C1085" s="272">
        <v>45525</v>
      </c>
      <c r="D1085" s="4">
        <v>5621.2</v>
      </c>
      <c r="E1085" s="271"/>
      <c r="F1085" s="271"/>
      <c r="G1085" s="273">
        <f>(B1085-B1084)/B1084</f>
        <v>2.8887984663254437E-3</v>
      </c>
      <c r="H1085" s="4">
        <f t="shared" si="16"/>
        <v>9.900919574615699E-4</v>
      </c>
      <c r="I1085" s="271"/>
      <c r="J1085" s="4"/>
    </row>
    <row r="1086" spans="1:10" ht="14.25" customHeight="1" x14ac:dyDescent="0.3">
      <c r="A1086" s="272">
        <v>45526</v>
      </c>
      <c r="B1086" s="4">
        <v>24811.5</v>
      </c>
      <c r="C1086" s="272">
        <v>45526</v>
      </c>
      <c r="D1086" s="4">
        <v>5612.29</v>
      </c>
      <c r="E1086" s="271"/>
      <c r="F1086" s="271"/>
      <c r="G1086" s="273">
        <f>(B1086-B1085)/B1085</f>
        <v>1.6673260611540994E-3</v>
      </c>
      <c r="H1086" s="4">
        <f t="shared" si="16"/>
        <v>-1.5850708033871513E-3</v>
      </c>
      <c r="I1086" s="271"/>
      <c r="J1086" s="4"/>
    </row>
    <row r="1087" spans="1:10" ht="14.25" customHeight="1" x14ac:dyDescent="0.3">
      <c r="A1087" s="272">
        <v>45527</v>
      </c>
      <c r="B1087" s="4">
        <v>24823.15</v>
      </c>
      <c r="C1087" s="272">
        <v>45527</v>
      </c>
      <c r="D1087" s="4">
        <v>5550.51</v>
      </c>
      <c r="E1087" s="271"/>
      <c r="F1087" s="271"/>
      <c r="G1087" s="273">
        <f>(B1087-B1086)/B1086</f>
        <v>4.6954033411931789E-4</v>
      </c>
      <c r="H1087" s="4">
        <f t="shared" si="16"/>
        <v>-1.100798426310824E-2</v>
      </c>
      <c r="I1087" s="271"/>
      <c r="J1087" s="4"/>
    </row>
    <row r="1088" spans="1:10" ht="14.25" customHeight="1" x14ac:dyDescent="0.3">
      <c r="A1088" s="272">
        <v>45530</v>
      </c>
      <c r="B1088" s="4">
        <v>25010.6</v>
      </c>
      <c r="C1088" s="272">
        <v>45530</v>
      </c>
      <c r="D1088" s="4">
        <v>5647.27</v>
      </c>
      <c r="E1088" s="271"/>
      <c r="F1088" s="271"/>
      <c r="G1088" s="273">
        <f>(B1088-B1087)/B1087</f>
        <v>7.5514187361393325E-3</v>
      </c>
      <c r="H1088" s="4">
        <f t="shared" si="16"/>
        <v>1.7432632316670037E-2</v>
      </c>
      <c r="I1088" s="271"/>
      <c r="J1088" s="4"/>
    </row>
    <row r="1089" spans="1:10" ht="14.25" customHeight="1" x14ac:dyDescent="0.3">
      <c r="A1089" s="272">
        <v>45531</v>
      </c>
      <c r="B1089" s="4">
        <v>25017.75</v>
      </c>
      <c r="C1089" s="272">
        <v>45531</v>
      </c>
      <c r="D1089" s="4">
        <v>5658.68</v>
      </c>
      <c r="E1089" s="271"/>
      <c r="F1089" s="271"/>
      <c r="G1089" s="273">
        <f>(B1089-B1088)/B1088</f>
        <v>2.8587878739420311E-4</v>
      </c>
      <c r="H1089" s="4">
        <f t="shared" si="16"/>
        <v>2.0204452770984658E-3</v>
      </c>
      <c r="I1089" s="271"/>
      <c r="J1089" s="4"/>
    </row>
    <row r="1090" spans="1:10" ht="14.25" customHeight="1" x14ac:dyDescent="0.3">
      <c r="A1090" s="272">
        <v>45532</v>
      </c>
      <c r="B1090" s="4">
        <v>25052.35</v>
      </c>
      <c r="C1090" s="272">
        <v>45532</v>
      </c>
      <c r="D1090" s="4">
        <v>6028.61</v>
      </c>
      <c r="E1090" s="271"/>
      <c r="F1090" s="271"/>
      <c r="G1090" s="273">
        <f>(B1090-B1089)/B1089</f>
        <v>1.3830180571793446E-3</v>
      </c>
      <c r="H1090" s="4">
        <f t="shared" si="16"/>
        <v>6.5373903454515783E-2</v>
      </c>
      <c r="I1090" s="271"/>
      <c r="J1090" s="4"/>
    </row>
    <row r="1091" spans="1:10" ht="14.25" customHeight="1" x14ac:dyDescent="0.3">
      <c r="A1091" s="272">
        <v>45533</v>
      </c>
      <c r="B1091" s="4">
        <v>25151.95</v>
      </c>
      <c r="C1091" s="272">
        <v>45533</v>
      </c>
      <c r="D1091" s="4">
        <v>6033.09</v>
      </c>
      <c r="E1091" s="271"/>
      <c r="F1091" s="271"/>
      <c r="G1091" s="273">
        <f>(B1091-B1090)/B1090</f>
        <v>3.9756749366826744E-3</v>
      </c>
      <c r="H1091" s="4">
        <f t="shared" ref="H1091:H1154" si="17">(D1091-D1090)/D1090</f>
        <v>7.4312320750562287E-4</v>
      </c>
      <c r="I1091" s="271"/>
      <c r="J1091" s="4"/>
    </row>
    <row r="1092" spans="1:10" ht="14.25" customHeight="1" x14ac:dyDescent="0.3">
      <c r="A1092" s="272">
        <v>45534</v>
      </c>
      <c r="B1092" s="4">
        <v>25235.9</v>
      </c>
      <c r="C1092" s="272">
        <v>45534</v>
      </c>
      <c r="D1092" s="4">
        <v>6056.65</v>
      </c>
      <c r="E1092" s="271"/>
      <c r="F1092" s="271"/>
      <c r="G1092" s="273">
        <f>(B1092-B1091)/B1091</f>
        <v>3.3377133780880101E-3</v>
      </c>
      <c r="H1092" s="4">
        <f t="shared" si="17"/>
        <v>3.9051298754037302E-3</v>
      </c>
      <c r="I1092" s="271"/>
      <c r="J1092" s="4"/>
    </row>
    <row r="1093" spans="1:10" ht="14.25" customHeight="1" x14ac:dyDescent="0.3">
      <c r="A1093" s="272">
        <v>45537</v>
      </c>
      <c r="B1093" s="4">
        <v>25278.7</v>
      </c>
      <c r="C1093" s="272">
        <v>45537</v>
      </c>
      <c r="D1093" s="4">
        <v>6054.14</v>
      </c>
      <c r="E1093" s="271"/>
      <c r="F1093" s="271"/>
      <c r="G1093" s="273">
        <f>(B1093-B1092)/B1092</f>
        <v>1.6959965763059478E-3</v>
      </c>
      <c r="H1093" s="4">
        <f t="shared" si="17"/>
        <v>-4.1442051298974002E-4</v>
      </c>
      <c r="I1093" s="271"/>
      <c r="J1093" s="4"/>
    </row>
    <row r="1094" spans="1:10" ht="14.25" customHeight="1" x14ac:dyDescent="0.3">
      <c r="A1094" s="272">
        <v>45538</v>
      </c>
      <c r="B1094" s="4">
        <v>25279.85</v>
      </c>
      <c r="C1094" s="272">
        <v>45538</v>
      </c>
      <c r="D1094" s="4">
        <v>6046.47</v>
      </c>
      <c r="E1094" s="271"/>
      <c r="F1094" s="271"/>
      <c r="G1094" s="273">
        <f>(B1094-B1093)/B1093</f>
        <v>4.5492845755431141E-5</v>
      </c>
      <c r="H1094" s="4">
        <f t="shared" si="17"/>
        <v>-1.2669016573782688E-3</v>
      </c>
      <c r="I1094" s="271"/>
      <c r="J1094" s="4"/>
    </row>
    <row r="1095" spans="1:10" ht="14.25" customHeight="1" x14ac:dyDescent="0.3">
      <c r="A1095" s="272">
        <v>45539</v>
      </c>
      <c r="B1095" s="4">
        <v>25198.7</v>
      </c>
      <c r="C1095" s="272">
        <v>45539</v>
      </c>
      <c r="D1095" s="4">
        <v>5973.17</v>
      </c>
      <c r="E1095" s="271"/>
      <c r="F1095" s="271"/>
      <c r="G1095" s="273">
        <f>(B1095-B1094)/B1094</f>
        <v>-3.2100665154262318E-3</v>
      </c>
      <c r="H1095" s="4">
        <f t="shared" si="17"/>
        <v>-1.2122775768340897E-2</v>
      </c>
      <c r="I1095" s="271"/>
      <c r="J1095" s="4"/>
    </row>
    <row r="1096" spans="1:10" ht="14.25" customHeight="1" x14ac:dyDescent="0.3">
      <c r="A1096" s="272">
        <v>45540</v>
      </c>
      <c r="B1096" s="4">
        <v>25145.1</v>
      </c>
      <c r="C1096" s="272">
        <v>45540</v>
      </c>
      <c r="D1096" s="4">
        <v>6050.01</v>
      </c>
      <c r="E1096" s="271"/>
      <c r="F1096" s="271"/>
      <c r="G1096" s="273">
        <f>(B1096-B1095)/B1095</f>
        <v>-2.1270938580165715E-3</v>
      </c>
      <c r="H1096" s="4">
        <f t="shared" si="17"/>
        <v>1.2864191040938085E-2</v>
      </c>
      <c r="I1096" s="271"/>
      <c r="J1096" s="4"/>
    </row>
    <row r="1097" spans="1:10" ht="14.25" customHeight="1" x14ac:dyDescent="0.3">
      <c r="A1097" s="272">
        <v>45541</v>
      </c>
      <c r="B1097" s="4">
        <v>24852.15</v>
      </c>
      <c r="C1097" s="272">
        <v>45541</v>
      </c>
      <c r="D1097" s="4">
        <v>6065.85</v>
      </c>
      <c r="E1097" s="271"/>
      <c r="F1097" s="271"/>
      <c r="G1097" s="273">
        <f>(B1097-B1096)/B1096</f>
        <v>-1.1650381187587128E-2</v>
      </c>
      <c r="H1097" s="4">
        <f t="shared" si="17"/>
        <v>2.6181774906157418E-3</v>
      </c>
      <c r="I1097" s="271"/>
      <c r="J1097" s="4"/>
    </row>
    <row r="1098" spans="1:10" ht="14.25" customHeight="1" x14ac:dyDescent="0.3">
      <c r="A1098" s="272">
        <v>45544</v>
      </c>
      <c r="B1098" s="4">
        <v>24936.400000000001</v>
      </c>
      <c r="C1098" s="272">
        <v>45544</v>
      </c>
      <c r="D1098" s="4">
        <v>6047.35</v>
      </c>
      <c r="E1098" s="271"/>
      <c r="F1098" s="271"/>
      <c r="G1098" s="273">
        <f>(B1098-B1097)/B1097</f>
        <v>3.3900487482974306E-3</v>
      </c>
      <c r="H1098" s="4">
        <f t="shared" si="17"/>
        <v>-3.0498611076765826E-3</v>
      </c>
      <c r="I1098" s="271"/>
      <c r="J1098" s="4"/>
    </row>
    <row r="1099" spans="1:10" ht="14.25" customHeight="1" x14ac:dyDescent="0.3">
      <c r="A1099" s="272">
        <v>45545</v>
      </c>
      <c r="B1099" s="4">
        <v>25041.1</v>
      </c>
      <c r="C1099" s="272">
        <v>45545</v>
      </c>
      <c r="D1099" s="4">
        <v>6240.92</v>
      </c>
      <c r="E1099" s="271"/>
      <c r="F1099" s="271"/>
      <c r="G1099" s="273">
        <f>(B1099-B1098)/B1098</f>
        <v>4.1986814455974835E-3</v>
      </c>
      <c r="H1099" s="4">
        <f t="shared" si="17"/>
        <v>3.2009061820466769E-2</v>
      </c>
      <c r="I1099" s="271"/>
      <c r="J1099" s="4"/>
    </row>
    <row r="1100" spans="1:10" ht="14.25" customHeight="1" x14ac:dyDescent="0.3">
      <c r="A1100" s="272">
        <v>45546</v>
      </c>
      <c r="B1100" s="4">
        <v>24918.45</v>
      </c>
      <c r="C1100" s="272">
        <v>45546</v>
      </c>
      <c r="D1100" s="4">
        <v>6197.59</v>
      </c>
      <c r="E1100" s="271"/>
      <c r="F1100" s="271"/>
      <c r="G1100" s="273">
        <f>(B1100-B1099)/B1099</f>
        <v>-4.8979477738596879E-3</v>
      </c>
      <c r="H1100" s="4">
        <f t="shared" si="17"/>
        <v>-6.9428866256897905E-3</v>
      </c>
      <c r="I1100" s="271"/>
      <c r="J1100" s="4"/>
    </row>
    <row r="1101" spans="1:10" ht="14.25" customHeight="1" x14ac:dyDescent="0.3">
      <c r="A1101" s="272">
        <v>45547</v>
      </c>
      <c r="B1101" s="4">
        <v>25388.9</v>
      </c>
      <c r="C1101" s="272">
        <v>45547</v>
      </c>
      <c r="D1101" s="4">
        <v>6289.13</v>
      </c>
      <c r="E1101" s="271"/>
      <c r="F1101" s="271"/>
      <c r="G1101" s="273">
        <f>(B1101-B1100)/B1100</f>
        <v>1.8879585206945083E-2</v>
      </c>
      <c r="H1101" s="4">
        <f t="shared" si="17"/>
        <v>1.4770257471049224E-2</v>
      </c>
      <c r="I1101" s="271"/>
      <c r="J1101" s="4"/>
    </row>
    <row r="1102" spans="1:10" ht="14.25" customHeight="1" x14ac:dyDescent="0.3">
      <c r="A1102" s="272">
        <v>45548</v>
      </c>
      <c r="B1102" s="4">
        <v>25356.5</v>
      </c>
      <c r="C1102" s="272">
        <v>45548</v>
      </c>
      <c r="D1102" s="4">
        <v>6312.6</v>
      </c>
      <c r="E1102" s="271"/>
      <c r="F1102" s="271"/>
      <c r="G1102" s="273">
        <f>(B1102-B1101)/B1101</f>
        <v>-1.2761482380095812E-3</v>
      </c>
      <c r="H1102" s="4">
        <f t="shared" si="17"/>
        <v>3.7318357229060703E-3</v>
      </c>
      <c r="I1102" s="271"/>
      <c r="J1102" s="4"/>
    </row>
    <row r="1103" spans="1:10" ht="14.25" customHeight="1" x14ac:dyDescent="0.3">
      <c r="A1103" s="272">
        <v>45551</v>
      </c>
      <c r="B1103" s="4">
        <v>25383.75</v>
      </c>
      <c r="C1103" s="272">
        <v>45551</v>
      </c>
      <c r="D1103" s="4">
        <v>6319.73</v>
      </c>
      <c r="E1103" s="271"/>
      <c r="F1103" s="271"/>
      <c r="G1103" s="273">
        <f>(B1103-B1102)/B1102</f>
        <v>1.0746751326089958E-3</v>
      </c>
      <c r="H1103" s="4">
        <f t="shared" si="17"/>
        <v>1.1294870576306433E-3</v>
      </c>
      <c r="I1103" s="271"/>
      <c r="J1103" s="4"/>
    </row>
    <row r="1104" spans="1:10" ht="14.25" customHeight="1" x14ac:dyDescent="0.3">
      <c r="A1104" s="272">
        <v>45552</v>
      </c>
      <c r="B1104" s="4">
        <v>25418.55</v>
      </c>
      <c r="C1104" s="272">
        <v>45552</v>
      </c>
      <c r="D1104" s="4">
        <v>6351.51</v>
      </c>
      <c r="E1104" s="271"/>
      <c r="F1104" s="271"/>
      <c r="G1104" s="273">
        <f>(B1104-B1103)/B1103</f>
        <v>1.3709558280395637E-3</v>
      </c>
      <c r="H1104" s="4">
        <f t="shared" si="17"/>
        <v>5.028695846183406E-3</v>
      </c>
      <c r="I1104" s="271"/>
      <c r="J1104" s="4"/>
    </row>
    <row r="1105" spans="1:10" ht="14.25" customHeight="1" x14ac:dyDescent="0.3">
      <c r="A1105" s="272">
        <v>45553</v>
      </c>
      <c r="B1105" s="4">
        <v>25377.55</v>
      </c>
      <c r="C1105" s="272">
        <v>45553</v>
      </c>
      <c r="D1105" s="4">
        <v>6263.5</v>
      </c>
      <c r="E1105" s="271"/>
      <c r="F1105" s="271"/>
      <c r="G1105" s="273">
        <f>(B1105-B1104)/B1104</f>
        <v>-1.612995233795791E-3</v>
      </c>
      <c r="H1105" s="4">
        <f t="shared" si="17"/>
        <v>-1.3856547498154017E-2</v>
      </c>
      <c r="I1105" s="271"/>
      <c r="J1105" s="4"/>
    </row>
    <row r="1106" spans="1:10" ht="14.25" customHeight="1" x14ac:dyDescent="0.3">
      <c r="A1106" s="272">
        <v>45554</v>
      </c>
      <c r="B1106" s="4">
        <v>25415.8</v>
      </c>
      <c r="C1106" s="272">
        <v>45554</v>
      </c>
      <c r="D1106" s="4">
        <v>6274.18</v>
      </c>
      <c r="E1106" s="271"/>
      <c r="F1106" s="271"/>
      <c r="G1106" s="273">
        <f>(B1106-B1105)/B1105</f>
        <v>1.5072376963103215E-3</v>
      </c>
      <c r="H1106" s="4">
        <f t="shared" si="17"/>
        <v>1.7051169473936763E-3</v>
      </c>
      <c r="I1106" s="271"/>
      <c r="J1106" s="4"/>
    </row>
    <row r="1107" spans="1:10" ht="14.25" customHeight="1" x14ac:dyDescent="0.3">
      <c r="A1107" s="272">
        <v>45555</v>
      </c>
      <c r="B1107" s="4">
        <v>25790.95</v>
      </c>
      <c r="C1107" s="272">
        <v>45555</v>
      </c>
      <c r="D1107" s="4">
        <v>6270.19</v>
      </c>
      <c r="E1107" s="271"/>
      <c r="F1107" s="271"/>
      <c r="G1107" s="273">
        <f>(B1107-B1106)/B1106</f>
        <v>1.4760503308965348E-2</v>
      </c>
      <c r="H1107" s="4">
        <f t="shared" si="17"/>
        <v>-6.3593967657936032E-4</v>
      </c>
      <c r="I1107" s="271"/>
      <c r="J1107" s="4"/>
    </row>
    <row r="1108" spans="1:10" ht="14.25" customHeight="1" x14ac:dyDescent="0.3">
      <c r="A1108" s="272">
        <v>45558</v>
      </c>
      <c r="B1108" s="4">
        <v>25939.05</v>
      </c>
      <c r="C1108" s="272">
        <v>45558</v>
      </c>
      <c r="D1108" s="4">
        <v>6223.95</v>
      </c>
      <c r="E1108" s="271"/>
      <c r="F1108" s="271"/>
      <c r="G1108" s="273">
        <f>(B1108-B1107)/B1107</f>
        <v>5.7423243424534007E-3</v>
      </c>
      <c r="H1108" s="4">
        <f t="shared" si="17"/>
        <v>-7.3745771659231669E-3</v>
      </c>
      <c r="I1108" s="271"/>
      <c r="J1108" s="4"/>
    </row>
    <row r="1109" spans="1:10" ht="14.25" customHeight="1" x14ac:dyDescent="0.3">
      <c r="A1109" s="272">
        <v>45559</v>
      </c>
      <c r="B1109" s="4">
        <v>25940.400000000001</v>
      </c>
      <c r="C1109" s="272">
        <v>45559</v>
      </c>
      <c r="D1109" s="4">
        <v>6241.66</v>
      </c>
      <c r="E1109" s="271"/>
      <c r="F1109" s="271"/>
      <c r="G1109" s="273">
        <f>(B1109-B1108)/B1108</f>
        <v>5.2045082607195824E-5</v>
      </c>
      <c r="H1109" s="4">
        <f t="shared" si="17"/>
        <v>2.8454598767663681E-3</v>
      </c>
      <c r="I1109" s="271"/>
      <c r="J1109" s="4"/>
    </row>
    <row r="1110" spans="1:10" ht="14.25" customHeight="1" x14ac:dyDescent="0.3">
      <c r="A1110" s="272">
        <v>45560</v>
      </c>
      <c r="B1110" s="4">
        <v>26004.15</v>
      </c>
      <c r="C1110" s="272">
        <v>45560</v>
      </c>
      <c r="D1110" s="4">
        <v>6004.01</v>
      </c>
      <c r="E1110" s="271"/>
      <c r="F1110" s="271"/>
      <c r="G1110" s="273">
        <f>(B1110-B1109)/B1109</f>
        <v>2.4575565527131422E-3</v>
      </c>
      <c r="H1110" s="4">
        <f t="shared" si="17"/>
        <v>-3.8074807022490754E-2</v>
      </c>
      <c r="I1110" s="271"/>
      <c r="J1110" s="4"/>
    </row>
    <row r="1111" spans="1:10" ht="14.25" customHeight="1" x14ac:dyDescent="0.3">
      <c r="A1111" s="272">
        <v>45561</v>
      </c>
      <c r="B1111" s="4">
        <v>26216.05</v>
      </c>
      <c r="C1111" s="272">
        <v>45561</v>
      </c>
      <c r="D1111" s="4">
        <v>6064.52</v>
      </c>
      <c r="E1111" s="271"/>
      <c r="F1111" s="271"/>
      <c r="G1111" s="273">
        <f>(B1111-B1110)/B1110</f>
        <v>8.1486993422202926E-3</v>
      </c>
      <c r="H1111" s="4">
        <f t="shared" si="17"/>
        <v>1.0078264359986112E-2</v>
      </c>
      <c r="I1111" s="271"/>
      <c r="J1111" s="4"/>
    </row>
    <row r="1112" spans="1:10" ht="14.25" customHeight="1" x14ac:dyDescent="0.3">
      <c r="A1112" s="272">
        <v>45562</v>
      </c>
      <c r="B1112" s="4">
        <v>26178.95</v>
      </c>
      <c r="C1112" s="272">
        <v>45562</v>
      </c>
      <c r="D1112" s="4">
        <v>6037.02</v>
      </c>
      <c r="E1112" s="271"/>
      <c r="F1112" s="271"/>
      <c r="G1112" s="273">
        <f>(B1112-B1111)/B1111</f>
        <v>-1.4151636116042862E-3</v>
      </c>
      <c r="H1112" s="4">
        <f t="shared" si="17"/>
        <v>-4.5345715736777184E-3</v>
      </c>
      <c r="I1112" s="271"/>
      <c r="J1112" s="4"/>
    </row>
    <row r="1113" spans="1:10" ht="14.25" customHeight="1" x14ac:dyDescent="0.3">
      <c r="A1113" s="272">
        <v>45565</v>
      </c>
      <c r="B1113" s="4">
        <v>25810.85</v>
      </c>
      <c r="C1113" s="272">
        <v>45565</v>
      </c>
      <c r="D1113" s="4">
        <v>6143.52</v>
      </c>
      <c r="E1113" s="271"/>
      <c r="F1113" s="271"/>
      <c r="G1113" s="273">
        <f>(B1113-B1112)/B1112</f>
        <v>-1.4060915353748036E-2</v>
      </c>
      <c r="H1113" s="4">
        <f t="shared" si="17"/>
        <v>1.7641154079330531E-2</v>
      </c>
      <c r="I1113" s="271"/>
      <c r="J1113" s="4"/>
    </row>
    <row r="1114" spans="1:10" ht="14.25" customHeight="1" x14ac:dyDescent="0.3">
      <c r="A1114" s="272">
        <v>45566</v>
      </c>
      <c r="B1114" s="4">
        <v>25796.9</v>
      </c>
      <c r="C1114" s="272">
        <v>45566</v>
      </c>
      <c r="D1114" s="4">
        <v>6172.15</v>
      </c>
      <c r="E1114" s="271"/>
      <c r="F1114" s="271"/>
      <c r="G1114" s="273">
        <f>(B1114-B1113)/B1113</f>
        <v>-5.4047038357888603E-4</v>
      </c>
      <c r="H1114" s="4">
        <f t="shared" si="17"/>
        <v>4.6601948068858241E-3</v>
      </c>
      <c r="I1114" s="271"/>
      <c r="J1114" s="4"/>
    </row>
    <row r="1115" spans="1:10" ht="14.25" customHeight="1" x14ac:dyDescent="0.3">
      <c r="A1115" s="272">
        <v>45568</v>
      </c>
      <c r="B1115" s="4">
        <v>25250.1</v>
      </c>
      <c r="C1115" s="272">
        <v>45568</v>
      </c>
      <c r="D1115" s="4">
        <v>6084</v>
      </c>
      <c r="E1115" s="271"/>
      <c r="F1115" s="271"/>
      <c r="G1115" s="273">
        <f>(B1115-B1114)/B1114</f>
        <v>-2.1196345297303278E-2</v>
      </c>
      <c r="H1115" s="4">
        <f t="shared" si="17"/>
        <v>-1.4281895287703579E-2</v>
      </c>
      <c r="I1115" s="271"/>
      <c r="J1115" s="4"/>
    </row>
    <row r="1116" spans="1:10" ht="14.25" customHeight="1" x14ac:dyDescent="0.3">
      <c r="A1116" s="272">
        <v>45569</v>
      </c>
      <c r="B1116" s="4">
        <v>25014.6</v>
      </c>
      <c r="C1116" s="272">
        <v>45569</v>
      </c>
      <c r="D1116" s="4">
        <v>6015.38</v>
      </c>
      <c r="E1116" s="271"/>
      <c r="F1116" s="271"/>
      <c r="G1116" s="273">
        <f>(B1116-B1115)/B1115</f>
        <v>-9.3266957358584725E-3</v>
      </c>
      <c r="H1116" s="4">
        <f t="shared" si="17"/>
        <v>-1.1278763971071646E-2</v>
      </c>
      <c r="I1116" s="271"/>
      <c r="J1116" s="4"/>
    </row>
    <row r="1117" spans="1:10" ht="14.25" customHeight="1" x14ac:dyDescent="0.3">
      <c r="A1117" s="272">
        <v>45572</v>
      </c>
      <c r="B1117" s="4">
        <v>24795.75</v>
      </c>
      <c r="C1117" s="272">
        <v>45572</v>
      </c>
      <c r="D1117" s="4">
        <v>6153.95</v>
      </c>
      <c r="E1117" s="271"/>
      <c r="F1117" s="271"/>
      <c r="G1117" s="273">
        <f>(B1117-B1116)/B1116</f>
        <v>-8.7488906478615912E-3</v>
      </c>
      <c r="H1117" s="4">
        <f t="shared" si="17"/>
        <v>2.3035951178479116E-2</v>
      </c>
      <c r="I1117" s="271"/>
      <c r="J1117" s="4"/>
    </row>
    <row r="1118" spans="1:10" ht="14.25" customHeight="1" x14ac:dyDescent="0.3">
      <c r="A1118" s="272">
        <v>45573</v>
      </c>
      <c r="B1118" s="4">
        <v>25013.15</v>
      </c>
      <c r="C1118" s="272">
        <v>45573</v>
      </c>
      <c r="D1118" s="4">
        <v>6273.83</v>
      </c>
      <c r="E1118" s="271"/>
      <c r="F1118" s="271"/>
      <c r="G1118" s="273">
        <f>(B1118-B1117)/B1117</f>
        <v>8.7676315497616109E-3</v>
      </c>
      <c r="H1118" s="4">
        <f t="shared" si="17"/>
        <v>1.9480171272109801E-2</v>
      </c>
      <c r="I1118" s="271"/>
      <c r="J1118" s="4"/>
    </row>
    <row r="1119" spans="1:10" ht="14.25" customHeight="1" x14ac:dyDescent="0.3">
      <c r="A1119" s="272">
        <v>45574</v>
      </c>
      <c r="B1119" s="4">
        <v>24981.95</v>
      </c>
      <c r="C1119" s="272">
        <v>45574</v>
      </c>
      <c r="D1119" s="4">
        <v>6336.55</v>
      </c>
      <c r="E1119" s="271"/>
      <c r="F1119" s="271"/>
      <c r="G1119" s="273">
        <f>(B1119-B1118)/B1118</f>
        <v>-1.2473438971101491E-3</v>
      </c>
      <c r="H1119" s="4">
        <f t="shared" si="17"/>
        <v>9.9970831214744836E-3</v>
      </c>
      <c r="I1119" s="271"/>
      <c r="J1119" s="4"/>
    </row>
    <row r="1120" spans="1:10" ht="14.25" customHeight="1" x14ac:dyDescent="0.3">
      <c r="A1120" s="272">
        <v>45575</v>
      </c>
      <c r="B1120" s="4">
        <v>24998.45</v>
      </c>
      <c r="C1120" s="272">
        <v>45575</v>
      </c>
      <c r="D1120" s="4">
        <v>6243.58</v>
      </c>
      <c r="E1120" s="271"/>
      <c r="F1120" s="271"/>
      <c r="G1120" s="273">
        <f>(B1120-B1119)/B1119</f>
        <v>6.604768642960217E-4</v>
      </c>
      <c r="H1120" s="4">
        <f t="shared" si="17"/>
        <v>-1.4672021841538416E-2</v>
      </c>
      <c r="I1120" s="271"/>
      <c r="J1120" s="4"/>
    </row>
    <row r="1121" spans="1:10" ht="14.25" customHeight="1" x14ac:dyDescent="0.3">
      <c r="A1121" s="272">
        <v>45576</v>
      </c>
      <c r="B1121" s="4">
        <v>24964.25</v>
      </c>
      <c r="C1121" s="272">
        <v>45576</v>
      </c>
      <c r="D1121" s="4">
        <v>6307.43</v>
      </c>
      <c r="E1121" s="271"/>
      <c r="F1121" s="271"/>
      <c r="G1121" s="273">
        <f>(B1121-B1120)/B1120</f>
        <v>-1.368084821258947E-3</v>
      </c>
      <c r="H1121" s="4">
        <f t="shared" si="17"/>
        <v>1.0226504665592554E-2</v>
      </c>
      <c r="I1121" s="271"/>
      <c r="J1121" s="4"/>
    </row>
    <row r="1122" spans="1:10" ht="14.25" customHeight="1" x14ac:dyDescent="0.3">
      <c r="A1122" s="272">
        <v>45579</v>
      </c>
      <c r="B1122" s="4">
        <v>25127.95</v>
      </c>
      <c r="C1122" s="272">
        <v>45579</v>
      </c>
      <c r="D1122" s="4">
        <v>6344.43</v>
      </c>
      <c r="E1122" s="271"/>
      <c r="F1122" s="271"/>
      <c r="G1122" s="273">
        <f>(B1122-B1121)/B1121</f>
        <v>6.5573770491803574E-3</v>
      </c>
      <c r="H1122" s="4">
        <f t="shared" si="17"/>
        <v>5.8660976023515122E-3</v>
      </c>
      <c r="I1122" s="271"/>
      <c r="J1122" s="4"/>
    </row>
    <row r="1123" spans="1:10" ht="14.25" customHeight="1" x14ac:dyDescent="0.3">
      <c r="A1123" s="272">
        <v>45580</v>
      </c>
      <c r="B1123" s="4">
        <v>25057.35</v>
      </c>
      <c r="C1123" s="272">
        <v>45580</v>
      </c>
      <c r="D1123" s="4">
        <v>6356.48</v>
      </c>
      <c r="E1123" s="271"/>
      <c r="F1123" s="271"/>
      <c r="G1123" s="273">
        <f>(B1123-B1122)/B1122</f>
        <v>-2.8096203629823435E-3</v>
      </c>
      <c r="H1123" s="4">
        <f t="shared" si="17"/>
        <v>1.8993037987651013E-3</v>
      </c>
      <c r="I1123" s="271"/>
      <c r="J1123" s="4"/>
    </row>
    <row r="1124" spans="1:10" ht="14.25" customHeight="1" x14ac:dyDescent="0.3">
      <c r="A1124" s="272">
        <v>45581</v>
      </c>
      <c r="B1124" s="4">
        <v>24971.3</v>
      </c>
      <c r="C1124" s="272">
        <v>45581</v>
      </c>
      <c r="D1124" s="4">
        <v>6256.67</v>
      </c>
      <c r="E1124" s="271"/>
      <c r="F1124" s="271"/>
      <c r="G1124" s="273">
        <f>(B1124-B1123)/B1123</f>
        <v>-3.4341221238478642E-3</v>
      </c>
      <c r="H1124" s="4">
        <f t="shared" si="17"/>
        <v>-1.5702086689488443E-2</v>
      </c>
      <c r="I1124" s="271"/>
      <c r="J1124" s="4"/>
    </row>
    <row r="1125" spans="1:10" ht="14.25" customHeight="1" x14ac:dyDescent="0.3">
      <c r="A1125" s="272">
        <v>45582</v>
      </c>
      <c r="B1125" s="4">
        <v>24749.85</v>
      </c>
      <c r="C1125" s="272">
        <v>45582</v>
      </c>
      <c r="D1125" s="4">
        <v>6291.2</v>
      </c>
      <c r="E1125" s="271"/>
      <c r="F1125" s="271"/>
      <c r="G1125" s="273">
        <f>(B1125-B1124)/B1124</f>
        <v>-8.8681806714108087E-3</v>
      </c>
      <c r="H1125" s="4">
        <f t="shared" si="17"/>
        <v>5.518910219014227E-3</v>
      </c>
      <c r="I1125" s="271"/>
      <c r="J1125" s="4"/>
    </row>
    <row r="1126" spans="1:10" ht="14.25" customHeight="1" x14ac:dyDescent="0.3">
      <c r="A1126" s="272">
        <v>45583</v>
      </c>
      <c r="B1126" s="4">
        <v>24854.05</v>
      </c>
      <c r="C1126" s="272">
        <v>45583</v>
      </c>
      <c r="D1126" s="4">
        <v>5894.95</v>
      </c>
      <c r="E1126" s="271"/>
      <c r="F1126" s="271"/>
      <c r="G1126" s="273">
        <f>(B1126-B1125)/B1125</f>
        <v>4.2101265260193789E-3</v>
      </c>
      <c r="H1126" s="4">
        <f t="shared" si="17"/>
        <v>-6.2984804170905392E-2</v>
      </c>
      <c r="I1126" s="271"/>
      <c r="J1126" s="4"/>
    </row>
    <row r="1127" spans="1:10" ht="14.25" customHeight="1" x14ac:dyDescent="0.3">
      <c r="A1127" s="272">
        <v>45586</v>
      </c>
      <c r="B1127" s="4">
        <v>24781.1</v>
      </c>
      <c r="C1127" s="272">
        <v>45586</v>
      </c>
      <c r="D1127" s="4">
        <v>5847.14</v>
      </c>
      <c r="E1127" s="271"/>
      <c r="F1127" s="271"/>
      <c r="G1127" s="273">
        <f>(B1127-B1126)/B1126</f>
        <v>-2.9351353199981787E-3</v>
      </c>
      <c r="H1127" s="4">
        <f t="shared" si="17"/>
        <v>-8.1103317246116573E-3</v>
      </c>
      <c r="I1127" s="271"/>
      <c r="J1127" s="4"/>
    </row>
    <row r="1128" spans="1:10" ht="14.25" customHeight="1" x14ac:dyDescent="0.3">
      <c r="A1128" s="272">
        <v>45587</v>
      </c>
      <c r="B1128" s="4">
        <v>24472.1</v>
      </c>
      <c r="C1128" s="272">
        <v>45587</v>
      </c>
      <c r="D1128" s="4">
        <v>5781.76</v>
      </c>
      <c r="E1128" s="271"/>
      <c r="F1128" s="271"/>
      <c r="G1128" s="273">
        <f>(B1128-B1127)/B1127</f>
        <v>-1.2469180141317376E-2</v>
      </c>
      <c r="H1128" s="4">
        <f t="shared" si="17"/>
        <v>-1.1181534904243803E-2</v>
      </c>
      <c r="I1128" s="271"/>
      <c r="J1128" s="4"/>
    </row>
    <row r="1129" spans="1:10" ht="14.25" customHeight="1" x14ac:dyDescent="0.3">
      <c r="A1129" s="272">
        <v>45588</v>
      </c>
      <c r="B1129" s="4">
        <v>24435.5</v>
      </c>
      <c r="C1129" s="272">
        <v>45588</v>
      </c>
      <c r="D1129" s="4">
        <v>5839.22</v>
      </c>
      <c r="E1129" s="271"/>
      <c r="F1129" s="271"/>
      <c r="G1129" s="273">
        <f>(B1129-B1128)/B1128</f>
        <v>-1.4955806816741737E-3</v>
      </c>
      <c r="H1129" s="4">
        <f t="shared" si="17"/>
        <v>9.938150321009526E-3</v>
      </c>
      <c r="I1129" s="271"/>
      <c r="J1129" s="4"/>
    </row>
    <row r="1130" spans="1:10" ht="14.25" customHeight="1" x14ac:dyDescent="0.3">
      <c r="A1130" s="272">
        <v>45589</v>
      </c>
      <c r="B1130" s="4">
        <v>24399.4</v>
      </c>
      <c r="C1130" s="272">
        <v>45589</v>
      </c>
      <c r="D1130" s="4">
        <v>5873.95</v>
      </c>
      <c r="E1130" s="271"/>
      <c r="F1130" s="271"/>
      <c r="G1130" s="273">
        <f>(B1130-B1129)/B1129</f>
        <v>-1.4773587608192403E-3</v>
      </c>
      <c r="H1130" s="4">
        <f t="shared" si="17"/>
        <v>5.9477121944368529E-3</v>
      </c>
      <c r="I1130" s="271"/>
      <c r="J1130" s="4"/>
    </row>
    <row r="1131" spans="1:10" ht="14.25" customHeight="1" x14ac:dyDescent="0.3">
      <c r="A1131" s="272">
        <v>45590</v>
      </c>
      <c r="B1131" s="4">
        <v>24180.799999999999</v>
      </c>
      <c r="C1131" s="272">
        <v>45590</v>
      </c>
      <c r="D1131" s="4">
        <v>5827.4</v>
      </c>
      <c r="E1131" s="271"/>
      <c r="F1131" s="271"/>
      <c r="G1131" s="273">
        <f>(B1131-B1130)/B1130</f>
        <v>-8.9592367025419541E-3</v>
      </c>
      <c r="H1131" s="4">
        <f t="shared" si="17"/>
        <v>-7.9248206062360396E-3</v>
      </c>
      <c r="I1131" s="271"/>
      <c r="J1131" s="4"/>
    </row>
    <row r="1132" spans="1:10" ht="14.25" customHeight="1" x14ac:dyDescent="0.3">
      <c r="A1132" s="272">
        <v>45593</v>
      </c>
      <c r="B1132" s="4">
        <v>24339.15</v>
      </c>
      <c r="C1132" s="272">
        <v>45593</v>
      </c>
      <c r="D1132" s="4">
        <v>5814.17</v>
      </c>
      <c r="E1132" s="271"/>
      <c r="F1132" s="271"/>
      <c r="G1132" s="273">
        <f>(B1132-B1131)/B1131</f>
        <v>6.5485840005294364E-3</v>
      </c>
      <c r="H1132" s="4">
        <f t="shared" si="17"/>
        <v>-2.2703092288155207E-3</v>
      </c>
      <c r="I1132" s="271"/>
      <c r="J1132" s="4"/>
    </row>
    <row r="1133" spans="1:10" ht="14.25" customHeight="1" x14ac:dyDescent="0.3">
      <c r="A1133" s="272">
        <v>45594</v>
      </c>
      <c r="B1133" s="4">
        <v>24466.85</v>
      </c>
      <c r="C1133" s="272">
        <v>45594</v>
      </c>
      <c r="D1133" s="4">
        <v>5777.11</v>
      </c>
      <c r="E1133" s="271"/>
      <c r="F1133" s="271"/>
      <c r="G1133" s="273">
        <f>(B1133-B1132)/B1132</f>
        <v>5.2466910307055539E-3</v>
      </c>
      <c r="H1133" s="4">
        <f t="shared" si="17"/>
        <v>-6.3740826291629584E-3</v>
      </c>
      <c r="I1133" s="271"/>
      <c r="J1133" s="4"/>
    </row>
    <row r="1134" spans="1:10" ht="14.25" customHeight="1" x14ac:dyDescent="0.3">
      <c r="A1134" s="272">
        <v>45595</v>
      </c>
      <c r="B1134" s="4">
        <v>24340.85</v>
      </c>
      <c r="C1134" s="272">
        <v>45595</v>
      </c>
      <c r="D1134" s="4">
        <v>5720.74</v>
      </c>
      <c r="E1134" s="271"/>
      <c r="F1134" s="271"/>
      <c r="G1134" s="273">
        <f>(B1134-B1133)/B1133</f>
        <v>-5.1498251716097501E-3</v>
      </c>
      <c r="H1134" s="4">
        <f t="shared" si="17"/>
        <v>-9.7574738926556517E-3</v>
      </c>
      <c r="I1134" s="271"/>
      <c r="J1134" s="4"/>
    </row>
    <row r="1135" spans="1:10" ht="14.25" customHeight="1" x14ac:dyDescent="0.3">
      <c r="A1135" s="272">
        <v>45596</v>
      </c>
      <c r="B1135" s="4">
        <v>24205.35</v>
      </c>
      <c r="C1135" s="272">
        <v>45596</v>
      </c>
      <c r="D1135" s="4">
        <v>5637.52</v>
      </c>
      <c r="E1135" s="271"/>
      <c r="F1135" s="271"/>
      <c r="G1135" s="273">
        <f>(B1135-B1134)/B1134</f>
        <v>-5.5667735514577351E-3</v>
      </c>
      <c r="H1135" s="4">
        <f t="shared" si="17"/>
        <v>-1.4547069085467851E-2</v>
      </c>
      <c r="I1135" s="271"/>
      <c r="J1135" s="4"/>
    </row>
    <row r="1136" spans="1:10" ht="14.25" customHeight="1" x14ac:dyDescent="0.3">
      <c r="A1136" s="272">
        <v>45597</v>
      </c>
      <c r="B1136" s="4">
        <v>24304.35</v>
      </c>
      <c r="C1136" s="272">
        <v>45597</v>
      </c>
      <c r="D1136" s="4">
        <v>5658.01</v>
      </c>
      <c r="E1136" s="271"/>
      <c r="F1136" s="271"/>
      <c r="G1136" s="273">
        <f>(B1136-B1135)/B1135</f>
        <v>4.0900048956119209E-3</v>
      </c>
      <c r="H1136" s="4">
        <f t="shared" si="17"/>
        <v>3.6345769061572786E-3</v>
      </c>
      <c r="I1136" s="271"/>
      <c r="J1136" s="4"/>
    </row>
    <row r="1137" spans="1:10" ht="14.25" customHeight="1" x14ac:dyDescent="0.3">
      <c r="A1137" s="272">
        <v>45600</v>
      </c>
      <c r="B1137" s="4">
        <v>23995.35</v>
      </c>
      <c r="C1137" s="272">
        <v>45600</v>
      </c>
      <c r="D1137" s="4">
        <v>5663.48</v>
      </c>
      <c r="E1137" s="271"/>
      <c r="F1137" s="271"/>
      <c r="G1137" s="273">
        <f>(B1137-B1136)/B1136</f>
        <v>-1.2713773460306488E-2</v>
      </c>
      <c r="H1137" s="4">
        <f t="shared" si="17"/>
        <v>9.6677100252550721E-4</v>
      </c>
      <c r="I1137" s="271"/>
      <c r="J1137" s="4"/>
    </row>
    <row r="1138" spans="1:10" ht="14.25" customHeight="1" x14ac:dyDescent="0.3">
      <c r="A1138" s="272">
        <v>45601</v>
      </c>
      <c r="B1138" s="4">
        <v>24213.3</v>
      </c>
      <c r="C1138" s="272">
        <v>45601</v>
      </c>
      <c r="D1138" s="4">
        <v>5646.41</v>
      </c>
      <c r="E1138" s="271"/>
      <c r="F1138" s="271"/>
      <c r="G1138" s="273">
        <f>(B1138-B1137)/B1137</f>
        <v>9.0830098331552041E-3</v>
      </c>
      <c r="H1138" s="4">
        <f t="shared" si="17"/>
        <v>-3.0140478998777623E-3</v>
      </c>
      <c r="I1138" s="271"/>
      <c r="J1138" s="4"/>
    </row>
    <row r="1139" spans="1:10" ht="14.25" customHeight="1" x14ac:dyDescent="0.3">
      <c r="A1139" s="272">
        <v>45602</v>
      </c>
      <c r="B1139" s="4">
        <v>24484.05</v>
      </c>
      <c r="C1139" s="272">
        <v>45602</v>
      </c>
      <c r="D1139" s="4">
        <v>5913.24</v>
      </c>
      <c r="E1139" s="271"/>
      <c r="F1139" s="271"/>
      <c r="G1139" s="273">
        <f>(B1139-B1138)/B1138</f>
        <v>1.1181871120417292E-2</v>
      </c>
      <c r="H1139" s="4">
        <f t="shared" si="17"/>
        <v>4.7256575416946334E-2</v>
      </c>
      <c r="I1139" s="271"/>
      <c r="J1139" s="4"/>
    </row>
    <row r="1140" spans="1:10" ht="14.25" customHeight="1" x14ac:dyDescent="0.3">
      <c r="A1140" s="272">
        <v>45603</v>
      </c>
      <c r="B1140" s="4">
        <v>24199.35</v>
      </c>
      <c r="C1140" s="272">
        <v>45603</v>
      </c>
      <c r="D1140" s="4">
        <v>5810.42</v>
      </c>
      <c r="E1140" s="271"/>
      <c r="F1140" s="271"/>
      <c r="G1140" s="273">
        <f>(B1140-B1139)/B1139</f>
        <v>-1.162797821438858E-2</v>
      </c>
      <c r="H1140" s="4">
        <f t="shared" si="17"/>
        <v>-1.7388098572018E-2</v>
      </c>
      <c r="I1140" s="271"/>
      <c r="J1140" s="4"/>
    </row>
    <row r="1141" spans="1:10" ht="14.25" customHeight="1" x14ac:dyDescent="0.3">
      <c r="A1141" s="272">
        <v>45604</v>
      </c>
      <c r="B1141" s="4">
        <v>24148.2</v>
      </c>
      <c r="C1141" s="272">
        <v>45604</v>
      </c>
      <c r="D1141" s="4">
        <v>5850.85</v>
      </c>
      <c r="E1141" s="271"/>
      <c r="F1141" s="271"/>
      <c r="G1141" s="273">
        <f>(B1141-B1140)/B1140</f>
        <v>-2.1136931363858044E-3</v>
      </c>
      <c r="H1141" s="4">
        <f t="shared" si="17"/>
        <v>6.9581889088913178E-3</v>
      </c>
      <c r="I1141" s="271"/>
      <c r="J1141" s="4"/>
    </row>
    <row r="1142" spans="1:10" ht="14.25" customHeight="1" x14ac:dyDescent="0.3">
      <c r="A1142" s="272">
        <v>45607</v>
      </c>
      <c r="B1142" s="4">
        <v>24141.3</v>
      </c>
      <c r="C1142" s="272">
        <v>45607</v>
      </c>
      <c r="D1142" s="4">
        <v>5897.89</v>
      </c>
      <c r="E1142" s="271"/>
      <c r="F1142" s="271"/>
      <c r="G1142" s="273">
        <f>(B1142-B1141)/B1141</f>
        <v>-2.8573558277641628E-4</v>
      </c>
      <c r="H1142" s="4">
        <f t="shared" si="17"/>
        <v>8.0398574566088628E-3</v>
      </c>
      <c r="I1142" s="271"/>
      <c r="J1142" s="4"/>
    </row>
    <row r="1143" spans="1:10" ht="14.25" customHeight="1" x14ac:dyDescent="0.3">
      <c r="A1143" s="272">
        <v>45608</v>
      </c>
      <c r="B1143" s="4">
        <v>23883.45</v>
      </c>
      <c r="C1143" s="272">
        <v>45608</v>
      </c>
      <c r="D1143" s="4">
        <v>5927.94</v>
      </c>
      <c r="E1143" s="271"/>
      <c r="F1143" s="271"/>
      <c r="G1143" s="273">
        <f>(B1143-B1142)/B1142</f>
        <v>-1.0680866399075383E-2</v>
      </c>
      <c r="H1143" s="4">
        <f t="shared" si="17"/>
        <v>5.0950424643388175E-3</v>
      </c>
      <c r="I1143" s="271"/>
      <c r="J1143" s="4"/>
    </row>
    <row r="1144" spans="1:10" ht="14.25" customHeight="1" x14ac:dyDescent="0.3">
      <c r="A1144" s="272">
        <v>45609</v>
      </c>
      <c r="B1144" s="4">
        <v>23559.05</v>
      </c>
      <c r="C1144" s="272">
        <v>45609</v>
      </c>
      <c r="D1144" s="4">
        <v>5871.18</v>
      </c>
      <c r="E1144" s="271"/>
      <c r="F1144" s="271"/>
      <c r="G1144" s="273">
        <f>(B1144-B1143)/B1143</f>
        <v>-1.3582627300494754E-2</v>
      </c>
      <c r="H1144" s="4">
        <f t="shared" si="17"/>
        <v>-9.5749956983369119E-3</v>
      </c>
      <c r="I1144" s="271"/>
      <c r="J1144" s="4"/>
    </row>
    <row r="1145" spans="1:10" ht="14.25" customHeight="1" x14ac:dyDescent="0.3">
      <c r="A1145" s="272">
        <v>45610</v>
      </c>
      <c r="B1145" s="4">
        <v>23532.7</v>
      </c>
      <c r="C1145" s="272">
        <v>45610</v>
      </c>
      <c r="D1145" s="4">
        <v>5917.68</v>
      </c>
      <c r="E1145" s="271"/>
      <c r="F1145" s="271"/>
      <c r="G1145" s="273">
        <f>(B1145-B1144)/B1144</f>
        <v>-1.118466152073133E-3</v>
      </c>
      <c r="H1145" s="4">
        <f t="shared" si="17"/>
        <v>7.9200433303015742E-3</v>
      </c>
      <c r="I1145" s="271"/>
      <c r="J1145" s="4"/>
    </row>
    <row r="1146" spans="1:10" ht="14.25" customHeight="1" x14ac:dyDescent="0.3">
      <c r="A1146" s="272">
        <v>45614</v>
      </c>
      <c r="B1146" s="4">
        <v>23453.8</v>
      </c>
      <c r="C1146" s="272">
        <v>45614</v>
      </c>
      <c r="D1146" s="4">
        <v>5766.49</v>
      </c>
      <c r="E1146" s="271"/>
      <c r="F1146" s="271"/>
      <c r="G1146" s="273">
        <f>(B1146-B1145)/B1145</f>
        <v>-3.3527814487925929E-3</v>
      </c>
      <c r="H1146" s="4">
        <f t="shared" si="17"/>
        <v>-2.5548863743899721E-2</v>
      </c>
      <c r="I1146" s="271"/>
      <c r="J1146" s="4"/>
    </row>
    <row r="1147" spans="1:10" ht="14.25" customHeight="1" x14ac:dyDescent="0.3">
      <c r="A1147" s="272">
        <v>45615</v>
      </c>
      <c r="B1147" s="4">
        <v>23518.5</v>
      </c>
      <c r="C1147" s="272">
        <v>45615</v>
      </c>
      <c r="D1147" s="4">
        <v>5810.37</v>
      </c>
      <c r="E1147" s="271"/>
      <c r="F1147" s="271"/>
      <c r="G1147" s="273">
        <f>(B1147-B1146)/B1146</f>
        <v>2.7586148086877491E-3</v>
      </c>
      <c r="H1147" s="4">
        <f t="shared" si="17"/>
        <v>7.6094816777624013E-3</v>
      </c>
      <c r="I1147" s="271"/>
      <c r="J1147" s="4"/>
    </row>
    <row r="1148" spans="1:10" ht="14.25" customHeight="1" x14ac:dyDescent="0.3">
      <c r="A1148" s="272">
        <v>45617</v>
      </c>
      <c r="B1148" s="4">
        <v>23349.9</v>
      </c>
      <c r="C1148" s="272">
        <v>45617</v>
      </c>
      <c r="D1148" s="4">
        <v>5854.9</v>
      </c>
      <c r="E1148" s="271"/>
      <c r="F1148" s="271"/>
      <c r="G1148" s="273">
        <f>(B1148-B1147)/B1147</f>
        <v>-7.1688245423814677E-3</v>
      </c>
      <c r="H1148" s="4">
        <f t="shared" si="17"/>
        <v>7.6638837113642928E-3</v>
      </c>
      <c r="I1148" s="271"/>
      <c r="J1148" s="4"/>
    </row>
    <row r="1149" spans="1:10" ht="14.25" customHeight="1" x14ac:dyDescent="0.3">
      <c r="A1149" s="272">
        <v>45618</v>
      </c>
      <c r="B1149" s="4">
        <v>23907.25</v>
      </c>
      <c r="C1149" s="272">
        <v>45618</v>
      </c>
      <c r="D1149" s="4">
        <v>6054.94</v>
      </c>
      <c r="E1149" s="271"/>
      <c r="F1149" s="271"/>
      <c r="G1149" s="273">
        <f>(B1149-B1148)/B1148</f>
        <v>2.3869481239748285E-2</v>
      </c>
      <c r="H1149" s="4">
        <f t="shared" si="17"/>
        <v>3.4166253906983891E-2</v>
      </c>
      <c r="I1149" s="271"/>
      <c r="J1149" s="4"/>
    </row>
    <row r="1150" spans="1:10" ht="14.25" customHeight="1" x14ac:dyDescent="0.3">
      <c r="A1150" s="272">
        <v>45621</v>
      </c>
      <c r="B1150" s="4">
        <v>24221.9</v>
      </c>
      <c r="C1150" s="272">
        <v>45621</v>
      </c>
      <c r="D1150" s="4">
        <v>6036.73</v>
      </c>
      <c r="E1150" s="271"/>
      <c r="F1150" s="271"/>
      <c r="G1150" s="273">
        <f>(B1150-B1149)/B1149</f>
        <v>1.316127952817666E-2</v>
      </c>
      <c r="H1150" s="4">
        <f t="shared" si="17"/>
        <v>-3.0074616759208244E-3</v>
      </c>
      <c r="I1150" s="271"/>
      <c r="J1150" s="4"/>
    </row>
    <row r="1151" spans="1:10" ht="14.25" customHeight="1" x14ac:dyDescent="0.3">
      <c r="A1151" s="272">
        <v>45622</v>
      </c>
      <c r="B1151" s="4">
        <v>24194.5</v>
      </c>
      <c r="C1151" s="272">
        <v>45622</v>
      </c>
      <c r="D1151" s="4">
        <v>6147.19</v>
      </c>
      <c r="E1151" s="271"/>
      <c r="F1151" s="271"/>
      <c r="G1151" s="273">
        <f>(B1151-B1150)/B1150</f>
        <v>-1.1312077087264605E-3</v>
      </c>
      <c r="H1151" s="4">
        <f t="shared" si="17"/>
        <v>1.8297985830076888E-2</v>
      </c>
      <c r="I1151" s="271"/>
      <c r="J1151" s="4"/>
    </row>
    <row r="1152" spans="1:10" ht="14.25" customHeight="1" x14ac:dyDescent="0.3">
      <c r="A1152" s="272">
        <v>45623</v>
      </c>
      <c r="B1152" s="4">
        <v>24274.9</v>
      </c>
      <c r="C1152" s="272">
        <v>45623</v>
      </c>
      <c r="D1152" s="4">
        <v>6181.3</v>
      </c>
      <c r="E1152" s="271"/>
      <c r="F1152" s="271"/>
      <c r="G1152" s="273">
        <f>(B1152-B1151)/B1151</f>
        <v>3.3230692926078842E-3</v>
      </c>
      <c r="H1152" s="4">
        <f t="shared" si="17"/>
        <v>5.5488768038730839E-3</v>
      </c>
      <c r="I1152" s="271"/>
      <c r="J1152" s="4"/>
    </row>
    <row r="1153" spans="1:10" ht="14.25" customHeight="1" x14ac:dyDescent="0.3">
      <c r="A1153" s="272">
        <v>45624</v>
      </c>
      <c r="B1153" s="4">
        <v>23914.15</v>
      </c>
      <c r="C1153" s="272">
        <v>45624</v>
      </c>
      <c r="D1153" s="4">
        <v>6080.66</v>
      </c>
      <c r="E1153" s="271"/>
      <c r="F1153" s="271"/>
      <c r="G1153" s="273">
        <f>(B1153-B1152)/B1152</f>
        <v>-1.4861029293632517E-2</v>
      </c>
      <c r="H1153" s="4">
        <f t="shared" si="17"/>
        <v>-1.6281364761457997E-2</v>
      </c>
      <c r="I1153" s="271"/>
      <c r="J1153" s="4"/>
    </row>
    <row r="1154" spans="1:10" ht="14.25" customHeight="1" x14ac:dyDescent="0.3">
      <c r="A1154" s="272">
        <v>45625</v>
      </c>
      <c r="B1154" s="4">
        <v>24131.1</v>
      </c>
      <c r="C1154" s="272">
        <v>45625</v>
      </c>
      <c r="D1154" s="4">
        <v>6093.15</v>
      </c>
      <c r="E1154" s="271"/>
      <c r="F1154" s="271"/>
      <c r="G1154" s="273">
        <f>(B1154-B1153)/B1153</f>
        <v>9.072034757664273E-3</v>
      </c>
      <c r="H1154" s="4">
        <f t="shared" si="17"/>
        <v>2.0540533428936632E-3</v>
      </c>
      <c r="I1154" s="271"/>
      <c r="J1154" s="4"/>
    </row>
    <row r="1155" spans="1:10" ht="14.25" customHeight="1" x14ac:dyDescent="0.3">
      <c r="A1155" s="272">
        <v>45628</v>
      </c>
      <c r="B1155" s="4">
        <v>24276.05</v>
      </c>
      <c r="C1155" s="272">
        <v>45628</v>
      </c>
      <c r="D1155" s="4">
        <v>6133.57</v>
      </c>
      <c r="E1155" s="271"/>
      <c r="F1155" s="271"/>
      <c r="G1155" s="273">
        <f>(B1155-B1154)/B1154</f>
        <v>6.0067713448620549E-3</v>
      </c>
      <c r="H1155" s="4">
        <f t="shared" ref="H1155:H1218" si="18">(D1155-D1154)/D1154</f>
        <v>6.6336788032462807E-3</v>
      </c>
      <c r="I1155" s="271"/>
      <c r="J1155" s="4"/>
    </row>
    <row r="1156" spans="1:10" ht="14.25" customHeight="1" x14ac:dyDescent="0.3">
      <c r="A1156" s="272">
        <v>45629</v>
      </c>
      <c r="B1156" s="4">
        <v>24457.15</v>
      </c>
      <c r="C1156" s="272">
        <v>45629</v>
      </c>
      <c r="D1156" s="4">
        <v>6087.82</v>
      </c>
      <c r="E1156" s="271"/>
      <c r="F1156" s="271"/>
      <c r="G1156" s="273">
        <f>(B1156-B1155)/B1155</f>
        <v>7.4600274756396606E-3</v>
      </c>
      <c r="H1156" s="4">
        <f t="shared" si="18"/>
        <v>-7.4589513122048012E-3</v>
      </c>
      <c r="I1156" s="271"/>
      <c r="J1156" s="4"/>
    </row>
    <row r="1157" spans="1:10" ht="14.25" customHeight="1" x14ac:dyDescent="0.3">
      <c r="A1157" s="272">
        <v>45630</v>
      </c>
      <c r="B1157" s="4">
        <v>24467.45</v>
      </c>
      <c r="C1157" s="272">
        <v>45630</v>
      </c>
      <c r="D1157" s="4">
        <v>6141.62</v>
      </c>
      <c r="E1157" s="271"/>
      <c r="F1157" s="271"/>
      <c r="G1157" s="273">
        <f>(B1157-B1156)/B1156</f>
        <v>4.2114473681517558E-4</v>
      </c>
      <c r="H1157" s="4">
        <f t="shared" si="18"/>
        <v>8.8373177919189774E-3</v>
      </c>
      <c r="I1157" s="271"/>
      <c r="J1157" s="4"/>
    </row>
    <row r="1158" spans="1:10" ht="14.25" customHeight="1" x14ac:dyDescent="0.3">
      <c r="A1158" s="272">
        <v>45631</v>
      </c>
      <c r="B1158" s="4">
        <v>24708.400000000001</v>
      </c>
      <c r="C1158" s="272">
        <v>45631</v>
      </c>
      <c r="D1158" s="4">
        <v>6265.65</v>
      </c>
      <c r="E1158" s="271"/>
      <c r="F1158" s="271"/>
      <c r="G1158" s="273">
        <f>(B1158-B1157)/B1157</f>
        <v>9.8477773531774147E-3</v>
      </c>
      <c r="H1158" s="4">
        <f t="shared" si="18"/>
        <v>2.0194997411106475E-2</v>
      </c>
      <c r="I1158" s="271"/>
      <c r="J1158" s="4"/>
    </row>
    <row r="1159" spans="1:10" ht="14.25" customHeight="1" x14ac:dyDescent="0.3">
      <c r="A1159" s="272">
        <v>45632</v>
      </c>
      <c r="B1159" s="4">
        <v>24677.8</v>
      </c>
      <c r="C1159" s="272">
        <v>45632</v>
      </c>
      <c r="D1159" s="4">
        <v>6296.99</v>
      </c>
      <c r="E1159" s="271"/>
      <c r="F1159" s="271"/>
      <c r="G1159" s="273">
        <f>(B1159-B1158)/B1158</f>
        <v>-1.2384452251057204E-3</v>
      </c>
      <c r="H1159" s="4">
        <f t="shared" si="18"/>
        <v>5.0018753042382113E-3</v>
      </c>
      <c r="I1159" s="271"/>
      <c r="J1159" s="4"/>
    </row>
    <row r="1160" spans="1:10" ht="14.25" customHeight="1" x14ac:dyDescent="0.3">
      <c r="A1160" s="272">
        <v>45635</v>
      </c>
      <c r="B1160" s="4">
        <v>24619</v>
      </c>
      <c r="C1160" s="272">
        <v>45635</v>
      </c>
      <c r="D1160" s="4">
        <v>6307.01</v>
      </c>
      <c r="E1160" s="271"/>
      <c r="F1160" s="271"/>
      <c r="G1160" s="273">
        <f>(B1160-B1159)/B1159</f>
        <v>-2.3827083451522938E-3</v>
      </c>
      <c r="H1160" s="4">
        <f t="shared" si="18"/>
        <v>1.5912364478902518E-3</v>
      </c>
      <c r="I1160" s="271"/>
      <c r="J1160" s="4"/>
    </row>
    <row r="1161" spans="1:10" ht="14.25" customHeight="1" x14ac:dyDescent="0.3">
      <c r="A1161" s="272">
        <v>45636</v>
      </c>
      <c r="B1161" s="4">
        <v>24610.05</v>
      </c>
      <c r="C1161" s="272">
        <v>45636</v>
      </c>
      <c r="D1161" s="4">
        <v>6494.82</v>
      </c>
      <c r="E1161" s="271"/>
      <c r="F1161" s="271"/>
      <c r="G1161" s="273">
        <f>(B1161-B1160)/B1160</f>
        <v>-3.6354035501038739E-4</v>
      </c>
      <c r="H1161" s="4">
        <f t="shared" si="18"/>
        <v>2.9777977203143721E-2</v>
      </c>
      <c r="I1161" s="271"/>
      <c r="J1161" s="4"/>
    </row>
    <row r="1162" spans="1:10" ht="14.25" customHeight="1" x14ac:dyDescent="0.3">
      <c r="A1162" s="272">
        <v>45637</v>
      </c>
      <c r="B1162" s="4">
        <v>24641.8</v>
      </c>
      <c r="C1162" s="272">
        <v>45637</v>
      </c>
      <c r="D1162" s="4">
        <v>6513.87</v>
      </c>
      <c r="E1162" s="271"/>
      <c r="F1162" s="271"/>
      <c r="G1162" s="273">
        <f>(B1162-B1161)/B1161</f>
        <v>1.29012334391844E-3</v>
      </c>
      <c r="H1162" s="4">
        <f t="shared" si="18"/>
        <v>2.9331066911785367E-3</v>
      </c>
      <c r="I1162" s="271"/>
      <c r="J1162" s="4"/>
    </row>
    <row r="1163" spans="1:10" ht="14.25" customHeight="1" x14ac:dyDescent="0.3">
      <c r="A1163" s="272">
        <v>45638</v>
      </c>
      <c r="B1163" s="4">
        <v>24548.7</v>
      </c>
      <c r="C1163" s="272">
        <v>45638</v>
      </c>
      <c r="D1163" s="4">
        <v>6582.04</v>
      </c>
      <c r="E1163" s="271"/>
      <c r="F1163" s="271"/>
      <c r="G1163" s="273">
        <f>(B1163-B1162)/B1162</f>
        <v>-3.77813309092674E-3</v>
      </c>
      <c r="H1163" s="4">
        <f t="shared" si="18"/>
        <v>1.0465360837720138E-2</v>
      </c>
      <c r="I1163" s="271"/>
      <c r="J1163" s="4"/>
    </row>
    <row r="1164" spans="1:10" ht="14.25" customHeight="1" x14ac:dyDescent="0.3">
      <c r="A1164" s="272">
        <v>45639</v>
      </c>
      <c r="B1164" s="4">
        <v>24768.3</v>
      </c>
      <c r="C1164" s="272">
        <v>45639</v>
      </c>
      <c r="D1164" s="4">
        <v>6628.24</v>
      </c>
      <c r="E1164" s="271"/>
      <c r="F1164" s="271"/>
      <c r="G1164" s="273">
        <f>(B1164-B1163)/B1163</f>
        <v>8.9454838749098136E-3</v>
      </c>
      <c r="H1164" s="4">
        <f t="shared" si="18"/>
        <v>7.0191004612551455E-3</v>
      </c>
      <c r="I1164" s="271"/>
      <c r="J1164" s="4"/>
    </row>
    <row r="1165" spans="1:10" ht="14.25" customHeight="1" x14ac:dyDescent="0.3">
      <c r="A1165" s="272">
        <v>45642</v>
      </c>
      <c r="B1165" s="4">
        <v>24668.25</v>
      </c>
      <c r="C1165" s="272">
        <v>45642</v>
      </c>
      <c r="D1165" s="4">
        <v>6651.93</v>
      </c>
      <c r="E1165" s="271"/>
      <c r="F1165" s="271"/>
      <c r="G1165" s="273">
        <f>(B1165-B1164)/B1164</f>
        <v>-4.0394375068131148E-3</v>
      </c>
      <c r="H1165" s="4">
        <f t="shared" si="18"/>
        <v>3.5741011188491229E-3</v>
      </c>
      <c r="I1165" s="271"/>
      <c r="J1165" s="4"/>
    </row>
    <row r="1166" spans="1:10" ht="14.25" customHeight="1" x14ac:dyDescent="0.3">
      <c r="A1166" s="272">
        <v>45643</v>
      </c>
      <c r="B1166" s="4">
        <v>24336</v>
      </c>
      <c r="C1166" s="272">
        <v>45643</v>
      </c>
      <c r="D1166" s="4">
        <v>6610.96</v>
      </c>
      <c r="E1166" s="271"/>
      <c r="F1166" s="271"/>
      <c r="G1166" s="273">
        <f>(B1166-B1165)/B1165</f>
        <v>-1.3468730047733423E-2</v>
      </c>
      <c r="H1166" s="4">
        <f t="shared" si="18"/>
        <v>-6.1591147230954406E-3</v>
      </c>
      <c r="I1166" s="271"/>
      <c r="J1166" s="4"/>
    </row>
    <row r="1167" spans="1:10" ht="14.25" customHeight="1" x14ac:dyDescent="0.3">
      <c r="A1167" s="272">
        <v>45644</v>
      </c>
      <c r="B1167" s="4">
        <v>24198.85</v>
      </c>
      <c r="C1167" s="272">
        <v>45644</v>
      </c>
      <c r="D1167" s="4">
        <v>6489.64</v>
      </c>
      <c r="E1167" s="271"/>
      <c r="F1167" s="271"/>
      <c r="G1167" s="273">
        <f>(B1167-B1166)/B1166</f>
        <v>-5.6356837606838205E-3</v>
      </c>
      <c r="H1167" s="4">
        <f t="shared" si="18"/>
        <v>-1.8351343829035374E-2</v>
      </c>
      <c r="I1167" s="271"/>
      <c r="J1167" s="4"/>
    </row>
    <row r="1168" spans="1:10" ht="14.25" customHeight="1" x14ac:dyDescent="0.3">
      <c r="A1168" s="272">
        <v>45645</v>
      </c>
      <c r="B1168" s="4">
        <v>23951.7</v>
      </c>
      <c r="C1168" s="272">
        <v>45645</v>
      </c>
      <c r="D1168" s="4">
        <v>6140.73</v>
      </c>
      <c r="E1168" s="271"/>
      <c r="F1168" s="271"/>
      <c r="G1168" s="273">
        <f>(B1168-B1167)/B1167</f>
        <v>-1.0213295259898624E-2</v>
      </c>
      <c r="H1168" s="4">
        <f t="shared" si="18"/>
        <v>-5.3764153327457417E-2</v>
      </c>
      <c r="I1168" s="271"/>
      <c r="J1168" s="4"/>
    </row>
    <row r="1169" spans="1:10" ht="14.25" customHeight="1" x14ac:dyDescent="0.3">
      <c r="A1169" s="272">
        <v>45646</v>
      </c>
      <c r="B1169" s="4">
        <v>23587.5</v>
      </c>
      <c r="C1169" s="272">
        <v>45646</v>
      </c>
      <c r="D1169" s="4">
        <v>5749.52</v>
      </c>
      <c r="E1169" s="271"/>
      <c r="F1169" s="271"/>
      <c r="G1169" s="273">
        <f>(B1169-B1168)/B1168</f>
        <v>-1.520560127256106E-2</v>
      </c>
      <c r="H1169" s="4">
        <f t="shared" si="18"/>
        <v>-6.3707409379666444E-2</v>
      </c>
      <c r="I1169" s="271"/>
      <c r="J1169" s="4"/>
    </row>
    <row r="1170" spans="1:10" ht="14.25" customHeight="1" x14ac:dyDescent="0.3">
      <c r="A1170" s="272">
        <v>45649</v>
      </c>
      <c r="B1170" s="4">
        <v>23753.45</v>
      </c>
      <c r="C1170" s="272">
        <v>45649</v>
      </c>
      <c r="D1170" s="4">
        <v>5656.87</v>
      </c>
      <c r="E1170" s="271"/>
      <c r="F1170" s="271"/>
      <c r="G1170" s="273">
        <f>(B1170-B1169)/B1169</f>
        <v>7.0355060943296547E-3</v>
      </c>
      <c r="H1170" s="4">
        <f t="shared" si="18"/>
        <v>-1.6114388679402895E-2</v>
      </c>
      <c r="I1170" s="271"/>
      <c r="J1170" s="4"/>
    </row>
    <row r="1171" spans="1:10" ht="14.25" customHeight="1" x14ac:dyDescent="0.3">
      <c r="A1171" s="272">
        <v>45650</v>
      </c>
      <c r="B1171" s="4">
        <v>23727.65</v>
      </c>
      <c r="C1171" s="272">
        <v>45650</v>
      </c>
      <c r="D1171" s="4">
        <v>5652.18</v>
      </c>
      <c r="E1171" s="271"/>
      <c r="F1171" s="271"/>
      <c r="G1171" s="273">
        <f>(B1171-B1170)/B1170</f>
        <v>-1.0861580107310422E-3</v>
      </c>
      <c r="H1171" s="4">
        <f t="shared" si="18"/>
        <v>-8.2908039251381068E-4</v>
      </c>
      <c r="I1171" s="271"/>
      <c r="J1171" s="4"/>
    </row>
    <row r="1172" spans="1:10" ht="14.25" customHeight="1" x14ac:dyDescent="0.3">
      <c r="A1172" s="272">
        <v>45652</v>
      </c>
      <c r="B1172" s="4">
        <v>23750.2</v>
      </c>
      <c r="C1172" s="272">
        <v>45652</v>
      </c>
      <c r="D1172" s="4">
        <v>5678.49</v>
      </c>
      <c r="E1172" s="271"/>
      <c r="F1172" s="271"/>
      <c r="G1172" s="273">
        <f>(B1172-B1171)/B1171</f>
        <v>9.5036803054660999E-4</v>
      </c>
      <c r="H1172" s="4">
        <f t="shared" si="18"/>
        <v>4.6548411409402194E-3</v>
      </c>
      <c r="I1172" s="271"/>
      <c r="J1172" s="4"/>
    </row>
    <row r="1173" spans="1:10" ht="14.25" customHeight="1" x14ac:dyDescent="0.3">
      <c r="A1173" s="272">
        <v>45653</v>
      </c>
      <c r="B1173" s="4">
        <v>23813.4</v>
      </c>
      <c r="C1173" s="272">
        <v>45653</v>
      </c>
      <c r="D1173" s="4">
        <v>5605.09</v>
      </c>
      <c r="E1173" s="271"/>
      <c r="F1173" s="271"/>
      <c r="G1173" s="273">
        <f>(B1173-B1172)/B1172</f>
        <v>2.6610302229034166E-3</v>
      </c>
      <c r="H1173" s="4">
        <f t="shared" si="18"/>
        <v>-1.2925971517075779E-2</v>
      </c>
      <c r="I1173" s="271"/>
      <c r="J1173" s="4"/>
    </row>
    <row r="1174" spans="1:10" ht="14.25" customHeight="1" x14ac:dyDescent="0.3">
      <c r="A1174" s="272">
        <v>45656</v>
      </c>
      <c r="B1174" s="4">
        <v>23644.9</v>
      </c>
      <c r="C1174" s="272">
        <v>45656</v>
      </c>
      <c r="D1174" s="4">
        <v>5571.04</v>
      </c>
      <c r="E1174" s="271"/>
      <c r="F1174" s="271"/>
      <c r="G1174" s="273">
        <f>(B1174-B1173)/B1173</f>
        <v>-7.0758480519371439E-3</v>
      </c>
      <c r="H1174" s="4">
        <f t="shared" si="18"/>
        <v>-6.0748355512579072E-3</v>
      </c>
      <c r="I1174" s="271"/>
      <c r="J1174" s="4"/>
    </row>
    <row r="1175" spans="1:10" ht="14.25" customHeight="1" x14ac:dyDescent="0.3">
      <c r="A1175" s="272">
        <v>45657</v>
      </c>
      <c r="B1175" s="4">
        <v>23644.799999999999</v>
      </c>
      <c r="C1175" s="272">
        <v>45657</v>
      </c>
      <c r="D1175" s="4">
        <v>5514.18</v>
      </c>
      <c r="E1175" s="271"/>
      <c r="F1175" s="271"/>
      <c r="G1175" s="273">
        <f>(B1175-B1174)/B1174</f>
        <v>-4.2292418239105594E-6</v>
      </c>
      <c r="H1175" s="4">
        <f t="shared" si="18"/>
        <v>-1.0206352853327147E-2</v>
      </c>
      <c r="I1175" s="271"/>
      <c r="J1175" s="4"/>
    </row>
    <row r="1176" spans="1:10" ht="14.25" customHeight="1" x14ac:dyDescent="0.3">
      <c r="A1176" s="272">
        <v>45658</v>
      </c>
      <c r="B1176" s="4">
        <v>23742.9</v>
      </c>
      <c r="C1176" s="272">
        <v>45658</v>
      </c>
      <c r="D1176" s="4">
        <v>5600.5</v>
      </c>
      <c r="E1176" s="271"/>
      <c r="F1176" s="271"/>
      <c r="G1176" s="273">
        <f>(B1176-B1175)/B1175</f>
        <v>4.1489037758831622E-3</v>
      </c>
      <c r="H1176" s="4">
        <f t="shared" si="18"/>
        <v>1.5654186116521352E-2</v>
      </c>
      <c r="I1176" s="271"/>
      <c r="J1176" s="4"/>
    </row>
    <row r="1177" spans="1:10" ht="14.25" customHeight="1" x14ac:dyDescent="0.3">
      <c r="A1177" s="272">
        <v>45659</v>
      </c>
      <c r="B1177" s="4">
        <v>24188.65</v>
      </c>
      <c r="C1177" s="272">
        <v>45659</v>
      </c>
      <c r="D1177" s="4">
        <v>5679.18</v>
      </c>
      <c r="E1177" s="271"/>
      <c r="F1177" s="271"/>
      <c r="G1177" s="273">
        <f>(B1177-B1176)/B1176</f>
        <v>1.8774033500541212E-2</v>
      </c>
      <c r="H1177" s="4">
        <f t="shared" si="18"/>
        <v>1.4048745647710078E-2</v>
      </c>
      <c r="I1177" s="271"/>
      <c r="J1177" s="4"/>
    </row>
    <row r="1178" spans="1:10" ht="14.25" customHeight="1" x14ac:dyDescent="0.3">
      <c r="A1178" s="272">
        <v>45660</v>
      </c>
      <c r="B1178" s="4">
        <v>24004.75</v>
      </c>
      <c r="C1178" s="272">
        <v>45660</v>
      </c>
      <c r="D1178" s="4">
        <v>5659.78</v>
      </c>
      <c r="E1178" s="271"/>
      <c r="F1178" s="271"/>
      <c r="G1178" s="273">
        <f>(B1178-B1177)/B1177</f>
        <v>-7.6027393012839265E-3</v>
      </c>
      <c r="H1178" s="4">
        <f t="shared" si="18"/>
        <v>-3.4159861106710025E-3</v>
      </c>
      <c r="I1178" s="271"/>
      <c r="J1178" s="4"/>
    </row>
    <row r="1179" spans="1:10" ht="14.25" customHeight="1" x14ac:dyDescent="0.3">
      <c r="A1179" s="272">
        <v>45663</v>
      </c>
      <c r="B1179" s="4">
        <v>23616.05</v>
      </c>
      <c r="C1179" s="272">
        <v>45663</v>
      </c>
      <c r="D1179" s="4">
        <v>5657.76</v>
      </c>
      <c r="E1179" s="271"/>
      <c r="F1179" s="271"/>
      <c r="G1179" s="273">
        <f>(B1179-B1178)/B1178</f>
        <v>-1.6192628542267707E-2</v>
      </c>
      <c r="H1179" s="4">
        <f t="shared" si="18"/>
        <v>-3.5690433197041709E-4</v>
      </c>
      <c r="I1179" s="271"/>
      <c r="J1179" s="4"/>
    </row>
    <row r="1180" spans="1:10" ht="14.25" customHeight="1" x14ac:dyDescent="0.3">
      <c r="A1180" s="272">
        <v>45664</v>
      </c>
      <c r="B1180" s="4">
        <v>23707.9</v>
      </c>
      <c r="C1180" s="272">
        <v>45664</v>
      </c>
      <c r="D1180" s="4">
        <v>5683.03</v>
      </c>
      <c r="E1180" s="271"/>
      <c r="F1180" s="271"/>
      <c r="G1180" s="273">
        <f>(B1180-B1179)/B1179</f>
        <v>3.889304096155038E-3</v>
      </c>
      <c r="H1180" s="4">
        <f t="shared" si="18"/>
        <v>4.4664319447978579E-3</v>
      </c>
      <c r="I1180" s="271"/>
      <c r="J1180" s="4"/>
    </row>
    <row r="1181" spans="1:10" ht="14.25" customHeight="1" x14ac:dyDescent="0.3">
      <c r="A1181" s="272">
        <v>45665</v>
      </c>
      <c r="B1181" s="4">
        <v>23688.95</v>
      </c>
      <c r="C1181" s="272">
        <v>45665</v>
      </c>
      <c r="D1181" s="4">
        <v>5806.33</v>
      </c>
      <c r="E1181" s="271"/>
      <c r="F1181" s="271"/>
      <c r="G1181" s="273">
        <f>(B1181-B1180)/B1180</f>
        <v>-7.9931162186447249E-4</v>
      </c>
      <c r="H1181" s="4">
        <f t="shared" si="18"/>
        <v>2.169617264029931E-2</v>
      </c>
      <c r="I1181" s="271"/>
      <c r="J1181" s="4"/>
    </row>
    <row r="1182" spans="1:10" ht="14.25" customHeight="1" x14ac:dyDescent="0.3">
      <c r="A1182" s="272">
        <v>45666</v>
      </c>
      <c r="B1182" s="4">
        <v>23526.5</v>
      </c>
      <c r="C1182" s="272">
        <v>45666</v>
      </c>
      <c r="D1182" s="4">
        <v>5765.71</v>
      </c>
      <c r="E1182" s="271"/>
      <c r="F1182" s="271"/>
      <c r="G1182" s="273">
        <f>(B1182-B1181)/B1181</f>
        <v>-6.8576277124988956E-3</v>
      </c>
      <c r="H1182" s="4">
        <f t="shared" si="18"/>
        <v>-6.9958131900873513E-3</v>
      </c>
      <c r="I1182" s="271"/>
      <c r="J1182" s="4"/>
    </row>
    <row r="1183" spans="1:10" ht="14.25" customHeight="1" x14ac:dyDescent="0.3">
      <c r="A1183" s="272">
        <v>45667</v>
      </c>
      <c r="B1183" s="4">
        <v>23431.5</v>
      </c>
      <c r="C1183" s="272">
        <v>45667</v>
      </c>
      <c r="D1183" s="4">
        <v>6045.76</v>
      </c>
      <c r="E1183" s="271"/>
      <c r="F1183" s="271"/>
      <c r="G1183" s="273">
        <f>(B1183-B1182)/B1182</f>
        <v>-4.0379997024631801E-3</v>
      </c>
      <c r="H1183" s="4">
        <f t="shared" si="18"/>
        <v>4.8571641653846649E-2</v>
      </c>
      <c r="I1183" s="271"/>
      <c r="J1183" s="4"/>
    </row>
    <row r="1184" spans="1:10" ht="14.25" customHeight="1" x14ac:dyDescent="0.3">
      <c r="A1184" s="272">
        <v>45670</v>
      </c>
      <c r="B1184" s="4">
        <v>23085.95</v>
      </c>
      <c r="C1184" s="272">
        <v>45670</v>
      </c>
      <c r="D1184" s="4">
        <v>5953.31</v>
      </c>
      <c r="E1184" s="271"/>
      <c r="F1184" s="271"/>
      <c r="G1184" s="273">
        <f>(B1184-B1183)/B1183</f>
        <v>-1.4747241960608552E-2</v>
      </c>
      <c r="H1184" s="4">
        <f t="shared" si="18"/>
        <v>-1.5291708569311354E-2</v>
      </c>
      <c r="I1184" s="271"/>
      <c r="J1184" s="4"/>
    </row>
    <row r="1185" spans="1:10" ht="14.25" customHeight="1" x14ac:dyDescent="0.3">
      <c r="A1185" s="272">
        <v>45671</v>
      </c>
      <c r="B1185" s="4">
        <v>23176.05</v>
      </c>
      <c r="C1185" s="272">
        <v>45671</v>
      </c>
      <c r="D1185" s="4">
        <v>5678.05</v>
      </c>
      <c r="E1185" s="271"/>
      <c r="F1185" s="271"/>
      <c r="G1185" s="273">
        <f>(B1185-B1184)/B1184</f>
        <v>3.9028066854514777E-3</v>
      </c>
      <c r="H1185" s="4">
        <f t="shared" si="18"/>
        <v>-4.6236463412790564E-2</v>
      </c>
      <c r="I1185" s="271"/>
      <c r="J1185" s="4"/>
    </row>
    <row r="1186" spans="1:10" ht="14.25" customHeight="1" x14ac:dyDescent="0.3">
      <c r="A1186" s="272">
        <v>45672</v>
      </c>
      <c r="B1186" s="4">
        <v>23213.200000000001</v>
      </c>
      <c r="C1186" s="272">
        <v>45672</v>
      </c>
      <c r="D1186" s="4">
        <v>5762.6</v>
      </c>
      <c r="E1186" s="271"/>
      <c r="F1186" s="271"/>
      <c r="G1186" s="273">
        <f>(B1186-B1185)/B1185</f>
        <v>1.6029478707545702E-3</v>
      </c>
      <c r="H1186" s="4">
        <f t="shared" si="18"/>
        <v>1.4890675495988971E-2</v>
      </c>
      <c r="I1186" s="271"/>
      <c r="J1186" s="4"/>
    </row>
    <row r="1187" spans="1:10" ht="14.25" customHeight="1" x14ac:dyDescent="0.3">
      <c r="A1187" s="272">
        <v>45673</v>
      </c>
      <c r="B1187" s="4">
        <v>23311.8</v>
      </c>
      <c r="C1187" s="272">
        <v>45673</v>
      </c>
      <c r="D1187" s="4">
        <v>5902.03</v>
      </c>
      <c r="E1187" s="271"/>
      <c r="F1187" s="271"/>
      <c r="G1187" s="273">
        <f>(B1187-B1186)/B1186</f>
        <v>4.2475832715867931E-3</v>
      </c>
      <c r="H1187" s="4">
        <f t="shared" si="18"/>
        <v>2.4195675563113764E-2</v>
      </c>
      <c r="I1187" s="271"/>
      <c r="J1187" s="4"/>
    </row>
    <row r="1188" spans="1:10" ht="14.25" customHeight="1" x14ac:dyDescent="0.3">
      <c r="A1188" s="272">
        <v>45674</v>
      </c>
      <c r="B1188" s="4">
        <v>23203.200000000001</v>
      </c>
      <c r="C1188" s="272">
        <v>45674</v>
      </c>
      <c r="D1188" s="4">
        <v>5814.67</v>
      </c>
      <c r="E1188" s="271"/>
      <c r="F1188" s="271"/>
      <c r="G1188" s="273">
        <f>(B1188-B1187)/B1187</f>
        <v>-4.6585849226571325E-3</v>
      </c>
      <c r="H1188" s="4">
        <f t="shared" si="18"/>
        <v>-1.4801686877226933E-2</v>
      </c>
      <c r="I1188" s="271"/>
      <c r="J1188" s="4"/>
    </row>
    <row r="1189" spans="1:10" ht="14.25" customHeight="1" x14ac:dyDescent="0.3">
      <c r="A1189" s="272">
        <v>45677</v>
      </c>
      <c r="B1189" s="4">
        <v>23344.75</v>
      </c>
      <c r="C1189" s="272">
        <v>45677</v>
      </c>
      <c r="D1189" s="4">
        <v>5750.5</v>
      </c>
      <c r="E1189" s="271"/>
      <c r="F1189" s="271"/>
      <c r="G1189" s="273">
        <f>(B1189-B1188)/B1188</f>
        <v>6.1004516618397148E-3</v>
      </c>
      <c r="H1189" s="4">
        <f t="shared" si="18"/>
        <v>-1.1035879938156435E-2</v>
      </c>
      <c r="I1189" s="271"/>
      <c r="J1189" s="4"/>
    </row>
    <row r="1190" spans="1:10" ht="14.25" customHeight="1" x14ac:dyDescent="0.3">
      <c r="A1190" s="272">
        <v>45678</v>
      </c>
      <c r="B1190" s="4">
        <v>23024.65</v>
      </c>
      <c r="C1190" s="272">
        <v>45678</v>
      </c>
      <c r="D1190" s="4">
        <v>5684.46</v>
      </c>
      <c r="E1190" s="271"/>
      <c r="F1190" s="271"/>
      <c r="G1190" s="273">
        <f>(B1190-B1189)/B1189</f>
        <v>-1.3711862410177815E-2</v>
      </c>
      <c r="H1190" s="4">
        <f t="shared" si="18"/>
        <v>-1.1484218763585768E-2</v>
      </c>
      <c r="I1190" s="271"/>
      <c r="J1190" s="4"/>
    </row>
    <row r="1191" spans="1:10" ht="14.25" customHeight="1" x14ac:dyDescent="0.3">
      <c r="A1191" s="272">
        <v>45679</v>
      </c>
      <c r="B1191" s="4">
        <v>23155.35</v>
      </c>
      <c r="C1191" s="272">
        <v>45679</v>
      </c>
      <c r="D1191" s="4">
        <v>5774.79</v>
      </c>
      <c r="E1191" s="271"/>
      <c r="F1191" s="271"/>
      <c r="G1191" s="273">
        <f>(B1191-B1190)/B1190</f>
        <v>5.6765249417470879E-3</v>
      </c>
      <c r="H1191" s="4">
        <f t="shared" si="18"/>
        <v>1.5890691464096839E-2</v>
      </c>
      <c r="I1191" s="271"/>
      <c r="J1191" s="4"/>
    </row>
    <row r="1192" spans="1:10" ht="14.25" customHeight="1" x14ac:dyDescent="0.3">
      <c r="A1192" s="272">
        <v>45680</v>
      </c>
      <c r="B1192" s="4">
        <v>23205.35</v>
      </c>
      <c r="C1192" s="272">
        <v>45680</v>
      </c>
      <c r="D1192" s="4">
        <v>5924.98</v>
      </c>
      <c r="E1192" s="271"/>
      <c r="F1192" s="271"/>
      <c r="G1192" s="273">
        <f>(B1192-B1191)/B1191</f>
        <v>2.1593281898135853E-3</v>
      </c>
      <c r="H1192" s="4">
        <f t="shared" si="18"/>
        <v>2.600787214773171E-2</v>
      </c>
      <c r="I1192" s="271"/>
      <c r="J1192" s="4"/>
    </row>
    <row r="1193" spans="1:10" ht="14.25" customHeight="1" x14ac:dyDescent="0.3">
      <c r="A1193" s="272">
        <v>45681</v>
      </c>
      <c r="B1193" s="4">
        <v>23092.2</v>
      </c>
      <c r="C1193" s="272">
        <v>45681</v>
      </c>
      <c r="D1193" s="4">
        <v>5921.13</v>
      </c>
      <c r="E1193" s="271"/>
      <c r="F1193" s="271"/>
      <c r="G1193" s="273">
        <f>(B1193-B1192)/B1192</f>
        <v>-4.8760307429104848E-3</v>
      </c>
      <c r="H1193" s="4">
        <f t="shared" si="18"/>
        <v>-6.4979122292386723E-4</v>
      </c>
      <c r="I1193" s="271"/>
      <c r="J1193" s="4"/>
    </row>
    <row r="1194" spans="1:10" ht="14.25" customHeight="1" x14ac:dyDescent="0.3">
      <c r="A1194" s="272">
        <v>45684</v>
      </c>
      <c r="B1194" s="4">
        <v>22829.15</v>
      </c>
      <c r="C1194" s="272">
        <v>45684</v>
      </c>
      <c r="D1194" s="4">
        <v>5612.7</v>
      </c>
      <c r="E1194" s="271"/>
      <c r="F1194" s="271"/>
      <c r="G1194" s="273">
        <f>(B1194-B1193)/B1193</f>
        <v>-1.1391292297832136E-2</v>
      </c>
      <c r="H1194" s="4">
        <f t="shared" si="18"/>
        <v>-5.2089719361000396E-2</v>
      </c>
      <c r="I1194" s="271"/>
      <c r="J1194" s="4"/>
    </row>
    <row r="1195" spans="1:10" ht="14.25" customHeight="1" x14ac:dyDescent="0.3">
      <c r="A1195" s="272">
        <v>45685</v>
      </c>
      <c r="B1195" s="4">
        <v>22957.25</v>
      </c>
      <c r="C1195" s="272">
        <v>45685</v>
      </c>
      <c r="D1195" s="4">
        <v>5592.66</v>
      </c>
      <c r="E1195" s="271"/>
      <c r="F1195" s="271"/>
      <c r="G1195" s="273">
        <f>(B1195-B1194)/B1194</f>
        <v>5.6112470240897508E-3</v>
      </c>
      <c r="H1195" s="4">
        <f t="shared" si="18"/>
        <v>-3.570474103372702E-3</v>
      </c>
      <c r="I1195" s="271"/>
      <c r="J1195" s="4"/>
    </row>
    <row r="1196" spans="1:10" ht="14.25" customHeight="1" x14ac:dyDescent="0.3">
      <c r="A1196" s="272">
        <v>45686</v>
      </c>
      <c r="B1196" s="4">
        <v>23163.1</v>
      </c>
      <c r="C1196" s="272">
        <v>45686</v>
      </c>
      <c r="D1196" s="4">
        <v>5807.21</v>
      </c>
      <c r="E1196" s="271"/>
      <c r="F1196" s="271"/>
      <c r="G1196" s="273">
        <f>(B1196-B1195)/B1195</f>
        <v>8.9666663036730675E-3</v>
      </c>
      <c r="H1196" s="4">
        <f t="shared" si="18"/>
        <v>3.8362782647255546E-2</v>
      </c>
      <c r="I1196" s="271"/>
      <c r="J1196" s="4"/>
    </row>
    <row r="1197" spans="1:10" ht="14.25" customHeight="1" x14ac:dyDescent="0.3">
      <c r="A1197" s="272">
        <v>45687</v>
      </c>
      <c r="B1197" s="4">
        <v>23249.5</v>
      </c>
      <c r="C1197" s="272">
        <v>45687</v>
      </c>
      <c r="D1197" s="4">
        <v>5765.26</v>
      </c>
      <c r="E1197" s="271"/>
      <c r="F1197" s="271"/>
      <c r="G1197" s="273">
        <f>(B1197-B1196)/B1196</f>
        <v>3.7300706727511198E-3</v>
      </c>
      <c r="H1197" s="4">
        <f t="shared" si="18"/>
        <v>-7.2237787164576139E-3</v>
      </c>
      <c r="I1197" s="271"/>
      <c r="J1197" s="4"/>
    </row>
    <row r="1198" spans="1:10" ht="14.25" customHeight="1" x14ac:dyDescent="0.3">
      <c r="A1198" s="272">
        <v>45688</v>
      </c>
      <c r="B1198" s="4">
        <v>23508.400000000001</v>
      </c>
      <c r="C1198" s="272">
        <v>45688</v>
      </c>
      <c r="D1198" s="4">
        <v>5838.21</v>
      </c>
      <c r="E1198" s="271"/>
      <c r="F1198" s="271"/>
      <c r="G1198" s="273">
        <f>(B1198-B1197)/B1197</f>
        <v>1.1135723348889286E-2</v>
      </c>
      <c r="H1198" s="4">
        <f t="shared" si="18"/>
        <v>1.2653375563287659E-2</v>
      </c>
      <c r="I1198" s="271"/>
      <c r="J1198" s="4"/>
    </row>
    <row r="1199" spans="1:10" ht="14.25" customHeight="1" x14ac:dyDescent="0.3">
      <c r="A1199" s="272">
        <v>45691</v>
      </c>
      <c r="B1199" s="4">
        <v>23361.05</v>
      </c>
      <c r="C1199" s="272">
        <v>45691</v>
      </c>
      <c r="D1199" s="4">
        <v>5716.3</v>
      </c>
      <c r="E1199" s="271"/>
      <c r="F1199" s="271"/>
      <c r="G1199" s="273">
        <f>(B1199-B1198)/B1198</f>
        <v>-6.2679722992633347E-3</v>
      </c>
      <c r="H1199" s="4">
        <f t="shared" si="18"/>
        <v>-2.0881400292212828E-2</v>
      </c>
      <c r="I1199" s="271"/>
      <c r="J1199" s="4"/>
    </row>
    <row r="1200" spans="1:10" ht="14.25" customHeight="1" x14ac:dyDescent="0.3">
      <c r="A1200" s="272">
        <v>45692</v>
      </c>
      <c r="B1200" s="4">
        <v>23739.25</v>
      </c>
      <c r="C1200" s="272">
        <v>45692</v>
      </c>
      <c r="D1200" s="4">
        <v>5826.46</v>
      </c>
      <c r="E1200" s="271"/>
      <c r="F1200" s="271"/>
      <c r="G1200" s="273">
        <f>(B1200-B1199)/B1199</f>
        <v>1.6189340804458736E-2</v>
      </c>
      <c r="H1200" s="4">
        <f t="shared" si="18"/>
        <v>1.9271206899567878E-2</v>
      </c>
      <c r="I1200" s="271"/>
      <c r="J1200" s="4"/>
    </row>
    <row r="1201" spans="1:10" ht="14.25" customHeight="1" x14ac:dyDescent="0.3">
      <c r="A1201" s="272">
        <v>45693</v>
      </c>
      <c r="B1201" s="4">
        <v>23696.3</v>
      </c>
      <c r="C1201" s="272">
        <v>45693</v>
      </c>
      <c r="D1201" s="4">
        <v>5947.34</v>
      </c>
      <c r="E1201" s="271"/>
      <c r="F1201" s="271"/>
      <c r="G1201" s="273">
        <f>(B1201-B1200)/B1200</f>
        <v>-1.8092399717767296E-3</v>
      </c>
      <c r="H1201" s="4">
        <f t="shared" si="18"/>
        <v>2.0746731291384497E-2</v>
      </c>
      <c r="I1201" s="271"/>
      <c r="J1201" s="4"/>
    </row>
    <row r="1202" spans="1:10" ht="14.25" customHeight="1" x14ac:dyDescent="0.3">
      <c r="A1202" s="272">
        <v>45694</v>
      </c>
      <c r="B1202" s="4">
        <v>23603.35</v>
      </c>
      <c r="C1202" s="272">
        <v>45694</v>
      </c>
      <c r="D1202" s="4">
        <v>5868.52</v>
      </c>
      <c r="E1202" s="271"/>
      <c r="F1202" s="271"/>
      <c r="G1202" s="273">
        <f>(B1202-B1201)/B1201</f>
        <v>-3.9225533100104544E-3</v>
      </c>
      <c r="H1202" s="4">
        <f t="shared" si="18"/>
        <v>-1.3252983686824649E-2</v>
      </c>
      <c r="I1202" s="271"/>
      <c r="J1202" s="4"/>
    </row>
    <row r="1203" spans="1:10" ht="14.25" customHeight="1" x14ac:dyDescent="0.3">
      <c r="A1203" s="272">
        <v>45695</v>
      </c>
      <c r="B1203" s="4">
        <v>23559.95</v>
      </c>
      <c r="C1203" s="272">
        <v>45695</v>
      </c>
      <c r="D1203" s="4">
        <v>5880.12</v>
      </c>
      <c r="E1203" s="271"/>
      <c r="F1203" s="271"/>
      <c r="G1203" s="273">
        <f>(B1203-B1202)/B1202</f>
        <v>-1.8387220458112013E-3</v>
      </c>
      <c r="H1203" s="4">
        <f t="shared" si="18"/>
        <v>1.976648286109522E-3</v>
      </c>
      <c r="I1203" s="271"/>
      <c r="J1203" s="4"/>
    </row>
    <row r="1204" spans="1:10" ht="14.25" customHeight="1" x14ac:dyDescent="0.3">
      <c r="A1204" s="272">
        <v>45698</v>
      </c>
      <c r="B1204" s="4">
        <v>23381.599999999999</v>
      </c>
      <c r="C1204" s="272">
        <v>45698</v>
      </c>
      <c r="D1204" s="4">
        <v>5723.45</v>
      </c>
      <c r="E1204" s="271"/>
      <c r="F1204" s="271"/>
      <c r="G1204" s="273">
        <f>(B1204-B1203)/B1203</f>
        <v>-7.5700500213286602E-3</v>
      </c>
      <c r="H1204" s="4">
        <f t="shared" si="18"/>
        <v>-2.6644014067740127E-2</v>
      </c>
      <c r="I1204" s="271"/>
      <c r="J1204" s="4"/>
    </row>
    <row r="1205" spans="1:10" ht="14.25" customHeight="1" x14ac:dyDescent="0.3">
      <c r="A1205" s="272">
        <v>45699</v>
      </c>
      <c r="B1205" s="4">
        <v>23071.8</v>
      </c>
      <c r="C1205" s="272">
        <v>45699</v>
      </c>
      <c r="D1205" s="4">
        <v>5604.8</v>
      </c>
      <c r="E1205" s="271"/>
      <c r="F1205" s="271"/>
      <c r="G1205" s="273">
        <f>(B1205-B1204)/B1204</f>
        <v>-1.3249734834228593E-2</v>
      </c>
      <c r="H1205" s="4">
        <f t="shared" si="18"/>
        <v>-2.0730503455083846E-2</v>
      </c>
      <c r="I1205" s="271"/>
      <c r="J1205" s="4"/>
    </row>
    <row r="1206" spans="1:10" ht="14.25" customHeight="1" x14ac:dyDescent="0.3">
      <c r="A1206" s="272">
        <v>45700</v>
      </c>
      <c r="B1206" s="4">
        <v>23045.25</v>
      </c>
      <c r="C1206" s="272">
        <v>45700</v>
      </c>
      <c r="D1206" s="4">
        <v>5632.24</v>
      </c>
      <c r="E1206" s="271"/>
      <c r="F1206" s="271"/>
      <c r="G1206" s="273">
        <f>(B1206-B1205)/B1205</f>
        <v>-1.1507554677138009E-3</v>
      </c>
      <c r="H1206" s="4">
        <f t="shared" si="18"/>
        <v>4.8958035969168569E-3</v>
      </c>
      <c r="I1206" s="271"/>
      <c r="J1206" s="4"/>
    </row>
    <row r="1207" spans="1:10" ht="14.25" customHeight="1" x14ac:dyDescent="0.3">
      <c r="A1207" s="272">
        <v>45701</v>
      </c>
      <c r="B1207" s="4">
        <v>23031.4</v>
      </c>
      <c r="C1207" s="272">
        <v>45701</v>
      </c>
      <c r="D1207" s="4">
        <v>5529.53</v>
      </c>
      <c r="E1207" s="271"/>
      <c r="F1207" s="271"/>
      <c r="G1207" s="273">
        <f>(B1207-B1206)/B1206</f>
        <v>-6.0099152753814971E-4</v>
      </c>
      <c r="H1207" s="4">
        <f t="shared" si="18"/>
        <v>-1.8236083689615507E-2</v>
      </c>
      <c r="I1207" s="271"/>
      <c r="J1207" s="4"/>
    </row>
    <row r="1208" spans="1:10" ht="14.25" customHeight="1" x14ac:dyDescent="0.3">
      <c r="A1208" s="272">
        <v>45702</v>
      </c>
      <c r="B1208" s="4">
        <v>22929.25</v>
      </c>
      <c r="C1208" s="272">
        <v>45702</v>
      </c>
      <c r="D1208" s="4">
        <v>5440.83</v>
      </c>
      <c r="E1208" s="271"/>
      <c r="F1208" s="271"/>
      <c r="G1208" s="273">
        <f>(B1208-B1207)/B1207</f>
        <v>-4.4352492683901734E-3</v>
      </c>
      <c r="H1208" s="4">
        <f t="shared" si="18"/>
        <v>-1.6041146354210903E-2</v>
      </c>
      <c r="I1208" s="271"/>
      <c r="J1208" s="4"/>
    </row>
    <row r="1209" spans="1:10" ht="14.25" customHeight="1" x14ac:dyDescent="0.3">
      <c r="A1209" s="272">
        <v>45705</v>
      </c>
      <c r="B1209" s="4">
        <v>22959.5</v>
      </c>
      <c r="C1209" s="272">
        <v>45705</v>
      </c>
      <c r="D1209" s="4">
        <v>5402.33</v>
      </c>
      <c r="E1209" s="271"/>
      <c r="F1209" s="271"/>
      <c r="G1209" s="273">
        <f>(B1209-B1208)/B1208</f>
        <v>1.3192755977626831E-3</v>
      </c>
      <c r="H1209" s="4">
        <f t="shared" si="18"/>
        <v>-7.0761262527959893E-3</v>
      </c>
      <c r="I1209" s="271"/>
      <c r="J1209" s="4"/>
    </row>
    <row r="1210" spans="1:10" ht="14.25" customHeight="1" x14ac:dyDescent="0.3">
      <c r="A1210" s="272">
        <v>45706</v>
      </c>
      <c r="B1210" s="4">
        <v>22945.3</v>
      </c>
      <c r="C1210" s="272">
        <v>45706</v>
      </c>
      <c r="D1210" s="4">
        <v>5595.81</v>
      </c>
      <c r="E1210" s="271"/>
      <c r="F1210" s="271"/>
      <c r="G1210" s="273">
        <f>(B1210-B1209)/B1209</f>
        <v>-6.184803676038558E-4</v>
      </c>
      <c r="H1210" s="4">
        <f t="shared" si="18"/>
        <v>3.5814176475705943E-2</v>
      </c>
      <c r="I1210" s="271"/>
      <c r="J1210" s="4"/>
    </row>
    <row r="1211" spans="1:10" ht="14.25" customHeight="1" x14ac:dyDescent="0.3">
      <c r="A1211" s="272">
        <v>45707</v>
      </c>
      <c r="B1211" s="4">
        <v>22932.9</v>
      </c>
      <c r="C1211" s="272">
        <v>45707</v>
      </c>
      <c r="D1211" s="4">
        <v>5399.86</v>
      </c>
      <c r="E1211" s="271"/>
      <c r="F1211" s="271"/>
      <c r="G1211" s="273">
        <f>(B1211-B1210)/B1210</f>
        <v>-5.4041568425768321E-4</v>
      </c>
      <c r="H1211" s="4">
        <f t="shared" si="18"/>
        <v>-3.5017271851617675E-2</v>
      </c>
      <c r="I1211" s="271"/>
      <c r="J1211" s="4"/>
    </row>
    <row r="1212" spans="1:10" ht="14.25" customHeight="1" x14ac:dyDescent="0.3">
      <c r="A1212" s="272">
        <v>45708</v>
      </c>
      <c r="B1212" s="4">
        <v>22913.15</v>
      </c>
      <c r="C1212" s="272">
        <v>45708</v>
      </c>
      <c r="D1212" s="4">
        <v>5325.97</v>
      </c>
      <c r="E1212" s="271"/>
      <c r="F1212" s="271"/>
      <c r="G1212" s="273">
        <f>(B1212-B1211)/B1211</f>
        <v>-8.6120813329321623E-4</v>
      </c>
      <c r="H1212" s="4">
        <f t="shared" si="18"/>
        <v>-1.3683688095617187E-2</v>
      </c>
      <c r="I1212" s="271"/>
      <c r="J1212" s="4"/>
    </row>
    <row r="1213" spans="1:10" ht="14.25" customHeight="1" x14ac:dyDescent="0.3">
      <c r="A1213" s="272">
        <v>45709</v>
      </c>
      <c r="B1213" s="4">
        <v>22795.9</v>
      </c>
      <c r="C1213" s="272">
        <v>45709</v>
      </c>
      <c r="D1213" s="4">
        <v>5230.47</v>
      </c>
      <c r="E1213" s="271"/>
      <c r="F1213" s="271"/>
      <c r="G1213" s="273">
        <f>(B1213-B1212)/B1212</f>
        <v>-5.1171488861199788E-3</v>
      </c>
      <c r="H1213" s="4">
        <f t="shared" si="18"/>
        <v>-1.7931005995152054E-2</v>
      </c>
      <c r="I1213" s="271"/>
      <c r="J1213" s="4"/>
    </row>
    <row r="1214" spans="1:10" ht="14.25" customHeight="1" x14ac:dyDescent="0.3">
      <c r="A1214" s="272">
        <v>45712</v>
      </c>
      <c r="B1214" s="4">
        <v>22553.35</v>
      </c>
      <c r="C1214" s="272">
        <v>45712</v>
      </c>
      <c r="D1214" s="4">
        <v>4982.6400000000003</v>
      </c>
      <c r="E1214" s="271"/>
      <c r="F1214" s="271"/>
      <c r="G1214" s="273">
        <f>(B1214-B1213)/B1213</f>
        <v>-1.0640071240881163E-2</v>
      </c>
      <c r="H1214" s="4">
        <f t="shared" si="18"/>
        <v>-4.7381975233583201E-2</v>
      </c>
      <c r="I1214" s="271"/>
      <c r="J1214" s="4"/>
    </row>
    <row r="1215" spans="1:10" ht="14.25" customHeight="1" x14ac:dyDescent="0.3">
      <c r="A1215" s="272">
        <v>45713</v>
      </c>
      <c r="B1215" s="4">
        <v>22547.55</v>
      </c>
      <c r="C1215" s="272">
        <v>45713</v>
      </c>
      <c r="D1215" s="4">
        <v>4899.47</v>
      </c>
      <c r="E1215" s="271"/>
      <c r="F1215" s="271"/>
      <c r="G1215" s="273">
        <f>(B1215-B1214)/B1214</f>
        <v>-2.571680038663557E-4</v>
      </c>
      <c r="H1215" s="4">
        <f t="shared" si="18"/>
        <v>-1.6691954465905639E-2</v>
      </c>
      <c r="I1215" s="271"/>
      <c r="J1215" s="4"/>
    </row>
    <row r="1216" spans="1:10" ht="14.25" customHeight="1" x14ac:dyDescent="0.3">
      <c r="A1216" s="272">
        <v>45715</v>
      </c>
      <c r="B1216" s="4">
        <v>22545.05</v>
      </c>
      <c r="C1216" s="272">
        <v>45715</v>
      </c>
      <c r="D1216" s="4">
        <v>4815.96</v>
      </c>
      <c r="E1216" s="271"/>
      <c r="F1216" s="271"/>
      <c r="G1216" s="273">
        <f>(B1216-B1215)/B1215</f>
        <v>-1.1087679149175853E-4</v>
      </c>
      <c r="H1216" s="4">
        <f t="shared" si="18"/>
        <v>-1.7044700753346836E-2</v>
      </c>
      <c r="I1216" s="271"/>
      <c r="J1216" s="4"/>
    </row>
    <row r="1217" spans="1:10" ht="14.25" customHeight="1" x14ac:dyDescent="0.3">
      <c r="A1217" s="272">
        <v>45716</v>
      </c>
      <c r="B1217" s="4">
        <v>22124.7</v>
      </c>
      <c r="C1217" s="272">
        <v>45716</v>
      </c>
      <c r="D1217" s="4">
        <v>4606.04</v>
      </c>
      <c r="E1217" s="271"/>
      <c r="F1217" s="271"/>
      <c r="G1217" s="273">
        <f>(B1217-B1216)/B1216</f>
        <v>-1.8644891007116797E-2</v>
      </c>
      <c r="H1217" s="4">
        <f t="shared" si="18"/>
        <v>-4.3588401897025737E-2</v>
      </c>
      <c r="I1217" s="271"/>
      <c r="J1217" s="4"/>
    </row>
    <row r="1218" spans="1:10" ht="14.25" customHeight="1" x14ac:dyDescent="0.3">
      <c r="A1218" s="272">
        <v>45719</v>
      </c>
      <c r="B1218" s="4">
        <v>22119.3</v>
      </c>
      <c r="C1218" s="272">
        <v>45719</v>
      </c>
      <c r="D1218" s="4">
        <v>4772.13</v>
      </c>
      <c r="E1218" s="271"/>
      <c r="F1218" s="271"/>
      <c r="G1218" s="273">
        <f>(B1218-B1217)/B1217</f>
        <v>-2.4407110604896133E-4</v>
      </c>
      <c r="H1218" s="4">
        <f t="shared" si="18"/>
        <v>3.6059174475254266E-2</v>
      </c>
      <c r="I1218" s="271"/>
      <c r="J1218" s="4"/>
    </row>
    <row r="1219" spans="1:10" ht="14.25" customHeight="1" x14ac:dyDescent="0.3">
      <c r="A1219" s="272">
        <v>45720</v>
      </c>
      <c r="B1219" s="4">
        <v>22082.65</v>
      </c>
      <c r="C1219" s="272">
        <v>45720</v>
      </c>
      <c r="D1219" s="4">
        <v>4624.84</v>
      </c>
      <c r="E1219" s="271"/>
      <c r="F1219" s="271"/>
      <c r="G1219" s="273">
        <f>(B1219-B1218)/B1218</f>
        <v>-1.656924043708337E-3</v>
      </c>
      <c r="H1219" s="4">
        <f t="shared" ref="H1219:H1282" si="19">(D1219-D1218)/D1218</f>
        <v>-3.0864624392042957E-2</v>
      </c>
      <c r="I1219" s="271"/>
      <c r="J1219" s="4"/>
    </row>
    <row r="1220" spans="1:10" ht="14.25" customHeight="1" x14ac:dyDescent="0.3">
      <c r="A1220" s="272">
        <v>45721</v>
      </c>
      <c r="B1220" s="4">
        <v>22337.3</v>
      </c>
      <c r="C1220" s="272">
        <v>45721</v>
      </c>
      <c r="D1220" s="4">
        <v>4712.21</v>
      </c>
      <c r="E1220" s="271"/>
      <c r="F1220" s="271"/>
      <c r="G1220" s="273">
        <f>(B1220-B1219)/B1219</f>
        <v>1.1531677583985519E-2</v>
      </c>
      <c r="H1220" s="4">
        <f t="shared" si="19"/>
        <v>1.8891464353361389E-2</v>
      </c>
      <c r="I1220" s="271"/>
      <c r="J1220" s="4"/>
    </row>
    <row r="1221" spans="1:10" ht="14.25" customHeight="1" x14ac:dyDescent="0.3">
      <c r="A1221" s="272">
        <v>45722</v>
      </c>
      <c r="B1221" s="4">
        <v>22544.7</v>
      </c>
      <c r="C1221" s="272">
        <v>45722</v>
      </c>
      <c r="D1221" s="4">
        <v>4761.17</v>
      </c>
      <c r="E1221" s="271"/>
      <c r="F1221" s="271"/>
      <c r="G1221" s="273">
        <f>(B1221-B1220)/B1220</f>
        <v>9.2849180518684658E-3</v>
      </c>
      <c r="H1221" s="4">
        <f t="shared" si="19"/>
        <v>1.0390029306843294E-2</v>
      </c>
      <c r="I1221" s="271"/>
      <c r="J1221" s="4"/>
    </row>
    <row r="1222" spans="1:10" ht="14.25" customHeight="1" x14ac:dyDescent="0.3">
      <c r="A1222" s="272">
        <v>45723</v>
      </c>
      <c r="B1222" s="4">
        <v>22552.5</v>
      </c>
      <c r="C1222" s="272">
        <v>45723</v>
      </c>
      <c r="D1222" s="4">
        <v>4661.32</v>
      </c>
      <c r="E1222" s="271"/>
      <c r="F1222" s="271"/>
      <c r="G1222" s="273">
        <f>(B1222-B1221)/B1221</f>
        <v>3.4597932108208459E-4</v>
      </c>
      <c r="H1222" s="4">
        <f t="shared" si="19"/>
        <v>-2.0971735938855443E-2</v>
      </c>
      <c r="I1222" s="271"/>
      <c r="J1222" s="4"/>
    </row>
    <row r="1223" spans="1:10" ht="14.25" customHeight="1" x14ac:dyDescent="0.3">
      <c r="A1223" s="272">
        <v>45726</v>
      </c>
      <c r="B1223" s="4">
        <v>22460.3</v>
      </c>
      <c r="C1223" s="272">
        <v>45726</v>
      </c>
      <c r="D1223" s="4">
        <v>4610.9799999999996</v>
      </c>
      <c r="E1223" s="271"/>
      <c r="F1223" s="271"/>
      <c r="G1223" s="273">
        <f>(B1223-B1222)/B1222</f>
        <v>-4.0882385544840144E-3</v>
      </c>
      <c r="H1223" s="4">
        <f t="shared" si="19"/>
        <v>-1.0799516016922276E-2</v>
      </c>
      <c r="I1223" s="271"/>
      <c r="J1223" s="4"/>
    </row>
    <row r="1224" spans="1:10" ht="14.25" customHeight="1" x14ac:dyDescent="0.3">
      <c r="A1224" s="272">
        <v>45727</v>
      </c>
      <c r="B1224" s="4">
        <v>22497.9</v>
      </c>
      <c r="C1224" s="272">
        <v>45727</v>
      </c>
      <c r="D1224" s="4">
        <v>4594.6899999999996</v>
      </c>
      <c r="E1224" s="271"/>
      <c r="F1224" s="271"/>
      <c r="G1224" s="273">
        <f>(B1224-B1223)/B1223</f>
        <v>1.6740649056335927E-3</v>
      </c>
      <c r="H1224" s="4">
        <f t="shared" si="19"/>
        <v>-3.5328715370702029E-3</v>
      </c>
      <c r="I1224" s="271"/>
      <c r="J1224" s="4"/>
    </row>
    <row r="1225" spans="1:10" ht="14.25" customHeight="1" x14ac:dyDescent="0.3">
      <c r="A1225" s="272">
        <v>45728</v>
      </c>
      <c r="B1225" s="4">
        <v>22470.5</v>
      </c>
      <c r="C1225" s="272">
        <v>45728</v>
      </c>
      <c r="D1225" s="4">
        <v>4428.3</v>
      </c>
      <c r="E1225" s="271"/>
      <c r="F1225" s="271"/>
      <c r="G1225" s="273">
        <f>(B1225-B1224)/B1224</f>
        <v>-1.2178914476462894E-3</v>
      </c>
      <c r="H1225" s="4">
        <f t="shared" si="19"/>
        <v>-3.6213542154095148E-2</v>
      </c>
      <c r="I1225" s="271"/>
      <c r="J1225" s="4"/>
    </row>
    <row r="1226" spans="1:10" ht="14.25" customHeight="1" x14ac:dyDescent="0.3">
      <c r="A1226" s="272">
        <v>45729</v>
      </c>
      <c r="B1226" s="4">
        <v>22397.200000000001</v>
      </c>
      <c r="C1226" s="272">
        <v>45729</v>
      </c>
      <c r="D1226" s="4">
        <v>4409.6899999999996</v>
      </c>
      <c r="E1226" s="271"/>
      <c r="F1226" s="271"/>
      <c r="G1226" s="273">
        <f>(B1226-B1225)/B1225</f>
        <v>-3.262054693932012E-3</v>
      </c>
      <c r="H1226" s="4">
        <f t="shared" si="19"/>
        <v>-4.2025156380553668E-3</v>
      </c>
      <c r="I1226" s="271"/>
      <c r="J1226" s="4"/>
    </row>
    <row r="1227" spans="1:10" ht="14.25" customHeight="1" x14ac:dyDescent="0.3">
      <c r="A1227" s="272">
        <v>45733</v>
      </c>
      <c r="B1227" s="4">
        <v>22508.75</v>
      </c>
      <c r="C1227" s="272">
        <v>45733</v>
      </c>
      <c r="D1227" s="4">
        <v>4303.82</v>
      </c>
      <c r="E1227" s="271"/>
      <c r="F1227" s="271"/>
      <c r="G1227" s="273">
        <f>(B1227-B1226)/B1226</f>
        <v>4.9805332809458001E-3</v>
      </c>
      <c r="H1227" s="4">
        <f t="shared" si="19"/>
        <v>-2.4008490392748674E-2</v>
      </c>
      <c r="I1227" s="271"/>
      <c r="J1227" s="4"/>
    </row>
    <row r="1228" spans="1:10" ht="14.25" customHeight="1" x14ac:dyDescent="0.3">
      <c r="A1228" s="272">
        <v>45734</v>
      </c>
      <c r="B1228" s="4">
        <v>22834.3</v>
      </c>
      <c r="C1228" s="272">
        <v>45734</v>
      </c>
      <c r="D1228" s="4">
        <v>4303.82</v>
      </c>
      <c r="E1228" s="271"/>
      <c r="F1228" s="271"/>
      <c r="G1228" s="273">
        <f>(B1228-B1227)/B1227</f>
        <v>1.4463264286110925E-2</v>
      </c>
      <c r="H1228" s="4">
        <f t="shared" si="19"/>
        <v>0</v>
      </c>
      <c r="I1228" s="271"/>
      <c r="J1228" s="4"/>
    </row>
    <row r="1229" spans="1:10" ht="14.25" customHeight="1" x14ac:dyDescent="0.3">
      <c r="A1229" s="272">
        <v>45735</v>
      </c>
      <c r="B1229" s="4">
        <v>22907.599999999999</v>
      </c>
      <c r="C1229" s="272">
        <v>45735</v>
      </c>
      <c r="D1229" s="4">
        <v>4309.3999999999996</v>
      </c>
      <c r="E1229" s="271"/>
      <c r="F1229" s="271"/>
      <c r="G1229" s="273">
        <f>(B1229-B1228)/B1228</f>
        <v>3.2100830767748203E-3</v>
      </c>
      <c r="H1229" s="4">
        <f t="shared" si="19"/>
        <v>1.2965226240874218E-3</v>
      </c>
      <c r="I1229" s="271"/>
      <c r="J1229" s="4"/>
    </row>
    <row r="1230" spans="1:10" ht="14.25" customHeight="1" x14ac:dyDescent="0.3">
      <c r="A1230" s="272">
        <v>45736</v>
      </c>
      <c r="B1230" s="4">
        <v>23190.65</v>
      </c>
      <c r="C1230" s="272">
        <v>45736</v>
      </c>
      <c r="D1230" s="4">
        <v>4364.38</v>
      </c>
      <c r="E1230" s="271"/>
      <c r="F1230" s="271"/>
      <c r="G1230" s="273">
        <f>(B1230-B1229)/B1229</f>
        <v>1.23561612739878E-2</v>
      </c>
      <c r="H1230" s="4">
        <f t="shared" si="19"/>
        <v>1.2758156587924183E-2</v>
      </c>
      <c r="I1230" s="271"/>
      <c r="J1230" s="4"/>
    </row>
    <row r="1231" spans="1:10" ht="14.25" customHeight="1" x14ac:dyDescent="0.3">
      <c r="A1231" s="272">
        <v>45737</v>
      </c>
      <c r="B1231" s="4">
        <v>23350.400000000001</v>
      </c>
      <c r="C1231" s="272">
        <v>45737</v>
      </c>
      <c r="D1231" s="4">
        <v>4462.21</v>
      </c>
      <c r="E1231" s="271"/>
      <c r="F1231" s="271"/>
      <c r="G1231" s="273">
        <f>(B1231-B1230)/B1230</f>
        <v>6.8885520673202345E-3</v>
      </c>
      <c r="H1231" s="4">
        <f t="shared" si="19"/>
        <v>2.24155550158327E-2</v>
      </c>
      <c r="I1231" s="271"/>
      <c r="J1231" s="4"/>
    </row>
    <row r="1232" spans="1:10" ht="14.25" customHeight="1" x14ac:dyDescent="0.3">
      <c r="A1232" s="272">
        <v>45740</v>
      </c>
      <c r="B1232" s="4">
        <v>23658.35</v>
      </c>
      <c r="C1232" s="272">
        <v>45740</v>
      </c>
      <c r="D1232" s="4">
        <v>4561.07</v>
      </c>
      <c r="E1232" s="271"/>
      <c r="F1232" s="271"/>
      <c r="G1232" s="273">
        <f>(B1232-B1231)/B1231</f>
        <v>1.3188210908592447E-2</v>
      </c>
      <c r="H1232" s="4">
        <f t="shared" si="19"/>
        <v>2.215494116144235E-2</v>
      </c>
      <c r="I1232" s="271"/>
      <c r="J1232" s="4"/>
    </row>
    <row r="1233" spans="1:10" ht="14.25" customHeight="1" x14ac:dyDescent="0.3">
      <c r="A1233" s="272">
        <v>45741</v>
      </c>
      <c r="B1233" s="4">
        <v>23668.65</v>
      </c>
      <c r="C1233" s="272">
        <v>45741</v>
      </c>
      <c r="D1233" s="4">
        <v>4547.25</v>
      </c>
      <c r="E1233" s="271"/>
      <c r="F1233" s="271"/>
      <c r="G1233" s="273">
        <f>(B1233-B1232)/B1232</f>
        <v>4.3536425828525282E-4</v>
      </c>
      <c r="H1233" s="4">
        <f t="shared" si="19"/>
        <v>-3.0299907697096755E-3</v>
      </c>
      <c r="I1233" s="271"/>
      <c r="J1233" s="4"/>
    </row>
    <row r="1234" spans="1:10" ht="14.25" customHeight="1" x14ac:dyDescent="0.3">
      <c r="A1234" s="272">
        <v>45742</v>
      </c>
      <c r="B1234" s="4">
        <v>23486.85</v>
      </c>
      <c r="C1234" s="272">
        <v>45742</v>
      </c>
      <c r="D1234" s="4">
        <v>4560.43</v>
      </c>
      <c r="E1234" s="271"/>
      <c r="F1234" s="271"/>
      <c r="G1234" s="273">
        <f>(B1234-B1233)/B1233</f>
        <v>-7.6810464475161409E-3</v>
      </c>
      <c r="H1234" s="4">
        <f t="shared" si="19"/>
        <v>2.8984551102315226E-3</v>
      </c>
      <c r="I1234" s="271"/>
      <c r="J1234" s="4"/>
    </row>
    <row r="1235" spans="1:10" ht="14.25" customHeight="1" x14ac:dyDescent="0.3">
      <c r="A1235" s="272">
        <v>45743</v>
      </c>
      <c r="B1235" s="4">
        <v>23591.95</v>
      </c>
      <c r="C1235" s="272">
        <v>45743</v>
      </c>
      <c r="D1235" s="4">
        <v>4596.12</v>
      </c>
      <c r="E1235" s="271"/>
      <c r="F1235" s="271"/>
      <c r="G1235" s="273">
        <f>(B1235-B1234)/B1234</f>
        <v>4.4748444342260539E-3</v>
      </c>
      <c r="H1235" s="4">
        <f t="shared" si="19"/>
        <v>7.8260164063475596E-3</v>
      </c>
      <c r="I1235" s="271"/>
      <c r="J1235" s="4"/>
    </row>
    <row r="1236" spans="1:10" ht="14.25" customHeight="1" x14ac:dyDescent="0.3">
      <c r="A1236" s="272">
        <v>45744</v>
      </c>
      <c r="B1236" s="4">
        <v>23519.35</v>
      </c>
      <c r="C1236" s="272">
        <v>45744</v>
      </c>
      <c r="D1236" s="4">
        <v>4433.68</v>
      </c>
      <c r="E1236" s="271"/>
      <c r="F1236" s="271"/>
      <c r="G1236" s="273">
        <f>(B1236-B1235)/B1235</f>
        <v>-3.077320865803894E-3</v>
      </c>
      <c r="H1236" s="4">
        <f t="shared" si="19"/>
        <v>-3.53428544076307E-2</v>
      </c>
      <c r="I1236" s="271"/>
      <c r="J1236" s="4"/>
    </row>
    <row r="1237" spans="1:10" ht="14.25" customHeight="1" x14ac:dyDescent="0.3">
      <c r="A1237" s="272">
        <v>45748</v>
      </c>
      <c r="B1237" s="4">
        <v>23165.7</v>
      </c>
      <c r="C1237" s="272">
        <v>45748</v>
      </c>
      <c r="D1237" s="4">
        <v>4369.76</v>
      </c>
      <c r="E1237" s="271"/>
      <c r="F1237" s="271"/>
      <c r="G1237" s="273">
        <f>(B1237-B1236)/B1236</f>
        <v>-1.5036555006834706E-2</v>
      </c>
      <c r="H1237" s="4">
        <f t="shared" si="19"/>
        <v>-1.4416917774850704E-2</v>
      </c>
      <c r="I1237" s="271"/>
      <c r="J1237" s="4"/>
    </row>
    <row r="1238" spans="1:10" ht="14.25" customHeight="1" x14ac:dyDescent="0.3">
      <c r="A1238" s="272">
        <v>45749</v>
      </c>
      <c r="B1238" s="4">
        <v>23332.35</v>
      </c>
      <c r="C1238" s="272">
        <v>45749</v>
      </c>
      <c r="D1238" s="4">
        <v>4442.12</v>
      </c>
      <c r="E1238" s="271"/>
      <c r="F1238" s="271"/>
      <c r="G1238" s="273">
        <f>(B1238-B1237)/B1237</f>
        <v>7.1938253538635921E-3</v>
      </c>
      <c r="H1238" s="4">
        <f t="shared" si="19"/>
        <v>1.6559261835890224E-2</v>
      </c>
      <c r="I1238" s="271"/>
      <c r="J1238" s="4"/>
    </row>
    <row r="1239" spans="1:10" ht="14.25" customHeight="1" x14ac:dyDescent="0.3">
      <c r="A1239" s="272">
        <v>45750</v>
      </c>
      <c r="B1239" s="4">
        <v>23250.1</v>
      </c>
      <c r="C1239" s="272">
        <v>45750</v>
      </c>
      <c r="D1239" s="4">
        <v>4286.2</v>
      </c>
      <c r="E1239" s="271"/>
      <c r="F1239" s="271"/>
      <c r="G1239" s="273">
        <f>(B1239-B1238)/B1238</f>
        <v>-3.5251485598321647E-3</v>
      </c>
      <c r="H1239" s="4">
        <f t="shared" si="19"/>
        <v>-3.5100357486965703E-2</v>
      </c>
      <c r="I1239" s="271"/>
      <c r="J1239" s="4"/>
    </row>
    <row r="1240" spans="1:10" ht="14.25" customHeight="1" x14ac:dyDescent="0.3">
      <c r="A1240" s="272">
        <v>45751</v>
      </c>
      <c r="B1240" s="4">
        <v>22904.45</v>
      </c>
      <c r="C1240" s="272">
        <v>45751</v>
      </c>
      <c r="D1240" s="4">
        <v>4083.14</v>
      </c>
      <c r="E1240" s="271"/>
      <c r="F1240" s="271"/>
      <c r="G1240" s="273">
        <f>(B1240-B1239)/B1239</f>
        <v>-1.4866602724289265E-2</v>
      </c>
      <c r="H1240" s="4">
        <f t="shared" si="19"/>
        <v>-4.7375297466287145E-2</v>
      </c>
      <c r="I1240" s="271"/>
      <c r="J1240" s="4"/>
    </row>
    <row r="1241" spans="1:10" ht="14.25" customHeight="1" x14ac:dyDescent="0.3">
      <c r="A1241" s="272">
        <v>45754</v>
      </c>
      <c r="B1241" s="4">
        <v>22161.599999999999</v>
      </c>
      <c r="C1241" s="272">
        <v>45754</v>
      </c>
      <c r="D1241" s="4">
        <v>4005.06</v>
      </c>
      <c r="E1241" s="271"/>
      <c r="F1241" s="271"/>
      <c r="G1241" s="273">
        <f>(B1241-B1240)/B1240</f>
        <v>-3.2432562231356883E-2</v>
      </c>
      <c r="H1241" s="4">
        <f t="shared" si="19"/>
        <v>-1.9122538046699337E-2</v>
      </c>
      <c r="I1241" s="271"/>
      <c r="J1241" s="4"/>
    </row>
    <row r="1242" spans="1:10" ht="14.25" customHeight="1" x14ac:dyDescent="0.3">
      <c r="A1242" s="272">
        <v>45755</v>
      </c>
      <c r="B1242" s="4">
        <v>22535.85</v>
      </c>
      <c r="C1242" s="272">
        <v>45755</v>
      </c>
      <c r="D1242" s="4">
        <v>4122.2299999999996</v>
      </c>
      <c r="E1242" s="271"/>
      <c r="F1242" s="271"/>
      <c r="G1242" s="273">
        <f>(B1242-B1241)/B1241</f>
        <v>1.6887318605154862E-2</v>
      </c>
      <c r="H1242" s="4">
        <f t="shared" si="19"/>
        <v>2.9255491802869276E-2</v>
      </c>
      <c r="I1242" s="271"/>
      <c r="J1242" s="4"/>
    </row>
    <row r="1243" spans="1:10" ht="14.25" customHeight="1" x14ac:dyDescent="0.3">
      <c r="A1243" s="272">
        <v>45756</v>
      </c>
      <c r="B1243" s="4">
        <v>22399.15</v>
      </c>
      <c r="C1243" s="272">
        <v>45756</v>
      </c>
      <c r="D1243" s="4">
        <v>4055.11</v>
      </c>
      <c r="E1243" s="271"/>
      <c r="F1243" s="271"/>
      <c r="G1243" s="273">
        <f>(B1243-B1242)/B1242</f>
        <v>-6.06589056991403E-3</v>
      </c>
      <c r="H1243" s="4">
        <f t="shared" si="19"/>
        <v>-1.6282449062764437E-2</v>
      </c>
      <c r="I1243" s="271"/>
      <c r="J1243" s="4"/>
    </row>
    <row r="1244" spans="1:10" ht="14.25" customHeight="1" x14ac:dyDescent="0.3">
      <c r="A1244" s="272">
        <v>45758</v>
      </c>
      <c r="B1244" s="4">
        <v>22828.55</v>
      </c>
      <c r="C1244" s="272">
        <v>45758</v>
      </c>
      <c r="D1244" s="4">
        <v>4186.3500000000004</v>
      </c>
      <c r="E1244" s="271"/>
      <c r="F1244" s="271"/>
      <c r="G1244" s="273">
        <f>(B1244-B1243)/B1243</f>
        <v>1.9170370304230196E-2</v>
      </c>
      <c r="H1244" s="4">
        <f t="shared" si="19"/>
        <v>3.2364103563158643E-2</v>
      </c>
      <c r="I1244" s="271"/>
      <c r="J1244" s="4"/>
    </row>
    <row r="1245" spans="1:10" ht="14.25" customHeight="1" x14ac:dyDescent="0.3">
      <c r="A1245" s="272">
        <v>45762</v>
      </c>
      <c r="B1245" s="4">
        <v>23328.55</v>
      </c>
      <c r="C1245" s="272">
        <v>45762</v>
      </c>
      <c r="D1245" s="4">
        <v>4262.16</v>
      </c>
      <c r="E1245" s="271"/>
      <c r="F1245" s="271"/>
      <c r="G1245" s="273">
        <f>(B1245-B1244)/B1244</f>
        <v>2.1902398531663203E-2</v>
      </c>
      <c r="H1245" s="4">
        <f t="shared" si="19"/>
        <v>1.8108853774767873E-2</v>
      </c>
      <c r="I1245" s="271"/>
      <c r="J1245" s="4"/>
    </row>
    <row r="1246" spans="1:10" ht="14.25" customHeight="1" x14ac:dyDescent="0.3">
      <c r="A1246" s="272">
        <v>45763</v>
      </c>
      <c r="B1246" s="4">
        <v>23437.200000000001</v>
      </c>
      <c r="C1246" s="272">
        <v>45763</v>
      </c>
      <c r="D1246" s="4">
        <v>4221.3900000000003</v>
      </c>
      <c r="E1246" s="271"/>
      <c r="F1246" s="271"/>
      <c r="G1246" s="273">
        <f>(B1246-B1245)/B1245</f>
        <v>4.6573833350123115E-3</v>
      </c>
      <c r="H1246" s="4">
        <f t="shared" si="19"/>
        <v>-9.5655723858324247E-3</v>
      </c>
      <c r="I1246" s="271"/>
      <c r="J1246" s="4"/>
    </row>
    <row r="1247" spans="1:10" ht="14.25" customHeight="1" x14ac:dyDescent="0.3">
      <c r="A1247" s="272">
        <v>45764</v>
      </c>
      <c r="B1247" s="4">
        <v>23851.65</v>
      </c>
      <c r="C1247" s="272">
        <v>45764</v>
      </c>
      <c r="D1247" s="4">
        <v>4138.08</v>
      </c>
      <c r="E1247" s="271"/>
      <c r="F1247" s="271"/>
      <c r="G1247" s="273">
        <f>(B1247-B1246)/B1246</f>
        <v>1.7683426347857283E-2</v>
      </c>
      <c r="H1247" s="4">
        <f t="shared" si="19"/>
        <v>-1.973520570238722E-2</v>
      </c>
      <c r="I1247" s="271"/>
      <c r="J1247" s="4"/>
    </row>
    <row r="1248" spans="1:10" ht="14.25" customHeight="1" x14ac:dyDescent="0.3">
      <c r="A1248" s="272">
        <v>45768</v>
      </c>
      <c r="B1248" s="4">
        <v>24125.55</v>
      </c>
      <c r="C1248" s="272">
        <v>45768</v>
      </c>
      <c r="D1248" s="4">
        <v>4242.22</v>
      </c>
      <c r="E1248" s="271"/>
      <c r="F1248" s="271"/>
      <c r="G1248" s="273">
        <f>(B1248-B1247)/B1247</f>
        <v>1.1483482274811085E-2</v>
      </c>
      <c r="H1248" s="4">
        <f t="shared" si="19"/>
        <v>2.5166260681282221E-2</v>
      </c>
      <c r="I1248" s="271"/>
      <c r="J1248" s="4"/>
    </row>
    <row r="1249" spans="1:10" ht="14.25" customHeight="1" x14ac:dyDescent="0.3">
      <c r="A1249" s="272">
        <v>45769</v>
      </c>
      <c r="B1249" s="4">
        <v>24167.25</v>
      </c>
      <c r="C1249" s="272">
        <v>45769</v>
      </c>
      <c r="D1249" s="4">
        <v>4264.93</v>
      </c>
      <c r="E1249" s="271"/>
      <c r="F1249" s="271"/>
      <c r="G1249" s="273">
        <f>(B1249-B1248)/B1248</f>
        <v>1.7284580040662588E-3</v>
      </c>
      <c r="H1249" s="4">
        <f t="shared" si="19"/>
        <v>5.3533291531320951E-3</v>
      </c>
      <c r="I1249" s="271"/>
      <c r="J1249" s="4"/>
    </row>
    <row r="1250" spans="1:10" ht="14.25" customHeight="1" x14ac:dyDescent="0.3">
      <c r="A1250" s="272">
        <v>45770</v>
      </c>
      <c r="B1250" s="4">
        <v>24328.95</v>
      </c>
      <c r="C1250" s="272">
        <v>45770</v>
      </c>
      <c r="D1250" s="4">
        <v>4478.45</v>
      </c>
      <c r="E1250" s="271"/>
      <c r="F1250" s="271"/>
      <c r="G1250" s="273">
        <f>(B1250-B1249)/B1249</f>
        <v>6.6908729789281248E-3</v>
      </c>
      <c r="H1250" s="4">
        <f t="shared" si="19"/>
        <v>5.0064127664463311E-2</v>
      </c>
      <c r="I1250" s="271"/>
      <c r="J1250" s="4"/>
    </row>
    <row r="1251" spans="1:10" ht="14.25" customHeight="1" x14ac:dyDescent="0.3">
      <c r="A1251" s="272">
        <v>45771</v>
      </c>
      <c r="B1251" s="4">
        <v>24246.7</v>
      </c>
      <c r="C1251" s="272">
        <v>45771</v>
      </c>
      <c r="D1251" s="4">
        <v>4475.59</v>
      </c>
      <c r="E1251" s="271"/>
      <c r="F1251" s="271"/>
      <c r="G1251" s="273">
        <f>(B1251-B1250)/B1250</f>
        <v>-3.3807459836943227E-3</v>
      </c>
      <c r="H1251" s="4">
        <f t="shared" si="19"/>
        <v>-6.3861380611588217E-4</v>
      </c>
      <c r="I1251" s="271"/>
      <c r="J1251" s="4"/>
    </row>
    <row r="1252" spans="1:10" ht="14.25" customHeight="1" x14ac:dyDescent="0.3">
      <c r="A1252" s="272">
        <v>45772</v>
      </c>
      <c r="B1252" s="4">
        <v>24039.35</v>
      </c>
      <c r="C1252" s="272">
        <v>45772</v>
      </c>
      <c r="D1252" s="4">
        <v>4440.54</v>
      </c>
      <c r="E1252" s="271"/>
      <c r="F1252" s="271"/>
      <c r="G1252" s="273">
        <f>(B1252-B1251)/B1251</f>
        <v>-8.5516791975816155E-3</v>
      </c>
      <c r="H1252" s="4">
        <f t="shared" si="19"/>
        <v>-7.8313697188527511E-3</v>
      </c>
      <c r="I1252" s="271"/>
      <c r="J1252" s="4"/>
    </row>
    <row r="1253" spans="1:10" ht="14.25" customHeight="1" x14ac:dyDescent="0.3">
      <c r="A1253" s="272">
        <v>45775</v>
      </c>
      <c r="B1253" s="4">
        <v>24328.5</v>
      </c>
      <c r="C1253" s="272">
        <v>45775</v>
      </c>
      <c r="D1253" s="4">
        <v>4429.09</v>
      </c>
      <c r="E1253" s="271"/>
      <c r="F1253" s="271"/>
      <c r="G1253" s="273">
        <f>(B1253-B1252)/B1252</f>
        <v>1.2028195437896677E-2</v>
      </c>
      <c r="H1253" s="4">
        <f t="shared" si="19"/>
        <v>-2.5785152256256713E-3</v>
      </c>
      <c r="I1253" s="271"/>
      <c r="J1253" s="4"/>
    </row>
    <row r="1254" spans="1:10" ht="14.25" customHeight="1" x14ac:dyDescent="0.3">
      <c r="A1254" s="272">
        <v>45776</v>
      </c>
      <c r="B1254" s="4">
        <v>24335.95</v>
      </c>
      <c r="C1254" s="272">
        <v>45776</v>
      </c>
      <c r="D1254" s="4">
        <v>4539.0600000000004</v>
      </c>
      <c r="E1254" s="271"/>
      <c r="F1254" s="271"/>
      <c r="G1254" s="273">
        <f>(B1254-B1253)/B1253</f>
        <v>3.0622520911690931E-4</v>
      </c>
      <c r="H1254" s="4">
        <f t="shared" si="19"/>
        <v>2.4829028084775936E-2</v>
      </c>
      <c r="I1254" s="271"/>
      <c r="J1254" s="4"/>
    </row>
    <row r="1255" spans="1:10" ht="14.25" customHeight="1" x14ac:dyDescent="0.3">
      <c r="A1255" s="272">
        <v>45777</v>
      </c>
      <c r="B1255" s="4">
        <v>24334.2</v>
      </c>
      <c r="C1255" s="272">
        <v>45777</v>
      </c>
      <c r="D1255" s="4">
        <v>4527.6099999999997</v>
      </c>
      <c r="E1255" s="271"/>
      <c r="F1255" s="271"/>
      <c r="G1255" s="273">
        <f>(B1255-B1254)/B1254</f>
        <v>-7.1910075423396255E-5</v>
      </c>
      <c r="H1255" s="4">
        <f t="shared" si="19"/>
        <v>-2.5225487215416245E-3</v>
      </c>
      <c r="I1255" s="271"/>
      <c r="J1255" s="4"/>
    </row>
    <row r="1256" spans="1:10" ht="14.25" customHeight="1" x14ac:dyDescent="0.3">
      <c r="A1256" s="272">
        <v>45779</v>
      </c>
      <c r="B1256" s="4">
        <v>24346.7</v>
      </c>
      <c r="C1256" s="272">
        <v>45779</v>
      </c>
      <c r="D1256" s="4">
        <v>4514.18</v>
      </c>
      <c r="E1256" s="271"/>
      <c r="F1256" s="271"/>
      <c r="G1256" s="273">
        <f>(B1256-B1255)/B1255</f>
        <v>5.1368033467301161E-4</v>
      </c>
      <c r="H1256" s="4">
        <f t="shared" si="19"/>
        <v>-2.9662448841661234E-3</v>
      </c>
      <c r="I1256" s="271"/>
      <c r="J1256" s="4"/>
    </row>
    <row r="1257" spans="1:10" ht="14.25" customHeight="1" x14ac:dyDescent="0.3">
      <c r="A1257" s="272">
        <v>45782</v>
      </c>
      <c r="B1257" s="4">
        <v>24461.15</v>
      </c>
      <c r="C1257" s="272">
        <v>45782</v>
      </c>
      <c r="D1257" s="4">
        <v>4561.8599999999997</v>
      </c>
      <c r="E1257" s="271"/>
      <c r="F1257" s="271"/>
      <c r="G1257" s="273">
        <f>(B1257-B1256)/B1256</f>
        <v>4.700842413961675E-3</v>
      </c>
      <c r="H1257" s="4">
        <f t="shared" si="19"/>
        <v>1.0562272660815337E-2</v>
      </c>
      <c r="I1257" s="271"/>
      <c r="J1257" s="4"/>
    </row>
    <row r="1258" spans="1:10" ht="14.25" customHeight="1" x14ac:dyDescent="0.3">
      <c r="A1258" s="272">
        <v>45783</v>
      </c>
      <c r="B1258" s="4">
        <v>24379.599999999999</v>
      </c>
      <c r="C1258" s="272">
        <v>45783</v>
      </c>
      <c r="D1258" s="4">
        <v>4478.3500000000004</v>
      </c>
      <c r="E1258" s="271"/>
      <c r="F1258" s="271"/>
      <c r="G1258" s="273">
        <f>(B1258-B1257)/B1257</f>
        <v>-3.333857974788712E-3</v>
      </c>
      <c r="H1258" s="4">
        <f t="shared" si="19"/>
        <v>-1.8306129517345844E-2</v>
      </c>
      <c r="I1258" s="271"/>
      <c r="J1258" s="4"/>
    </row>
    <row r="1259" spans="1:10" ht="14.25" customHeight="1" x14ac:dyDescent="0.3">
      <c r="A1259" s="272">
        <v>45784</v>
      </c>
      <c r="B1259" s="4">
        <v>24414.400000000001</v>
      </c>
      <c r="C1259" s="272">
        <v>45784</v>
      </c>
      <c r="D1259" s="4">
        <v>4500.5600000000004</v>
      </c>
      <c r="E1259" s="271"/>
      <c r="F1259" s="271"/>
      <c r="G1259" s="273">
        <f>(B1259-B1258)/B1258</f>
        <v>1.4274229273656218E-3</v>
      </c>
      <c r="H1259" s="4">
        <f t="shared" si="19"/>
        <v>4.959415856286363E-3</v>
      </c>
      <c r="I1259" s="271"/>
      <c r="J1259" s="4"/>
    </row>
    <row r="1260" spans="1:10" ht="14.25" customHeight="1" x14ac:dyDescent="0.3">
      <c r="A1260" s="272">
        <v>45785</v>
      </c>
      <c r="B1260" s="4">
        <v>24273.8</v>
      </c>
      <c r="C1260" s="272">
        <v>45785</v>
      </c>
      <c r="D1260" s="4">
        <v>4541.13</v>
      </c>
      <c r="E1260" s="271"/>
      <c r="F1260" s="271"/>
      <c r="G1260" s="273">
        <f>(B1260-B1259)/B1259</f>
        <v>-5.7588963890164071E-3</v>
      </c>
      <c r="H1260" s="4">
        <f t="shared" si="19"/>
        <v>9.0144337593543265E-3</v>
      </c>
      <c r="I1260" s="271"/>
      <c r="J1260" s="4"/>
    </row>
    <row r="1261" spans="1:10" ht="14.25" customHeight="1" x14ac:dyDescent="0.3">
      <c r="A1261" s="272">
        <v>45786</v>
      </c>
      <c r="B1261" s="4">
        <v>24008</v>
      </c>
      <c r="C1261" s="272">
        <v>45786</v>
      </c>
      <c r="D1261" s="4">
        <v>4562.26</v>
      </c>
      <c r="E1261" s="271"/>
      <c r="F1261" s="271"/>
      <c r="G1261" s="273">
        <f>(B1261-B1260)/B1260</f>
        <v>-1.095007786172743E-2</v>
      </c>
      <c r="H1261" s="4">
        <f t="shared" si="19"/>
        <v>4.6530268897829637E-3</v>
      </c>
      <c r="I1261" s="271"/>
      <c r="J1261" s="4"/>
    </row>
    <row r="1262" spans="1:10" ht="14.25" customHeight="1" x14ac:dyDescent="0.3">
      <c r="A1262" s="272">
        <v>45789</v>
      </c>
      <c r="B1262" s="4">
        <v>24924.7</v>
      </c>
      <c r="C1262" s="272">
        <v>45789</v>
      </c>
      <c r="D1262" s="4">
        <v>4876.96</v>
      </c>
      <c r="E1262" s="271"/>
      <c r="F1262" s="271"/>
      <c r="G1262" s="273">
        <f>(B1262-B1261)/B1261</f>
        <v>3.8183105631456209E-2</v>
      </c>
      <c r="H1262" s="4">
        <f t="shared" si="19"/>
        <v>6.8978970948608762E-2</v>
      </c>
      <c r="I1262" s="271"/>
      <c r="J1262" s="4"/>
    </row>
    <row r="1263" spans="1:10" ht="14.25" customHeight="1" x14ac:dyDescent="0.3">
      <c r="A1263" s="272">
        <v>45790</v>
      </c>
      <c r="B1263" s="4">
        <v>24578.35</v>
      </c>
      <c r="C1263" s="272">
        <v>45790</v>
      </c>
      <c r="D1263" s="4">
        <v>4856.33</v>
      </c>
      <c r="E1263" s="271"/>
      <c r="F1263" s="271"/>
      <c r="G1263" s="273">
        <f>(B1263-B1262)/B1262</f>
        <v>-1.389585431319142E-2</v>
      </c>
      <c r="H1263" s="4">
        <f t="shared" si="19"/>
        <v>-4.2300941570158684E-3</v>
      </c>
      <c r="I1263" s="271"/>
      <c r="J1263" s="4"/>
    </row>
    <row r="1264" spans="1:10" ht="14.25" customHeight="1" x14ac:dyDescent="0.3">
      <c r="A1264" s="272">
        <v>45791</v>
      </c>
      <c r="B1264" s="4">
        <v>24666.9</v>
      </c>
      <c r="C1264" s="272">
        <v>45791</v>
      </c>
      <c r="D1264" s="4">
        <v>4969.5600000000004</v>
      </c>
      <c r="E1264" s="271"/>
      <c r="F1264" s="271"/>
      <c r="G1264" s="273">
        <f>(B1264-B1263)/B1263</f>
        <v>3.6027642213575326E-3</v>
      </c>
      <c r="H1264" s="4">
        <f t="shared" si="19"/>
        <v>2.3315960818148782E-2</v>
      </c>
      <c r="I1264" s="271"/>
      <c r="J1264" s="4"/>
    </row>
    <row r="1265" spans="1:10" ht="14.25" customHeight="1" x14ac:dyDescent="0.3">
      <c r="A1265" s="272">
        <v>45792</v>
      </c>
      <c r="B1265" s="4">
        <v>25062.1</v>
      </c>
      <c r="C1265" s="272">
        <v>45792</v>
      </c>
      <c r="D1265" s="4">
        <v>4969.26</v>
      </c>
      <c r="E1265" s="271"/>
      <c r="F1265" s="271"/>
      <c r="G1265" s="273">
        <f>(B1265-B1264)/B1264</f>
        <v>1.6021470067174921E-2</v>
      </c>
      <c r="H1265" s="4">
        <f t="shared" si="19"/>
        <v>-6.0367517446249138E-5</v>
      </c>
      <c r="I1265" s="271"/>
      <c r="J1265" s="4"/>
    </row>
    <row r="1266" spans="1:10" ht="14.25" customHeight="1" x14ac:dyDescent="0.3">
      <c r="A1266" s="272">
        <v>45793</v>
      </c>
      <c r="B1266" s="4">
        <v>25019.8</v>
      </c>
      <c r="C1266" s="272">
        <v>45793</v>
      </c>
      <c r="D1266" s="4">
        <v>4982.99</v>
      </c>
      <c r="E1266" s="271"/>
      <c r="F1266" s="271"/>
      <c r="G1266" s="273">
        <f>(B1266-B1265)/B1265</f>
        <v>-1.6878074862042396E-3</v>
      </c>
      <c r="H1266" s="4">
        <f t="shared" si="19"/>
        <v>2.7629868431113614E-3</v>
      </c>
      <c r="I1266" s="271"/>
      <c r="J1266" s="4"/>
    </row>
    <row r="1267" spans="1:10" ht="14.25" customHeight="1" x14ac:dyDescent="0.3">
      <c r="A1267" s="272">
        <v>45796</v>
      </c>
      <c r="B1267" s="4">
        <v>24945.45</v>
      </c>
      <c r="C1267" s="272">
        <v>45796</v>
      </c>
      <c r="D1267" s="4">
        <v>4955.6400000000003</v>
      </c>
      <c r="E1267" s="271"/>
      <c r="F1267" s="271"/>
      <c r="G1267" s="273">
        <f>(B1267-B1266)/B1266</f>
        <v>-2.9716464560067845E-3</v>
      </c>
      <c r="H1267" s="4">
        <f t="shared" si="19"/>
        <v>-5.4886724637214718E-3</v>
      </c>
      <c r="I1267" s="271"/>
      <c r="J1267" s="4"/>
    </row>
    <row r="1268" spans="1:10" ht="14.25" customHeight="1" x14ac:dyDescent="0.3">
      <c r="A1268" s="272">
        <v>45797</v>
      </c>
      <c r="B1268" s="4">
        <v>24683.9</v>
      </c>
      <c r="C1268" s="272">
        <v>45797</v>
      </c>
      <c r="D1268" s="4">
        <v>4951</v>
      </c>
      <c r="E1268" s="271"/>
      <c r="F1268" s="271"/>
      <c r="G1268" s="273">
        <f>(B1268-B1267)/B1267</f>
        <v>-1.0484878003804271E-2</v>
      </c>
      <c r="H1268" s="4">
        <f t="shared" si="19"/>
        <v>-9.3630691494949738E-4</v>
      </c>
      <c r="I1268" s="271"/>
      <c r="J1268" s="4"/>
    </row>
    <row r="1269" spans="1:10" ht="14.25" customHeight="1" x14ac:dyDescent="0.3">
      <c r="A1269" s="272">
        <v>45798</v>
      </c>
      <c r="B1269" s="4">
        <v>24813.45</v>
      </c>
      <c r="C1269" s="272">
        <v>45798</v>
      </c>
      <c r="D1269" s="4">
        <v>4969.17</v>
      </c>
      <c r="E1269" s="271"/>
      <c r="F1269" s="271"/>
      <c r="G1269" s="273">
        <f>(B1269-B1268)/B1268</f>
        <v>5.2483602672186835E-3</v>
      </c>
      <c r="H1269" s="4">
        <f t="shared" si="19"/>
        <v>3.6699656635023376E-3</v>
      </c>
      <c r="I1269" s="271"/>
      <c r="J1269" s="4"/>
    </row>
    <row r="1270" spans="1:10" ht="14.25" customHeight="1" x14ac:dyDescent="0.3">
      <c r="A1270" s="272">
        <v>45799</v>
      </c>
      <c r="B1270" s="4">
        <v>24609.7</v>
      </c>
      <c r="C1270" s="272">
        <v>45799</v>
      </c>
      <c r="D1270" s="4">
        <v>4958.7</v>
      </c>
      <c r="E1270" s="271"/>
      <c r="F1270" s="271"/>
      <c r="G1270" s="273">
        <f>(B1270-B1269)/B1269</f>
        <v>-8.2112725155107404E-3</v>
      </c>
      <c r="H1270" s="4">
        <f t="shared" si="19"/>
        <v>-2.106991710889395E-3</v>
      </c>
      <c r="I1270" s="271"/>
      <c r="J1270" s="4"/>
    </row>
    <row r="1271" spans="1:10" ht="14.25" customHeight="1" x14ac:dyDescent="0.3">
      <c r="A1271" s="272">
        <v>45800</v>
      </c>
      <c r="B1271" s="4">
        <v>24853.15</v>
      </c>
      <c r="C1271" s="272">
        <v>45800</v>
      </c>
      <c r="D1271" s="4">
        <v>5026.04</v>
      </c>
      <c r="E1271" s="271"/>
      <c r="F1271" s="271"/>
      <c r="G1271" s="273">
        <f>(B1271-B1270)/B1270</f>
        <v>9.8924407855439413E-3</v>
      </c>
      <c r="H1271" s="4">
        <f t="shared" si="19"/>
        <v>1.3580172222558362E-2</v>
      </c>
      <c r="I1271" s="271"/>
      <c r="J1271" s="4"/>
    </row>
    <row r="1272" spans="1:10" ht="14.25" customHeight="1" x14ac:dyDescent="0.3">
      <c r="A1272" s="272">
        <v>45803</v>
      </c>
      <c r="B1272" s="4">
        <v>25001.15</v>
      </c>
      <c r="C1272" s="272">
        <v>45803</v>
      </c>
      <c r="D1272" s="4">
        <v>5091.58</v>
      </c>
      <c r="E1272" s="271"/>
      <c r="F1272" s="271"/>
      <c r="G1272" s="273">
        <f>(B1272-B1271)/B1271</f>
        <v>5.9549795498759711E-3</v>
      </c>
      <c r="H1272" s="4">
        <f t="shared" si="19"/>
        <v>1.30400872257284E-2</v>
      </c>
      <c r="I1272" s="271"/>
      <c r="J1272" s="4"/>
    </row>
    <row r="1273" spans="1:10" ht="14.25" customHeight="1" x14ac:dyDescent="0.3">
      <c r="A1273" s="272">
        <v>45804</v>
      </c>
      <c r="B1273" s="4">
        <v>24826.2</v>
      </c>
      <c r="C1273" s="272">
        <v>45804</v>
      </c>
      <c r="D1273" s="4">
        <v>5087.6899999999996</v>
      </c>
      <c r="E1273" s="271"/>
      <c r="F1273" s="271"/>
      <c r="G1273" s="273">
        <f>(B1273-B1272)/B1272</f>
        <v>-6.9976781068071155E-3</v>
      </c>
      <c r="H1273" s="4">
        <f t="shared" si="19"/>
        <v>-7.6400645772045758E-4</v>
      </c>
      <c r="I1273" s="271"/>
      <c r="J1273" s="4"/>
    </row>
    <row r="1274" spans="1:10" ht="14.25" customHeight="1" x14ac:dyDescent="0.3">
      <c r="A1274" s="272">
        <v>45805</v>
      </c>
      <c r="B1274" s="4">
        <v>24752.45</v>
      </c>
      <c r="C1274" s="272">
        <v>45805</v>
      </c>
      <c r="D1274" s="4">
        <v>5079.33</v>
      </c>
      <c r="E1274" s="271"/>
      <c r="F1274" s="271"/>
      <c r="G1274" s="273">
        <f>(B1274-B1273)/B1273</f>
        <v>-2.9706519725129095E-3</v>
      </c>
      <c r="H1274" s="4">
        <f t="shared" si="19"/>
        <v>-1.6431818762541886E-3</v>
      </c>
      <c r="I1274" s="271"/>
      <c r="J1274" s="4"/>
    </row>
    <row r="1275" spans="1:10" ht="14.25" customHeight="1" x14ac:dyDescent="0.3">
      <c r="A1275" s="272">
        <v>45806</v>
      </c>
      <c r="B1275" s="4">
        <v>24833.599999999999</v>
      </c>
      <c r="C1275" s="272">
        <v>45806</v>
      </c>
      <c r="D1275" s="4">
        <v>5108.1099999999997</v>
      </c>
      <c r="E1275" s="271"/>
      <c r="F1275" s="271"/>
      <c r="G1275" s="273">
        <f>(B1275-B1274)/B1274</f>
        <v>3.2784633440325226E-3</v>
      </c>
      <c r="H1275" s="4">
        <f t="shared" si="19"/>
        <v>5.6661016315143423E-3</v>
      </c>
      <c r="I1275" s="271"/>
      <c r="J1275" s="4"/>
    </row>
    <row r="1276" spans="1:10" ht="14.25" customHeight="1" x14ac:dyDescent="0.3">
      <c r="A1276" s="272">
        <v>45807</v>
      </c>
      <c r="B1276" s="4">
        <v>24750.7</v>
      </c>
      <c r="C1276" s="272">
        <v>45807</v>
      </c>
      <c r="D1276" s="4">
        <v>5049.05</v>
      </c>
      <c r="E1276" s="271"/>
      <c r="F1276" s="271"/>
      <c r="G1276" s="273">
        <f>(B1276-B1275)/B1275</f>
        <v>-3.3382191869079725E-3</v>
      </c>
      <c r="H1276" s="4">
        <f t="shared" si="19"/>
        <v>-1.1562006299785928E-2</v>
      </c>
      <c r="I1276" s="271"/>
      <c r="J1276" s="4"/>
    </row>
    <row r="1277" spans="1:10" ht="14.25" customHeight="1" x14ac:dyDescent="0.3">
      <c r="A1277" s="272">
        <v>45810</v>
      </c>
      <c r="B1277" s="4">
        <v>24716.6</v>
      </c>
      <c r="C1277" s="272">
        <v>45810</v>
      </c>
      <c r="D1277" s="4">
        <v>5052.63</v>
      </c>
      <c r="E1277" s="271"/>
      <c r="F1277" s="271"/>
      <c r="G1277" s="273">
        <f>(B1277-B1276)/B1276</f>
        <v>-1.3777388114276437E-3</v>
      </c>
      <c r="H1277" s="4">
        <f t="shared" si="19"/>
        <v>7.0904427565580204E-4</v>
      </c>
      <c r="I1277" s="271"/>
      <c r="J1277" s="4"/>
    </row>
    <row r="1278" spans="1:10" ht="14.25" customHeight="1" x14ac:dyDescent="0.3">
      <c r="A1278" s="272">
        <v>45811</v>
      </c>
      <c r="B1278" s="4">
        <v>24542.5</v>
      </c>
      <c r="C1278" s="272">
        <v>45811</v>
      </c>
      <c r="D1278" s="4">
        <v>5041.18</v>
      </c>
      <c r="E1278" s="271"/>
      <c r="F1278" s="271"/>
      <c r="G1278" s="273">
        <f>(B1278-B1277)/B1277</f>
        <v>-7.0438490730925186E-3</v>
      </c>
      <c r="H1278" s="4">
        <f t="shared" si="19"/>
        <v>-2.2661465415040917E-3</v>
      </c>
      <c r="I1278" s="271"/>
      <c r="J1278" s="4"/>
    </row>
    <row r="1279" spans="1:10" ht="14.25" customHeight="1" x14ac:dyDescent="0.3">
      <c r="A1279" s="272">
        <v>45812</v>
      </c>
      <c r="B1279" s="4">
        <v>24620.2</v>
      </c>
      <c r="C1279" s="272">
        <v>45812</v>
      </c>
      <c r="D1279" s="4">
        <v>5132.82</v>
      </c>
      <c r="E1279" s="271"/>
      <c r="F1279" s="271"/>
      <c r="G1279" s="273">
        <f>(B1279-B1278)/B1278</f>
        <v>3.165936640521574E-3</v>
      </c>
      <c r="H1279" s="4">
        <f t="shared" si="19"/>
        <v>1.8178283655810624E-2</v>
      </c>
      <c r="I1279" s="271"/>
      <c r="J1279" s="4"/>
    </row>
    <row r="1280" spans="1:10" ht="14.25" customHeight="1" x14ac:dyDescent="0.3">
      <c r="A1280" s="272">
        <v>45813</v>
      </c>
      <c r="B1280" s="4">
        <v>24750.9</v>
      </c>
      <c r="C1280" s="272">
        <v>45813</v>
      </c>
      <c r="D1280" s="4">
        <v>5161.21</v>
      </c>
      <c r="E1280" s="271"/>
      <c r="F1280" s="271"/>
      <c r="G1280" s="273">
        <f>(B1280-B1279)/B1279</f>
        <v>5.308648995540277E-3</v>
      </c>
      <c r="H1280" s="4">
        <f t="shared" si="19"/>
        <v>5.5310725877783223E-3</v>
      </c>
      <c r="I1280" s="271"/>
      <c r="J1280" s="4"/>
    </row>
    <row r="1281" spans="1:10" ht="14.25" customHeight="1" x14ac:dyDescent="0.3">
      <c r="A1281" s="272">
        <v>45814</v>
      </c>
      <c r="B1281" s="4">
        <v>25003.05</v>
      </c>
      <c r="C1281" s="272">
        <v>45814</v>
      </c>
      <c r="D1281" s="4">
        <v>5183.62</v>
      </c>
      <c r="E1281" s="271"/>
      <c r="F1281" s="271"/>
      <c r="G1281" s="273">
        <f>(B1281-B1280)/B1280</f>
        <v>1.0187508333030225E-2</v>
      </c>
      <c r="H1281" s="4">
        <f t="shared" si="19"/>
        <v>4.3420050724539121E-3</v>
      </c>
      <c r="I1281" s="271"/>
      <c r="J1281" s="4"/>
    </row>
    <row r="1282" spans="1:10" ht="14.25" customHeight="1" x14ac:dyDescent="0.3">
      <c r="A1282" s="272">
        <v>45817</v>
      </c>
      <c r="B1282" s="4">
        <v>25103.200000000001</v>
      </c>
      <c r="C1282" s="272">
        <v>45817</v>
      </c>
      <c r="D1282" s="4">
        <v>5237.41</v>
      </c>
      <c r="E1282" s="271"/>
      <c r="F1282" s="271"/>
      <c r="G1282" s="273">
        <f>(B1282-B1281)/B1281</f>
        <v>4.0055113276180887E-3</v>
      </c>
      <c r="H1282" s="4">
        <f t="shared" si="19"/>
        <v>1.0376918061123301E-2</v>
      </c>
      <c r="I1282" s="271"/>
      <c r="J1282" s="4"/>
    </row>
    <row r="1283" spans="1:10" ht="14.25" customHeight="1" x14ac:dyDescent="0.3">
      <c r="A1283" s="272">
        <v>45818</v>
      </c>
      <c r="B1283" s="4">
        <v>25104.25</v>
      </c>
      <c r="C1283" s="272">
        <v>45818</v>
      </c>
      <c r="D1283" s="4">
        <v>5363.91</v>
      </c>
      <c r="E1283" s="271"/>
      <c r="F1283" s="271"/>
      <c r="G1283" s="273">
        <f>(B1283-B1282)/B1282</f>
        <v>4.1827336753850999E-5</v>
      </c>
      <c r="H1283" s="4">
        <f t="shared" ref="H1283:H1346" si="20">(D1283-D1282)/D1282</f>
        <v>2.4153159672433512E-2</v>
      </c>
      <c r="I1283" s="271"/>
      <c r="J1283" s="4"/>
    </row>
    <row r="1284" spans="1:10" ht="14.25" customHeight="1" x14ac:dyDescent="0.3">
      <c r="A1284" s="272">
        <v>45819</v>
      </c>
      <c r="B1284" s="4">
        <v>25141.4</v>
      </c>
      <c r="C1284" s="272">
        <v>45819</v>
      </c>
      <c r="D1284" s="4">
        <v>5372.87</v>
      </c>
      <c r="E1284" s="271"/>
      <c r="F1284" s="271"/>
      <c r="G1284" s="273">
        <f>(B1284-B1283)/B1283</f>
        <v>1.479829112600514E-3</v>
      </c>
      <c r="H1284" s="4">
        <f t="shared" si="20"/>
        <v>1.6704232546780309E-3</v>
      </c>
      <c r="I1284" s="271"/>
      <c r="J1284" s="4"/>
    </row>
    <row r="1285" spans="1:10" ht="14.25" customHeight="1" x14ac:dyDescent="0.3">
      <c r="A1285" s="272">
        <v>45820</v>
      </c>
      <c r="B1285" s="4">
        <v>24888.2</v>
      </c>
      <c r="C1285" s="272">
        <v>45820</v>
      </c>
      <c r="D1285" s="4">
        <v>5393.79</v>
      </c>
      <c r="E1285" s="271"/>
      <c r="F1285" s="271"/>
      <c r="G1285" s="273">
        <f>(B1285-B1284)/B1284</f>
        <v>-1.0071038207896168E-2</v>
      </c>
      <c r="H1285" s="4">
        <f t="shared" si="20"/>
        <v>3.8936359897038405E-3</v>
      </c>
      <c r="I1285" s="271"/>
      <c r="J1285" s="4"/>
    </row>
    <row r="1286" spans="1:10" ht="14.25" customHeight="1" x14ac:dyDescent="0.3">
      <c r="A1286" s="272">
        <v>45821</v>
      </c>
      <c r="B1286" s="4">
        <v>24718.6</v>
      </c>
      <c r="C1286" s="272">
        <v>45821</v>
      </c>
      <c r="D1286" s="4">
        <v>5407.74</v>
      </c>
      <c r="E1286" s="271"/>
      <c r="F1286" s="271"/>
      <c r="G1286" s="273">
        <f>(B1286-B1285)/B1285</f>
        <v>-6.8144743292002704E-3</v>
      </c>
      <c r="H1286" s="4">
        <f t="shared" si="20"/>
        <v>2.586307587058417E-3</v>
      </c>
      <c r="I1286" s="271"/>
      <c r="J1286" s="4"/>
    </row>
    <row r="1287" spans="1:10" ht="14.25" customHeight="1" x14ac:dyDescent="0.3">
      <c r="A1287" s="272">
        <v>45824</v>
      </c>
      <c r="B1287" s="4">
        <v>24946.5</v>
      </c>
      <c r="C1287" s="272">
        <v>45824</v>
      </c>
      <c r="D1287" s="4">
        <v>5428.16</v>
      </c>
      <c r="E1287" s="271"/>
      <c r="F1287" s="271"/>
      <c r="G1287" s="273">
        <f>(B1287-B1286)/B1286</f>
        <v>9.2197778191322102E-3</v>
      </c>
      <c r="H1287" s="4">
        <f t="shared" si="20"/>
        <v>3.7760691157489217E-3</v>
      </c>
      <c r="I1287" s="271"/>
      <c r="J1287" s="4"/>
    </row>
    <row r="1288" spans="1:10" ht="14.25" customHeight="1" x14ac:dyDescent="0.3">
      <c r="A1288" s="272">
        <v>45825</v>
      </c>
      <c r="B1288" s="4">
        <v>24853.4</v>
      </c>
      <c r="C1288" s="272">
        <v>45825</v>
      </c>
      <c r="D1288" s="4">
        <v>5492.9</v>
      </c>
      <c r="E1288" s="271"/>
      <c r="F1288" s="271"/>
      <c r="G1288" s="273">
        <f>(B1288-B1287)/B1287</f>
        <v>-3.7319864510050927E-3</v>
      </c>
      <c r="H1288" s="4">
        <f t="shared" si="20"/>
        <v>1.1926693391499106E-2</v>
      </c>
      <c r="I1288" s="271"/>
      <c r="J1288" s="4"/>
    </row>
    <row r="1289" spans="1:10" ht="14.25" customHeight="1" x14ac:dyDescent="0.3">
      <c r="A1289" s="272">
        <v>45826</v>
      </c>
      <c r="B1289" s="4">
        <v>24812.05</v>
      </c>
      <c r="C1289" s="272">
        <v>45826</v>
      </c>
      <c r="D1289" s="4">
        <v>5429.15</v>
      </c>
      <c r="E1289" s="271"/>
      <c r="F1289" s="271"/>
      <c r="G1289" s="273">
        <f>(B1289-B1288)/B1288</f>
        <v>-1.6637562667482992E-3</v>
      </c>
      <c r="H1289" s="4">
        <f t="shared" si="20"/>
        <v>-1.1605891241420745E-2</v>
      </c>
      <c r="I1289" s="271"/>
      <c r="J1289" s="4"/>
    </row>
    <row r="1290" spans="1:10" ht="14.25" customHeight="1" x14ac:dyDescent="0.3">
      <c r="A1290" s="272">
        <v>45827</v>
      </c>
      <c r="B1290" s="4">
        <v>24793.25</v>
      </c>
      <c r="C1290" s="272">
        <v>45827</v>
      </c>
      <c r="D1290" s="4">
        <v>5346.98</v>
      </c>
      <c r="E1290" s="271"/>
      <c r="F1290" s="271"/>
      <c r="G1290" s="273">
        <f>(B1290-B1289)/B1289</f>
        <v>-7.5769636124380178E-4</v>
      </c>
      <c r="H1290" s="4">
        <f t="shared" si="20"/>
        <v>-1.5134965878636634E-2</v>
      </c>
      <c r="I1290" s="271"/>
      <c r="J1290" s="4"/>
    </row>
    <row r="1291" spans="1:10" ht="14.25" customHeight="1" x14ac:dyDescent="0.3">
      <c r="A1291" s="272">
        <v>45828</v>
      </c>
      <c r="B1291" s="4">
        <v>25112.400000000001</v>
      </c>
      <c r="C1291" s="272">
        <v>45828</v>
      </c>
      <c r="D1291" s="4">
        <v>5355.44</v>
      </c>
      <c r="E1291" s="271"/>
      <c r="F1291" s="271"/>
      <c r="G1291" s="273">
        <f>(B1291-B1290)/B1290</f>
        <v>1.2872455204541618E-2</v>
      </c>
      <c r="H1291" s="4">
        <f t="shared" si="20"/>
        <v>1.5822015418049135E-3</v>
      </c>
      <c r="I1291" s="271"/>
      <c r="J1291" s="4"/>
    </row>
    <row r="1292" spans="1:10" ht="14.25" customHeight="1" x14ac:dyDescent="0.3">
      <c r="A1292" s="272">
        <v>45831</v>
      </c>
      <c r="B1292" s="4">
        <v>24971.9</v>
      </c>
      <c r="C1292" s="272">
        <v>45831</v>
      </c>
      <c r="D1292" s="4">
        <v>5306.63</v>
      </c>
      <c r="E1292" s="271"/>
      <c r="F1292" s="271"/>
      <c r="G1292" s="273">
        <f>(B1292-B1291)/B1291</f>
        <v>-5.5948455742979557E-3</v>
      </c>
      <c r="H1292" s="4">
        <f t="shared" si="20"/>
        <v>-9.1140970676544773E-3</v>
      </c>
      <c r="I1292" s="271"/>
      <c r="J1292" s="4"/>
    </row>
    <row r="1293" spans="1:10" ht="14.25" customHeight="1" x14ac:dyDescent="0.3">
      <c r="A1293" s="272">
        <v>45832</v>
      </c>
      <c r="B1293" s="4">
        <v>25044.35</v>
      </c>
      <c r="C1293" s="272">
        <v>45832</v>
      </c>
      <c r="D1293" s="4">
        <v>5315.6</v>
      </c>
      <c r="E1293" s="271"/>
      <c r="F1293" s="271"/>
      <c r="G1293" s="273">
        <f>(B1293-B1292)/B1292</f>
        <v>2.9012610173834224E-3</v>
      </c>
      <c r="H1293" s="4">
        <f t="shared" si="20"/>
        <v>1.6903383126391429E-3</v>
      </c>
      <c r="I1293" s="271"/>
      <c r="J1293" s="4"/>
    </row>
    <row r="1294" spans="1:10" ht="14.25" customHeight="1" x14ac:dyDescent="0.3">
      <c r="A1294" s="272">
        <v>45833</v>
      </c>
      <c r="B1294" s="4">
        <v>25244.75</v>
      </c>
      <c r="C1294" s="272">
        <v>45833</v>
      </c>
      <c r="D1294" s="4">
        <v>5414.71</v>
      </c>
      <c r="E1294" s="271"/>
      <c r="F1294" s="271"/>
      <c r="G1294" s="273">
        <f>(B1294-B1293)/B1293</f>
        <v>8.0018047982878954E-3</v>
      </c>
      <c r="H1294" s="4">
        <f t="shared" si="20"/>
        <v>1.8645120024080003E-2</v>
      </c>
      <c r="I1294" s="271"/>
      <c r="J1294" s="4"/>
    </row>
    <row r="1295" spans="1:10" ht="14.25" customHeight="1" x14ac:dyDescent="0.3">
      <c r="A1295" s="272">
        <v>45834</v>
      </c>
      <c r="B1295" s="4">
        <v>25549</v>
      </c>
      <c r="C1295" s="272">
        <v>45834</v>
      </c>
      <c r="D1295" s="4">
        <v>5351.96</v>
      </c>
      <c r="E1295" s="271"/>
      <c r="F1295" s="271"/>
      <c r="G1295" s="273">
        <f>(B1295-B1294)/B1294</f>
        <v>1.205201081412967E-2</v>
      </c>
      <c r="H1295" s="4">
        <f t="shared" si="20"/>
        <v>-1.1588801616337716E-2</v>
      </c>
      <c r="I1295" s="271"/>
      <c r="J1295" s="4"/>
    </row>
    <row r="1296" spans="1:10" ht="14.25" customHeight="1" x14ac:dyDescent="0.3">
      <c r="A1296" s="272">
        <v>45835</v>
      </c>
      <c r="B1296" s="4">
        <v>25637.8</v>
      </c>
      <c r="C1296" s="272">
        <v>45835</v>
      </c>
      <c r="D1296" s="4">
        <v>5272.27</v>
      </c>
      <c r="E1296" s="271"/>
      <c r="F1296" s="271"/>
      <c r="G1296" s="273">
        <f>(B1296-B1295)/B1295</f>
        <v>3.4756741946846948E-3</v>
      </c>
      <c r="H1296" s="4">
        <f t="shared" si="20"/>
        <v>-1.4889872121615183E-2</v>
      </c>
      <c r="I1296" s="271"/>
      <c r="J1296" s="4"/>
    </row>
    <row r="1297" spans="1:10" ht="14.25" customHeight="1" x14ac:dyDescent="0.3">
      <c r="A1297" s="272">
        <v>45838</v>
      </c>
      <c r="B1297" s="4">
        <v>25517.05</v>
      </c>
      <c r="C1297" s="272">
        <v>45838</v>
      </c>
      <c r="D1297" s="4">
        <v>5296.17</v>
      </c>
      <c r="E1297" s="271"/>
      <c r="F1297" s="271"/>
      <c r="G1297" s="273">
        <f>(B1297-B1296)/B1296</f>
        <v>-4.7098424981862723E-3</v>
      </c>
      <c r="H1297" s="4">
        <f t="shared" si="20"/>
        <v>4.5331517543675936E-3</v>
      </c>
      <c r="I1297" s="271"/>
      <c r="J1297" s="4"/>
    </row>
    <row r="1298" spans="1:10" ht="14.25" customHeight="1" x14ac:dyDescent="0.3">
      <c r="A1298" s="272">
        <v>45839</v>
      </c>
      <c r="B1298" s="4">
        <v>25541.8</v>
      </c>
      <c r="C1298" s="272">
        <v>45839</v>
      </c>
      <c r="D1298" s="4">
        <v>5283.23</v>
      </c>
      <c r="E1298" s="271"/>
      <c r="F1298" s="271"/>
      <c r="G1298" s="273">
        <f>(B1298-B1297)/B1297</f>
        <v>9.6993970698023484E-4</v>
      </c>
      <c r="H1298" s="4">
        <f t="shared" si="20"/>
        <v>-2.4432750459295132E-3</v>
      </c>
      <c r="I1298" s="271"/>
      <c r="J1298" s="4"/>
    </row>
    <row r="1299" spans="1:10" ht="14.25" customHeight="1" x14ac:dyDescent="0.3">
      <c r="A1299" s="272">
        <v>45840</v>
      </c>
      <c r="B1299" s="4">
        <v>25453.4</v>
      </c>
      <c r="C1299" s="272">
        <v>45840</v>
      </c>
      <c r="D1299" s="4">
        <v>5283.72</v>
      </c>
      <c r="E1299" s="271"/>
      <c r="F1299" s="271"/>
      <c r="G1299" s="273">
        <f>(B1299-B1298)/B1298</f>
        <v>-3.4609933520737702E-3</v>
      </c>
      <c r="H1299" s="4">
        <f t="shared" si="20"/>
        <v>9.2746293460760042E-5</v>
      </c>
      <c r="I1299" s="271"/>
      <c r="J1299" s="4"/>
    </row>
    <row r="1300" spans="1:10" ht="14.25" customHeight="1" x14ac:dyDescent="0.3">
      <c r="A1300" s="272">
        <v>45841</v>
      </c>
      <c r="B1300" s="4">
        <v>25405.3</v>
      </c>
      <c r="C1300" s="272">
        <v>45841</v>
      </c>
      <c r="D1300" s="4">
        <v>5303.65</v>
      </c>
      <c r="E1300" s="271"/>
      <c r="F1300" s="271"/>
      <c r="G1300" s="273">
        <f>(B1300-B1299)/B1299</f>
        <v>-1.8897278948982132E-3</v>
      </c>
      <c r="H1300" s="4">
        <f t="shared" si="20"/>
        <v>3.7719636922470116E-3</v>
      </c>
      <c r="I1300" s="271"/>
      <c r="J1300" s="4"/>
    </row>
    <row r="1301" spans="1:10" ht="14.25" customHeight="1" x14ac:dyDescent="0.3">
      <c r="A1301" s="272">
        <v>45842</v>
      </c>
      <c r="B1301" s="4">
        <v>25461</v>
      </c>
      <c r="C1301" s="272">
        <v>45842</v>
      </c>
      <c r="D1301" s="4">
        <v>5295.18</v>
      </c>
      <c r="E1301" s="271"/>
      <c r="F1301" s="271"/>
      <c r="G1301" s="273">
        <f>(B1301-B1300)/B1300</f>
        <v>2.1924559048702723E-3</v>
      </c>
      <c r="H1301" s="4">
        <f t="shared" si="20"/>
        <v>-1.5970133775794681E-3</v>
      </c>
      <c r="I1301" s="271"/>
      <c r="J1301" s="4"/>
    </row>
    <row r="1302" spans="1:10" ht="14.25" customHeight="1" x14ac:dyDescent="0.3">
      <c r="A1302" s="272">
        <v>45845</v>
      </c>
      <c r="B1302" s="4">
        <v>25461.3</v>
      </c>
      <c r="C1302" s="272">
        <v>45845</v>
      </c>
      <c r="D1302" s="4">
        <v>5329.05</v>
      </c>
      <c r="E1302" s="271"/>
      <c r="F1302" s="271"/>
      <c r="G1302" s="273">
        <f>(B1302-B1301)/B1301</f>
        <v>1.1782726522888827E-5</v>
      </c>
      <c r="H1302" s="4">
        <f t="shared" si="20"/>
        <v>6.3963831257860711E-3</v>
      </c>
      <c r="I1302" s="271"/>
      <c r="J1302" s="4"/>
    </row>
    <row r="1303" spans="1:10" ht="14.25" customHeight="1" x14ac:dyDescent="0.3">
      <c r="A1303" s="272">
        <v>45846</v>
      </c>
      <c r="B1303" s="4">
        <v>25522.5</v>
      </c>
      <c r="C1303" s="272">
        <v>45846</v>
      </c>
      <c r="D1303" s="4">
        <v>5347.97</v>
      </c>
      <c r="E1303" s="271"/>
      <c r="F1303" s="271"/>
      <c r="G1303" s="273">
        <f>(B1303-B1302)/B1302</f>
        <v>2.4036478891494438E-3</v>
      </c>
      <c r="H1303" s="4">
        <f t="shared" si="20"/>
        <v>3.5503513759488226E-3</v>
      </c>
      <c r="I1303" s="271"/>
      <c r="J1303" s="4"/>
    </row>
    <row r="1304" spans="1:10" ht="14.25" customHeight="1" x14ac:dyDescent="0.3">
      <c r="A1304" s="272">
        <v>45847</v>
      </c>
      <c r="B1304" s="4">
        <v>25476.1</v>
      </c>
      <c r="C1304" s="272">
        <v>45847</v>
      </c>
      <c r="D1304" s="4">
        <v>5308.63</v>
      </c>
      <c r="E1304" s="271"/>
      <c r="F1304" s="271"/>
      <c r="G1304" s="273">
        <f>(B1304-B1303)/B1303</f>
        <v>-1.8180037222059538E-3</v>
      </c>
      <c r="H1304" s="4">
        <f t="shared" si="20"/>
        <v>-7.3560622067812918E-3</v>
      </c>
      <c r="I1304" s="271"/>
      <c r="J1304" s="4"/>
    </row>
    <row r="1305" spans="1:10" ht="14.25" customHeight="1" x14ac:dyDescent="0.3">
      <c r="A1305" s="272">
        <v>45848</v>
      </c>
      <c r="B1305" s="4">
        <v>25355.25</v>
      </c>
      <c r="C1305" s="272">
        <v>45848</v>
      </c>
      <c r="D1305" s="4">
        <v>5299.16</v>
      </c>
      <c r="E1305" s="271"/>
      <c r="F1305" s="271"/>
      <c r="G1305" s="273">
        <f>(B1305-B1304)/B1304</f>
        <v>-4.7436617064620787E-3</v>
      </c>
      <c r="H1305" s="4">
        <f t="shared" si="20"/>
        <v>-1.7838877450491472E-3</v>
      </c>
      <c r="I1305" s="271"/>
      <c r="J1305" s="4"/>
    </row>
    <row r="1306" spans="1:10" ht="14.25" customHeight="1" x14ac:dyDescent="0.3">
      <c r="A1306" s="272">
        <v>45849</v>
      </c>
      <c r="B1306" s="4">
        <v>25149.85</v>
      </c>
      <c r="C1306" s="272">
        <v>45849</v>
      </c>
      <c r="D1306" s="4">
        <v>5185.6099999999997</v>
      </c>
      <c r="E1306" s="271"/>
      <c r="F1306" s="271"/>
      <c r="G1306" s="273">
        <f>(B1306-B1305)/B1305</f>
        <v>-8.1008864041964262E-3</v>
      </c>
      <c r="H1306" s="4">
        <f t="shared" si="20"/>
        <v>-2.1427924425758079E-2</v>
      </c>
      <c r="I1306" s="271"/>
      <c r="J1306" s="4"/>
    </row>
    <row r="1307" spans="1:10" ht="14.25" customHeight="1" x14ac:dyDescent="0.3">
      <c r="A1307" s="272">
        <v>45852</v>
      </c>
      <c r="B1307" s="4">
        <v>25082.3</v>
      </c>
      <c r="C1307" s="272">
        <v>45852</v>
      </c>
      <c r="D1307" s="4">
        <v>5137.8</v>
      </c>
      <c r="E1307" s="271"/>
      <c r="F1307" s="271"/>
      <c r="G1307" s="273">
        <f>(B1307-B1306)/B1306</f>
        <v>-2.6859007111374135E-3</v>
      </c>
      <c r="H1307" s="4">
        <f t="shared" si="20"/>
        <v>-9.2197446394926517E-3</v>
      </c>
      <c r="I1307" s="271"/>
      <c r="J1307" s="4"/>
    </row>
    <row r="1308" spans="1:10" ht="14.25" customHeight="1" x14ac:dyDescent="0.3">
      <c r="A1308" s="272">
        <v>45853</v>
      </c>
      <c r="B1308" s="4">
        <v>25195.8</v>
      </c>
      <c r="C1308" s="272">
        <v>45853</v>
      </c>
      <c r="D1308" s="4">
        <v>5229.9399999999996</v>
      </c>
      <c r="E1308" s="271"/>
      <c r="F1308" s="271"/>
      <c r="G1308" s="273">
        <f>(B1308-B1307)/B1307</f>
        <v>4.5251033597397371E-3</v>
      </c>
      <c r="H1308" s="4">
        <f t="shared" si="20"/>
        <v>1.7933745961306282E-2</v>
      </c>
      <c r="I1308" s="271"/>
      <c r="J1308" s="4"/>
    </row>
    <row r="1309" spans="1:10" ht="14.25" customHeight="1" x14ac:dyDescent="0.3">
      <c r="A1309" s="272">
        <v>45854</v>
      </c>
      <c r="B1309" s="4">
        <v>25212.05</v>
      </c>
      <c r="C1309" s="272">
        <v>45854</v>
      </c>
      <c r="D1309" s="4">
        <v>5306.14</v>
      </c>
      <c r="E1309" s="271"/>
      <c r="F1309" s="271"/>
      <c r="G1309" s="273">
        <f>(B1309-B1308)/B1308</f>
        <v>6.4494876130148681E-4</v>
      </c>
      <c r="H1309" s="4">
        <f t="shared" si="20"/>
        <v>1.4569956825508655E-2</v>
      </c>
      <c r="I1309" s="271"/>
      <c r="J1309" s="4"/>
    </row>
    <row r="1310" spans="1:10" ht="14.25" customHeight="1" x14ac:dyDescent="0.3">
      <c r="A1310" s="272">
        <v>45855</v>
      </c>
      <c r="B1310" s="4">
        <v>25111.45</v>
      </c>
      <c r="C1310" s="272">
        <v>45855</v>
      </c>
      <c r="D1310" s="4">
        <v>5174.1499999999996</v>
      </c>
      <c r="E1310" s="271"/>
      <c r="F1310" s="271"/>
      <c r="G1310" s="273">
        <f>(B1310-B1309)/B1309</f>
        <v>-3.9901555010401196E-3</v>
      </c>
      <c r="H1310" s="4">
        <f t="shared" si="20"/>
        <v>-2.487495618283737E-2</v>
      </c>
      <c r="I1310" s="271"/>
      <c r="J1310" s="4"/>
    </row>
    <row r="1311" spans="1:10" ht="14.25" customHeight="1" x14ac:dyDescent="0.3">
      <c r="A1311" s="272">
        <v>45856</v>
      </c>
      <c r="B1311" s="4">
        <v>24968.400000000001</v>
      </c>
      <c r="C1311" s="272">
        <v>45856</v>
      </c>
      <c r="D1311" s="4">
        <v>5103.93</v>
      </c>
      <c r="E1311" s="271"/>
      <c r="F1311" s="271"/>
      <c r="G1311" s="273">
        <f>(B1311-B1310)/B1310</f>
        <v>-5.6966045369741397E-3</v>
      </c>
      <c r="H1311" s="4">
        <f t="shared" si="20"/>
        <v>-1.3571311229863717E-2</v>
      </c>
      <c r="I1311" s="271"/>
      <c r="J1311" s="4"/>
    </row>
    <row r="1312" spans="1:10" ht="14.25" customHeight="1" x14ac:dyDescent="0.3">
      <c r="A1312" s="272">
        <v>45859</v>
      </c>
      <c r="B1312" s="4">
        <v>25090.7</v>
      </c>
      <c r="C1312" s="272">
        <v>45859</v>
      </c>
      <c r="D1312" s="4">
        <v>5133.8100000000004</v>
      </c>
      <c r="E1312" s="271"/>
      <c r="F1312" s="271"/>
      <c r="G1312" s="273">
        <f>(B1312-B1311)/B1311</f>
        <v>4.8981913138206401E-3</v>
      </c>
      <c r="H1312" s="4">
        <f t="shared" si="20"/>
        <v>5.8543122652544429E-3</v>
      </c>
      <c r="I1312" s="271"/>
      <c r="J1312" s="4"/>
    </row>
    <row r="1313" spans="1:10" ht="14.25" customHeight="1" x14ac:dyDescent="0.3">
      <c r="A1313" s="272">
        <v>45860</v>
      </c>
      <c r="B1313" s="4">
        <v>25060.9</v>
      </c>
      <c r="C1313" s="272">
        <v>45860</v>
      </c>
      <c r="D1313" s="4">
        <v>5155.2299999999996</v>
      </c>
      <c r="E1313" s="271"/>
      <c r="F1313" s="271"/>
      <c r="G1313" s="273">
        <f>(B1313-B1312)/B1312</f>
        <v>-1.1876910568457346E-3</v>
      </c>
      <c r="H1313" s="4">
        <f t="shared" si="20"/>
        <v>4.1723398411704291E-3</v>
      </c>
      <c r="I1313" s="271"/>
      <c r="J1313" s="4"/>
    </row>
    <row r="1314" spans="1:10" ht="14.25" customHeight="1" x14ac:dyDescent="0.3">
      <c r="A1314" s="272">
        <v>45861</v>
      </c>
      <c r="B1314" s="4">
        <v>25219.9</v>
      </c>
      <c r="C1314" s="272">
        <v>45861</v>
      </c>
      <c r="D1314" s="4">
        <v>5277.25</v>
      </c>
      <c r="E1314" s="271"/>
      <c r="F1314" s="271"/>
      <c r="G1314" s="273">
        <f>(B1314-B1313)/B1313</f>
        <v>6.3445446891372608E-3</v>
      </c>
      <c r="H1314" s="4">
        <f t="shared" si="20"/>
        <v>2.3669167040073952E-2</v>
      </c>
      <c r="I1314" s="271"/>
      <c r="J1314" s="4"/>
    </row>
    <row r="1315" spans="1:10" ht="14.25" customHeight="1" x14ac:dyDescent="0.3">
      <c r="A1315" s="272">
        <v>45862</v>
      </c>
      <c r="B1315" s="4">
        <v>25062.1</v>
      </c>
      <c r="C1315" s="272">
        <v>45862</v>
      </c>
      <c r="D1315" s="4">
        <v>5185.6099999999997</v>
      </c>
      <c r="E1315" s="271"/>
      <c r="F1315" s="271"/>
      <c r="G1315" s="273">
        <f>(B1315-B1314)/B1314</f>
        <v>-6.2569637468825375E-3</v>
      </c>
      <c r="H1315" s="4">
        <f t="shared" si="20"/>
        <v>-1.7365104931545847E-2</v>
      </c>
      <c r="I1315" s="271"/>
      <c r="J1315" s="4"/>
    </row>
    <row r="1316" spans="1:10" ht="14.25" customHeight="1" x14ac:dyDescent="0.3">
      <c r="A1316" s="272">
        <v>45863</v>
      </c>
      <c r="B1316" s="4">
        <v>24837</v>
      </c>
      <c r="C1316" s="272">
        <v>45863</v>
      </c>
      <c r="D1316" s="4">
        <v>5076.04</v>
      </c>
      <c r="E1316" s="271"/>
      <c r="F1316" s="271"/>
      <c r="G1316" s="273">
        <f>(B1316-B1315)/B1315</f>
        <v>-8.9816894833233667E-3</v>
      </c>
      <c r="H1316" s="4">
        <f t="shared" si="20"/>
        <v>-2.1129626022782223E-2</v>
      </c>
      <c r="I1316" s="271"/>
      <c r="J1316" s="4"/>
    </row>
    <row r="1317" spans="1:10" ht="14.25" customHeight="1" x14ac:dyDescent="0.3">
      <c r="A1317" s="272">
        <v>45866</v>
      </c>
      <c r="B1317" s="4">
        <v>24680.9</v>
      </c>
      <c r="C1317" s="272">
        <v>45866</v>
      </c>
      <c r="D1317" s="4">
        <v>5027.2299999999996</v>
      </c>
      <c r="E1317" s="271"/>
      <c r="F1317" s="271"/>
      <c r="G1317" s="273">
        <f>(B1317-B1316)/B1316</f>
        <v>-6.2849780569311326E-3</v>
      </c>
      <c r="H1317" s="4">
        <f t="shared" si="20"/>
        <v>-9.6157634691610792E-3</v>
      </c>
      <c r="I1317" s="271"/>
      <c r="J1317" s="4"/>
    </row>
    <row r="1318" spans="1:10" ht="14.25" customHeight="1" x14ac:dyDescent="0.3">
      <c r="A1318" s="272">
        <v>45867</v>
      </c>
      <c r="B1318" s="4">
        <v>24821.1</v>
      </c>
      <c r="C1318" s="272">
        <v>45867</v>
      </c>
      <c r="D1318" s="4">
        <v>5036.7</v>
      </c>
      <c r="E1318" s="271"/>
      <c r="F1318" s="271"/>
      <c r="G1318" s="273">
        <f>(B1318-B1317)/B1317</f>
        <v>5.6805059783069933E-3</v>
      </c>
      <c r="H1318" s="4">
        <f t="shared" si="20"/>
        <v>1.8837411457204574E-3</v>
      </c>
      <c r="I1318" s="271"/>
      <c r="J1318" s="4"/>
    </row>
    <row r="1319" spans="1:10" ht="14.25" customHeight="1" x14ac:dyDescent="0.3">
      <c r="A1319" s="272">
        <v>45868</v>
      </c>
      <c r="B1319" s="4">
        <v>24855.05</v>
      </c>
      <c r="C1319" s="272">
        <v>45868</v>
      </c>
      <c r="D1319" s="4">
        <v>5119.37</v>
      </c>
      <c r="E1319" s="271"/>
      <c r="F1319" s="271"/>
      <c r="G1319" s="273">
        <f>(B1319-B1318)/B1318</f>
        <v>1.3677878901418845E-3</v>
      </c>
      <c r="H1319" s="4">
        <f t="shared" si="20"/>
        <v>1.6413524728492876E-2</v>
      </c>
      <c r="I1319" s="271"/>
      <c r="J1319" s="4"/>
    </row>
    <row r="1320" spans="1:10" ht="14.25" customHeight="1" x14ac:dyDescent="0.3">
      <c r="A1320" s="272">
        <v>45869</v>
      </c>
      <c r="B1320" s="4">
        <v>24768.35</v>
      </c>
      <c r="C1320" s="272">
        <v>45869</v>
      </c>
      <c r="D1320" s="4">
        <v>5086</v>
      </c>
      <c r="E1320" s="271"/>
      <c r="F1320" s="271"/>
      <c r="G1320" s="273">
        <f>(B1320-B1319)/B1319</f>
        <v>-3.4882247269669838E-3</v>
      </c>
      <c r="H1320" s="4">
        <f t="shared" si="20"/>
        <v>-6.5183801913125819E-3</v>
      </c>
      <c r="I1320" s="271"/>
      <c r="J1320" s="4"/>
    </row>
    <row r="1321" spans="1:10" ht="14.25" customHeight="1" x14ac:dyDescent="0.3">
      <c r="A1321" s="272">
        <v>45870</v>
      </c>
      <c r="B1321" s="4">
        <v>24565.35</v>
      </c>
      <c r="C1321" s="272">
        <v>45870</v>
      </c>
      <c r="D1321" s="4">
        <v>4997.8500000000004</v>
      </c>
      <c r="E1321" s="271"/>
      <c r="F1321" s="271"/>
      <c r="G1321" s="273">
        <f>(B1321-B1320)/B1320</f>
        <v>-8.1959436135229033E-3</v>
      </c>
      <c r="H1321" s="4">
        <f t="shared" si="20"/>
        <v>-1.7331891466771457E-2</v>
      </c>
      <c r="I1321" s="271"/>
      <c r="J1321" s="4"/>
    </row>
    <row r="1322" spans="1:10" ht="14.25" customHeight="1" x14ac:dyDescent="0.3">
      <c r="A1322" s="272">
        <v>45873</v>
      </c>
      <c r="B1322" s="4">
        <v>24722.75</v>
      </c>
      <c r="C1322" s="272">
        <v>45873</v>
      </c>
      <c r="D1322" s="4">
        <v>5069.07</v>
      </c>
      <c r="E1322" s="271"/>
      <c r="F1322" s="271"/>
      <c r="G1322" s="273">
        <f>(B1322-B1321)/B1321</f>
        <v>6.407399039704359E-3</v>
      </c>
      <c r="H1322" s="4">
        <f t="shared" si="20"/>
        <v>1.4250127554848453E-2</v>
      </c>
      <c r="I1322" s="271"/>
      <c r="J1322" s="4"/>
    </row>
    <row r="1323" spans="1:10" ht="14.25" customHeight="1" x14ac:dyDescent="0.3">
      <c r="A1323" s="272">
        <v>45874</v>
      </c>
      <c r="B1323" s="4">
        <v>24649.55</v>
      </c>
      <c r="C1323" s="272">
        <v>45874</v>
      </c>
      <c r="D1323" s="4">
        <v>5111.3999999999996</v>
      </c>
      <c r="E1323" s="271"/>
      <c r="F1323" s="271"/>
      <c r="G1323" s="273">
        <f>(B1323-B1322)/B1322</f>
        <v>-2.9608356675531939E-3</v>
      </c>
      <c r="H1323" s="4">
        <f t="shared" si="20"/>
        <v>8.3506442010072707E-3</v>
      </c>
      <c r="I1323" s="271"/>
      <c r="J1323" s="4"/>
    </row>
    <row r="1324" spans="1:10" ht="14.25" customHeight="1" x14ac:dyDescent="0.3">
      <c r="A1324" s="272">
        <v>45875</v>
      </c>
      <c r="B1324" s="4">
        <v>24574.2</v>
      </c>
      <c r="C1324" s="272">
        <v>45875</v>
      </c>
      <c r="D1324" s="4">
        <v>5015.78</v>
      </c>
      <c r="E1324" s="271"/>
      <c r="F1324" s="271"/>
      <c r="G1324" s="273">
        <f>(B1324-B1323)/B1323</f>
        <v>-3.0568509364267723E-3</v>
      </c>
      <c r="H1324" s="4">
        <f t="shared" si="20"/>
        <v>-1.8707203505888777E-2</v>
      </c>
      <c r="I1324" s="271"/>
      <c r="J1324" s="4"/>
    </row>
    <row r="1325" spans="1:10" ht="14.25" customHeight="1" x14ac:dyDescent="0.3">
      <c r="A1325" s="272">
        <v>45876</v>
      </c>
      <c r="B1325" s="4">
        <v>24596.15</v>
      </c>
      <c r="C1325" s="272">
        <v>45876</v>
      </c>
      <c r="D1325" s="4">
        <v>5017.7700000000004</v>
      </c>
      <c r="E1325" s="271"/>
      <c r="F1325" s="271"/>
      <c r="G1325" s="273">
        <f>(B1325-B1324)/B1324</f>
        <v>8.9321320734757294E-4</v>
      </c>
      <c r="H1325" s="4">
        <f t="shared" si="20"/>
        <v>3.9674786374216799E-4</v>
      </c>
      <c r="I1325" s="271"/>
      <c r="J1325" s="4"/>
    </row>
    <row r="1326" spans="1:10" ht="14.25" customHeight="1" x14ac:dyDescent="0.3">
      <c r="A1326" s="272">
        <v>45877</v>
      </c>
      <c r="B1326" s="4">
        <v>24363.3</v>
      </c>
      <c r="C1326" s="272">
        <v>45877</v>
      </c>
      <c r="D1326" s="4">
        <v>4992.37</v>
      </c>
      <c r="E1326" s="271"/>
      <c r="F1326" s="271"/>
      <c r="G1326" s="273">
        <f>(B1326-B1325)/B1325</f>
        <v>-9.4669287673071669E-3</v>
      </c>
      <c r="H1326" s="4">
        <f t="shared" si="20"/>
        <v>-5.0620096178183825E-3</v>
      </c>
      <c r="I1326" s="271"/>
      <c r="J1326" s="4"/>
    </row>
    <row r="1327" spans="1:10" ht="14.25" customHeight="1" x14ac:dyDescent="0.3">
      <c r="A1327" s="272">
        <v>45880</v>
      </c>
      <c r="B1327" s="4">
        <v>24585.05</v>
      </c>
      <c r="C1327" s="272">
        <v>45880</v>
      </c>
      <c r="D1327" s="4">
        <v>5046.66</v>
      </c>
      <c r="E1327" s="271"/>
      <c r="F1327" s="271"/>
      <c r="G1327" s="273">
        <f>(B1327-B1326)/B1326</f>
        <v>9.1018047637224844E-3</v>
      </c>
      <c r="H1327" s="4">
        <f t="shared" si="20"/>
        <v>1.0874594631407521E-2</v>
      </c>
      <c r="I1327" s="271"/>
      <c r="J1327" s="4"/>
    </row>
    <row r="1328" spans="1:10" ht="14.25" customHeight="1" x14ac:dyDescent="0.3">
      <c r="A1328" s="272">
        <v>45881</v>
      </c>
      <c r="B1328" s="4">
        <v>24487.4</v>
      </c>
      <c r="C1328" s="272">
        <v>45881</v>
      </c>
      <c r="D1328" s="4">
        <v>5087</v>
      </c>
      <c r="E1328" s="271"/>
      <c r="F1328" s="271"/>
      <c r="G1328" s="273">
        <f>(B1328-B1327)/B1327</f>
        <v>-3.9719260282162459E-3</v>
      </c>
      <c r="H1328" s="4">
        <f t="shared" si="20"/>
        <v>7.993405539505366E-3</v>
      </c>
      <c r="I1328" s="271"/>
      <c r="J1328" s="4"/>
    </row>
    <row r="1329" spans="1:10" ht="14.25" customHeight="1" x14ac:dyDescent="0.3">
      <c r="A1329" s="272">
        <v>45882</v>
      </c>
      <c r="B1329" s="4">
        <v>24619.35</v>
      </c>
      <c r="C1329" s="272">
        <v>45882</v>
      </c>
      <c r="D1329" s="4">
        <v>5094.47</v>
      </c>
      <c r="E1329" s="271"/>
      <c r="F1329" s="271"/>
      <c r="G1329" s="273">
        <f>(B1329-B1328)/B1328</f>
        <v>5.3884855068319663E-3</v>
      </c>
      <c r="H1329" s="4">
        <f t="shared" si="20"/>
        <v>1.4684489876155406E-3</v>
      </c>
      <c r="I1329" s="271"/>
      <c r="J1329" s="4"/>
    </row>
    <row r="1330" spans="1:10" ht="14.25" customHeight="1" x14ac:dyDescent="0.3">
      <c r="A1330" s="272">
        <v>45883</v>
      </c>
      <c r="B1330" s="4">
        <v>24631.3</v>
      </c>
      <c r="C1330" s="272">
        <v>45883</v>
      </c>
      <c r="D1330" s="4">
        <v>5087.99</v>
      </c>
      <c r="E1330" s="271"/>
      <c r="F1330" s="271"/>
      <c r="G1330" s="273">
        <f>(B1330-B1329)/B1329</f>
        <v>4.8539055661504988E-4</v>
      </c>
      <c r="H1330" s="4">
        <f t="shared" si="20"/>
        <v>-1.2719674470554293E-3</v>
      </c>
      <c r="I1330" s="271"/>
      <c r="J1330" s="4"/>
    </row>
    <row r="1331" spans="1:10" ht="14.25" customHeight="1" x14ac:dyDescent="0.3">
      <c r="A1331" s="272">
        <v>45887</v>
      </c>
      <c r="B1331" s="4">
        <v>24876.95</v>
      </c>
      <c r="C1331" s="272">
        <v>45887</v>
      </c>
      <c r="D1331" s="4">
        <v>5069.57</v>
      </c>
      <c r="E1331" s="271"/>
      <c r="F1331" s="271"/>
      <c r="G1331" s="273">
        <f>(B1331-B1330)/B1330</f>
        <v>9.9730830285044425E-3</v>
      </c>
      <c r="H1331" s="4">
        <f t="shared" si="20"/>
        <v>-3.6202901342180455E-3</v>
      </c>
      <c r="I1331" s="271"/>
      <c r="J1331" s="4"/>
    </row>
    <row r="1332" spans="1:10" ht="14.25" customHeight="1" x14ac:dyDescent="0.3">
      <c r="A1332" s="272">
        <v>45888</v>
      </c>
      <c r="B1332" s="4">
        <v>24980.65</v>
      </c>
      <c r="C1332" s="272">
        <v>45888</v>
      </c>
      <c r="D1332" s="4">
        <v>5090.9799999999996</v>
      </c>
      <c r="E1332" s="271"/>
      <c r="F1332" s="271"/>
      <c r="G1332" s="273">
        <f>(B1332-B1331)/B1331</f>
        <v>4.1685174428537555E-3</v>
      </c>
      <c r="H1332" s="4">
        <f t="shared" si="20"/>
        <v>4.2232378683004388E-3</v>
      </c>
      <c r="I1332" s="271"/>
      <c r="J1332" s="4"/>
    </row>
    <row r="1333" spans="1:10" ht="14.25" customHeight="1" x14ac:dyDescent="0.3">
      <c r="A1333" s="272">
        <v>45889</v>
      </c>
      <c r="B1333" s="4">
        <v>25050.55</v>
      </c>
      <c r="C1333" s="272">
        <v>45889</v>
      </c>
      <c r="D1333" s="4">
        <v>5160.21</v>
      </c>
      <c r="E1333" s="271"/>
      <c r="F1333" s="271"/>
      <c r="G1333" s="273">
        <f>(B1333-B1332)/B1332</f>
        <v>2.7981657803138756E-3</v>
      </c>
      <c r="H1333" s="4">
        <f t="shared" si="20"/>
        <v>1.3598560591477569E-2</v>
      </c>
      <c r="I1333" s="271"/>
      <c r="J1333" s="4"/>
    </row>
    <row r="1334" spans="1:10" ht="14.25" customHeight="1" x14ac:dyDescent="0.3">
      <c r="A1334" s="272">
        <v>45890</v>
      </c>
      <c r="B1334" s="4">
        <v>25083.75</v>
      </c>
      <c r="C1334" s="272">
        <v>45890</v>
      </c>
      <c r="D1334" s="4">
        <v>5214.5</v>
      </c>
      <c r="E1334" s="271"/>
      <c r="F1334" s="271"/>
      <c r="G1334" s="273">
        <f>(B1334-B1333)/B1333</f>
        <v>1.3253202025504721E-3</v>
      </c>
      <c r="H1334" s="4">
        <f t="shared" si="20"/>
        <v>1.0520889653715636E-2</v>
      </c>
      <c r="I1334" s="271"/>
      <c r="J1334" s="4"/>
    </row>
    <row r="1335" spans="1:10" ht="14.25" customHeight="1" x14ac:dyDescent="0.3">
      <c r="A1335" s="272">
        <v>45891</v>
      </c>
      <c r="B1335" s="4">
        <v>24870.1</v>
      </c>
      <c r="C1335" s="272">
        <v>45891</v>
      </c>
      <c r="D1335" s="4">
        <v>5204.04</v>
      </c>
      <c r="E1335" s="271"/>
      <c r="F1335" s="271"/>
      <c r="G1335" s="273">
        <f>(B1335-B1334)/B1334</f>
        <v>-8.5174664872677119E-3</v>
      </c>
      <c r="H1335" s="4">
        <f t="shared" si="20"/>
        <v>-2.0059449611659866E-3</v>
      </c>
      <c r="I1335" s="271"/>
      <c r="J1335" s="4"/>
    </row>
    <row r="1336" spans="1:10" ht="14.25" customHeight="1" x14ac:dyDescent="0.3">
      <c r="A1336" s="272">
        <v>45894</v>
      </c>
      <c r="B1336" s="4">
        <v>24967.75</v>
      </c>
      <c r="C1336" s="272">
        <v>45894</v>
      </c>
      <c r="D1336" s="4">
        <v>5272.27</v>
      </c>
      <c r="E1336" s="271"/>
      <c r="F1336" s="271"/>
      <c r="G1336" s="273">
        <f>(B1336-B1335)/B1335</f>
        <v>3.9264015826233692E-3</v>
      </c>
      <c r="H1336" s="4">
        <f t="shared" si="20"/>
        <v>1.3110967632839194E-2</v>
      </c>
      <c r="I1336" s="271"/>
      <c r="J1336" s="4"/>
    </row>
    <row r="1337" spans="1:10" ht="14.25" customHeight="1" x14ac:dyDescent="0.3">
      <c r="A1337" s="272">
        <v>45895</v>
      </c>
      <c r="B1337" s="4">
        <v>24712.05</v>
      </c>
      <c r="C1337" s="272">
        <v>45895</v>
      </c>
      <c r="D1337" s="4">
        <v>5145.2700000000004</v>
      </c>
      <c r="E1337" s="271"/>
      <c r="F1337" s="271"/>
      <c r="G1337" s="273">
        <f>(B1337-B1336)/B1336</f>
        <v>-1.0241211162399524E-2</v>
      </c>
      <c r="H1337" s="4">
        <f t="shared" si="20"/>
        <v>-2.4088295933250761E-2</v>
      </c>
      <c r="I1337" s="271"/>
      <c r="J1337" s="4"/>
    </row>
    <row r="1338" spans="1:10" ht="14.25" customHeight="1" x14ac:dyDescent="0.3">
      <c r="A1338" s="272">
        <v>45897</v>
      </c>
      <c r="B1338" s="4">
        <v>24500.9</v>
      </c>
      <c r="C1338" s="272">
        <v>45897</v>
      </c>
      <c r="D1338" s="4">
        <v>5102.9399999999996</v>
      </c>
      <c r="E1338" s="271"/>
      <c r="F1338" s="271"/>
      <c r="G1338" s="273">
        <f>(B1338-B1337)/B1337</f>
        <v>-8.5444145669824161E-3</v>
      </c>
      <c r="H1338" s="4">
        <f t="shared" si="20"/>
        <v>-8.2269735115943054E-3</v>
      </c>
      <c r="I1338" s="271"/>
      <c r="J1338" s="4"/>
    </row>
    <row r="1339" spans="1:10" ht="14.25" customHeight="1" x14ac:dyDescent="0.3">
      <c r="A1339" s="272">
        <v>45898</v>
      </c>
      <c r="B1339" s="4">
        <v>24426.85</v>
      </c>
      <c r="C1339" s="272">
        <v>45898</v>
      </c>
      <c r="D1339" s="4">
        <v>5113.3900000000003</v>
      </c>
      <c r="E1339" s="271"/>
      <c r="F1339" s="271"/>
      <c r="G1339" s="273">
        <f>(B1339-B1338)/B1338</f>
        <v>-3.0223379549323866E-3</v>
      </c>
      <c r="H1339" s="4">
        <f t="shared" si="20"/>
        <v>2.0478390888391258E-3</v>
      </c>
      <c r="I1339" s="271"/>
      <c r="J1339" s="4"/>
    </row>
    <row r="1340" spans="1:10" ht="14.25" customHeight="1" x14ac:dyDescent="0.3">
      <c r="A1340" s="272">
        <v>45901</v>
      </c>
      <c r="B1340" s="4">
        <v>24625.05</v>
      </c>
      <c r="C1340" s="272">
        <v>45901</v>
      </c>
      <c r="D1340" s="4">
        <v>5176.6499999999996</v>
      </c>
      <c r="E1340" s="271"/>
      <c r="F1340" s="271"/>
      <c r="G1340" s="273">
        <f>(B1340-B1339)/B1339</f>
        <v>8.1140220699763062E-3</v>
      </c>
      <c r="H1340" s="4">
        <f t="shared" si="20"/>
        <v>1.2371440472954206E-2</v>
      </c>
      <c r="I1340" s="271"/>
      <c r="J1340" s="4"/>
    </row>
    <row r="1341" spans="1:10" ht="14.25" customHeight="1" x14ac:dyDescent="0.3">
      <c r="A1341" s="272">
        <v>45902</v>
      </c>
      <c r="B1341" s="4">
        <v>24579.599999999999</v>
      </c>
      <c r="C1341" s="272">
        <v>45902</v>
      </c>
      <c r="D1341" s="4">
        <v>5222.96</v>
      </c>
      <c r="E1341" s="271"/>
      <c r="F1341" s="271"/>
      <c r="G1341" s="273">
        <f>(B1341-B1340)/B1340</f>
        <v>-1.845681531611133E-3</v>
      </c>
      <c r="H1341" s="4">
        <f t="shared" si="20"/>
        <v>8.9459399418543653E-3</v>
      </c>
      <c r="I1341" s="271"/>
      <c r="J1341" s="4"/>
    </row>
    <row r="1342" spans="1:10" ht="14.25" customHeight="1" x14ac:dyDescent="0.3">
      <c r="A1342" s="272">
        <v>45903</v>
      </c>
      <c r="B1342" s="4">
        <v>24715.05</v>
      </c>
      <c r="C1342" s="272">
        <v>45903</v>
      </c>
      <c r="D1342" s="4">
        <v>5170.67</v>
      </c>
      <c r="E1342" s="271"/>
      <c r="F1342" s="271"/>
      <c r="G1342" s="273">
        <f>(B1342-B1341)/B1341</f>
        <v>5.5106673827076411E-3</v>
      </c>
      <c r="H1342" s="4">
        <f t="shared" si="20"/>
        <v>-1.001156432367852E-2</v>
      </c>
      <c r="I1342" s="271"/>
      <c r="J1342" s="4"/>
    </row>
    <row r="1343" spans="1:10" ht="14.25" customHeight="1" x14ac:dyDescent="0.3">
      <c r="A1343" s="272">
        <v>45904</v>
      </c>
      <c r="B1343" s="4">
        <v>24734.3</v>
      </c>
      <c r="C1343" s="272">
        <v>45904</v>
      </c>
      <c r="D1343" s="4">
        <v>5189.59</v>
      </c>
      <c r="E1343" s="271"/>
      <c r="F1343" s="271"/>
      <c r="G1343" s="273">
        <f>(B1343-B1342)/B1342</f>
        <v>7.7887764742535419E-4</v>
      </c>
      <c r="H1343" s="4">
        <f t="shared" si="20"/>
        <v>3.6591002713381579E-3</v>
      </c>
      <c r="I1343" s="271"/>
      <c r="J1343" s="4"/>
    </row>
    <row r="1344" spans="1:10" ht="14.25" customHeight="1" x14ac:dyDescent="0.3">
      <c r="A1344" s="272">
        <v>45905</v>
      </c>
      <c r="B1344" s="4">
        <v>24741</v>
      </c>
      <c r="C1344" s="272">
        <v>45905</v>
      </c>
      <c r="D1344" s="4">
        <v>5175.1499999999996</v>
      </c>
      <c r="E1344" s="271"/>
      <c r="F1344" s="271"/>
      <c r="G1344" s="273">
        <f>(B1344-B1343)/B1343</f>
        <v>2.7087890095942588E-4</v>
      </c>
      <c r="H1344" s="4">
        <f t="shared" si="20"/>
        <v>-2.782493414701452E-3</v>
      </c>
      <c r="I1344" s="271"/>
      <c r="J1344" s="4"/>
    </row>
    <row r="1345" spans="1:10" ht="14.25" customHeight="1" x14ac:dyDescent="0.3">
      <c r="A1345" s="272">
        <v>45908</v>
      </c>
      <c r="B1345" s="4">
        <v>24773.15</v>
      </c>
      <c r="C1345" s="272">
        <v>45908</v>
      </c>
      <c r="D1345" s="4">
        <v>5069.07</v>
      </c>
      <c r="E1345" s="271"/>
      <c r="F1345" s="271"/>
      <c r="G1345" s="273">
        <f>(B1345-B1344)/B1344</f>
        <v>1.2994624307829698E-3</v>
      </c>
      <c r="H1345" s="4">
        <f t="shared" si="20"/>
        <v>-2.0497956580968656E-2</v>
      </c>
      <c r="I1345" s="271"/>
      <c r="J1345" s="4"/>
    </row>
    <row r="1346" spans="1:10" ht="14.25" customHeight="1" x14ac:dyDescent="0.3">
      <c r="A1346" s="272">
        <v>45909</v>
      </c>
      <c r="B1346" s="4">
        <v>24868.6</v>
      </c>
      <c r="C1346" s="272">
        <v>45909</v>
      </c>
      <c r="D1346" s="4">
        <v>5165.1899999999996</v>
      </c>
      <c r="E1346" s="271"/>
      <c r="F1346" s="271"/>
      <c r="G1346" s="273">
        <f>(B1346-B1345)/B1345</f>
        <v>3.8529617751475722E-3</v>
      </c>
      <c r="H1346" s="4">
        <f t="shared" si="20"/>
        <v>1.8962058129005893E-2</v>
      </c>
      <c r="I1346" s="271"/>
      <c r="J1346" s="4"/>
    </row>
    <row r="1347" spans="1:10" ht="14.25" customHeight="1" x14ac:dyDescent="0.3">
      <c r="A1347" s="272">
        <v>45910</v>
      </c>
      <c r="B1347" s="4">
        <v>24973.1</v>
      </c>
      <c r="C1347" s="272">
        <v>45910</v>
      </c>
      <c r="D1347" s="4">
        <v>5286.21</v>
      </c>
      <c r="E1347" s="271"/>
      <c r="F1347" s="271"/>
      <c r="G1347" s="273">
        <f>(B1347-B1346)/B1346</f>
        <v>4.202086164882623E-3</v>
      </c>
      <c r="H1347" s="4">
        <f t="shared" ref="H1347:H1410" si="21">(D1347-D1346)/D1346</f>
        <v>2.3429922229385645E-2</v>
      </c>
      <c r="I1347" s="271"/>
      <c r="J1347" s="4"/>
    </row>
    <row r="1348" spans="1:10" ht="14.25" customHeight="1" x14ac:dyDescent="0.3">
      <c r="A1348" s="272">
        <v>45911</v>
      </c>
      <c r="B1348" s="4">
        <v>25005.5</v>
      </c>
      <c r="C1348" s="272">
        <v>45911</v>
      </c>
      <c r="D1348" s="4">
        <v>5270.77</v>
      </c>
      <c r="E1348" s="271"/>
      <c r="F1348" s="271"/>
      <c r="G1348" s="273">
        <f>(B1348-B1347)/B1347</f>
        <v>1.2973959980940074E-3</v>
      </c>
      <c r="H1348" s="4">
        <f t="shared" si="21"/>
        <v>-2.920807156734144E-3</v>
      </c>
      <c r="I1348" s="271"/>
      <c r="J1348" s="4"/>
    </row>
    <row r="1349" spans="1:10" ht="14.25" customHeight="1" x14ac:dyDescent="0.3">
      <c r="A1349" s="272">
        <v>45912</v>
      </c>
      <c r="B1349" s="4">
        <v>25114</v>
      </c>
      <c r="C1349" s="272">
        <v>45912</v>
      </c>
      <c r="D1349" s="4">
        <v>5311.61</v>
      </c>
      <c r="E1349" s="271"/>
      <c r="F1349" s="271"/>
      <c r="G1349" s="273">
        <f>(B1349-B1348)/B1348</f>
        <v>4.3390454100097975E-3</v>
      </c>
      <c r="H1349" s="4">
        <f t="shared" si="21"/>
        <v>7.7483934984829981E-3</v>
      </c>
      <c r="I1349" s="271"/>
      <c r="J1349" s="4"/>
    </row>
    <row r="1350" spans="1:10" ht="14.25" customHeight="1" x14ac:dyDescent="0.3">
      <c r="A1350" s="272">
        <v>45915</v>
      </c>
      <c r="B1350" s="4">
        <v>25069.200000000001</v>
      </c>
      <c r="C1350" s="272">
        <v>45915</v>
      </c>
      <c r="D1350" s="4">
        <v>5320.58</v>
      </c>
      <c r="E1350" s="271"/>
      <c r="F1350" s="271"/>
      <c r="G1350" s="273">
        <f>(B1350-B1349)/B1349</f>
        <v>-1.7838655729871494E-3</v>
      </c>
      <c r="H1350" s="4">
        <f t="shared" si="21"/>
        <v>1.6887535041165023E-3</v>
      </c>
      <c r="I1350" s="271"/>
      <c r="J1350" s="4"/>
    </row>
    <row r="1351" spans="1:10" ht="14.25" customHeight="1" x14ac:dyDescent="0.3">
      <c r="A1351" s="272">
        <v>45916</v>
      </c>
      <c r="B1351" s="4">
        <v>25239.1</v>
      </c>
      <c r="C1351" s="272">
        <v>45916</v>
      </c>
      <c r="D1351" s="4">
        <v>5354.45</v>
      </c>
      <c r="E1351" s="271"/>
      <c r="F1351" s="271"/>
      <c r="G1351" s="273">
        <f>(B1351-B1350)/B1350</f>
        <v>6.7772405980245807E-3</v>
      </c>
      <c r="H1351" s="4">
        <f t="shared" si="21"/>
        <v>6.3658473324336613E-3</v>
      </c>
      <c r="I1351" s="271"/>
      <c r="J1351" s="4"/>
    </row>
    <row r="1352" spans="1:10" ht="14.25" customHeight="1" x14ac:dyDescent="0.3">
      <c r="A1352" s="272">
        <v>45917</v>
      </c>
      <c r="B1352" s="4">
        <v>25330.25</v>
      </c>
      <c r="C1352" s="272">
        <v>45917</v>
      </c>
      <c r="D1352" s="4">
        <v>5401.76</v>
      </c>
      <c r="E1352" s="271"/>
      <c r="F1352" s="271"/>
      <c r="G1352" s="273">
        <f>(B1352-B1351)/B1351</f>
        <v>3.6114599965926465E-3</v>
      </c>
      <c r="H1352" s="4">
        <f t="shared" si="21"/>
        <v>8.8356413824016294E-3</v>
      </c>
      <c r="I1352" s="271"/>
      <c r="J1352" s="4"/>
    </row>
    <row r="1353" spans="1:10" ht="14.25" customHeight="1" x14ac:dyDescent="0.3">
      <c r="A1353" s="272">
        <v>45918</v>
      </c>
      <c r="B1353" s="4">
        <v>25423.599999999999</v>
      </c>
      <c r="C1353" s="272">
        <v>45918</v>
      </c>
      <c r="D1353" s="4">
        <v>5502.86</v>
      </c>
      <c r="E1353" s="271"/>
      <c r="F1353" s="271"/>
      <c r="G1353" s="273">
        <f>(B1353-B1352)/B1352</f>
        <v>3.6853169629197718E-3</v>
      </c>
      <c r="H1353" s="4">
        <f t="shared" si="21"/>
        <v>1.8716122152779732E-2</v>
      </c>
      <c r="I1353" s="271"/>
      <c r="J1353" s="4"/>
    </row>
    <row r="1354" spans="1:10" ht="14.25" customHeight="1" x14ac:dyDescent="0.3">
      <c r="A1354" s="272">
        <v>45919</v>
      </c>
      <c r="B1354" s="4">
        <v>25327.05</v>
      </c>
      <c r="C1354" s="272">
        <v>45919</v>
      </c>
      <c r="D1354" s="4">
        <v>5487.92</v>
      </c>
      <c r="E1354" s="271"/>
      <c r="F1354" s="271"/>
      <c r="G1354" s="273">
        <f>(B1354-B1353)/B1353</f>
        <v>-3.7976525747730173E-3</v>
      </c>
      <c r="H1354" s="4">
        <f t="shared" si="21"/>
        <v>-2.7149518613956381E-3</v>
      </c>
      <c r="I1354" s="271"/>
      <c r="J1354" s="4"/>
    </row>
    <row r="1355" spans="1:10" ht="14.25" customHeight="1" x14ac:dyDescent="0.3">
      <c r="A1355" s="272">
        <v>45922</v>
      </c>
      <c r="B1355" s="4">
        <v>25202.35</v>
      </c>
      <c r="C1355" s="272">
        <v>45922</v>
      </c>
      <c r="D1355" s="4">
        <v>5239.3999999999996</v>
      </c>
      <c r="E1355" s="271"/>
      <c r="F1355" s="271"/>
      <c r="G1355" s="273">
        <f>(B1355-B1354)/B1354</f>
        <v>-4.9235896008418163E-3</v>
      </c>
      <c r="H1355" s="4">
        <f t="shared" si="21"/>
        <v>-4.528491668974774E-2</v>
      </c>
      <c r="I1355" s="271"/>
      <c r="J1355" s="4"/>
    </row>
    <row r="1356" spans="1:10" ht="14.25" customHeight="1" x14ac:dyDescent="0.3">
      <c r="A1356" s="272">
        <v>45923</v>
      </c>
      <c r="B1356" s="4">
        <v>25169.5</v>
      </c>
      <c r="C1356" s="272">
        <v>45923</v>
      </c>
      <c r="D1356" s="4">
        <v>5241.8900000000003</v>
      </c>
      <c r="E1356" s="271"/>
      <c r="F1356" s="271"/>
      <c r="G1356" s="273">
        <f>(B1356-B1355)/B1355</f>
        <v>-1.3034498766979488E-3</v>
      </c>
      <c r="H1356" s="4">
        <f t="shared" si="21"/>
        <v>4.752452570906385E-4</v>
      </c>
      <c r="I1356" s="271"/>
      <c r="J1356" s="4"/>
    </row>
    <row r="1357" spans="1:10" ht="14.25" customHeight="1" x14ac:dyDescent="0.3">
      <c r="A1357" s="272">
        <v>45924</v>
      </c>
      <c r="B1357" s="4">
        <v>25056.9</v>
      </c>
      <c r="C1357" s="272">
        <v>45924</v>
      </c>
      <c r="D1357" s="4">
        <v>5186.6099999999997</v>
      </c>
      <c r="E1357" s="271"/>
      <c r="F1357" s="271"/>
      <c r="G1357" s="273">
        <f>(B1357-B1356)/B1356</f>
        <v>-4.4736685273842761E-3</v>
      </c>
      <c r="H1357" s="4">
        <f t="shared" si="21"/>
        <v>-1.0545814582145114E-2</v>
      </c>
      <c r="I1357" s="271"/>
      <c r="J1357" s="4"/>
    </row>
    <row r="1358" spans="1:10" ht="14.25" customHeight="1" x14ac:dyDescent="0.3">
      <c r="A1358" s="272">
        <v>45925</v>
      </c>
      <c r="B1358" s="4">
        <v>24890.85</v>
      </c>
      <c r="C1358" s="272">
        <v>45925</v>
      </c>
      <c r="D1358" s="4">
        <v>5193.58</v>
      </c>
      <c r="E1358" s="271"/>
      <c r="F1358" s="271"/>
      <c r="G1358" s="273">
        <f>(B1358-B1357)/B1357</f>
        <v>-6.6269171365972209E-3</v>
      </c>
      <c r="H1358" s="4">
        <f t="shared" si="21"/>
        <v>1.3438450163016412E-3</v>
      </c>
      <c r="I1358" s="271"/>
      <c r="J1358" s="4"/>
    </row>
    <row r="1359" spans="1:10" ht="14.25" customHeight="1" x14ac:dyDescent="0.3">
      <c r="A1359" s="272">
        <v>45926</v>
      </c>
      <c r="B1359" s="4">
        <v>24654.7</v>
      </c>
      <c r="C1359" s="272">
        <v>45926</v>
      </c>
      <c r="D1359" s="4">
        <v>5055.12</v>
      </c>
      <c r="E1359" s="271"/>
      <c r="F1359" s="271"/>
      <c r="G1359" s="273">
        <f>(B1359-B1358)/B1358</f>
        <v>-9.487422084822247E-3</v>
      </c>
      <c r="H1359" s="4">
        <f t="shared" si="21"/>
        <v>-2.6659837722726912E-2</v>
      </c>
      <c r="I1359" s="271"/>
      <c r="J1359" s="4"/>
    </row>
    <row r="1360" spans="1:10" ht="14.25" customHeight="1" x14ac:dyDescent="0.3">
      <c r="A1360" s="272">
        <v>45929</v>
      </c>
      <c r="B1360" s="4">
        <v>24634.9</v>
      </c>
      <c r="C1360" s="272">
        <v>45929</v>
      </c>
      <c r="D1360" s="4">
        <v>5137.8</v>
      </c>
      <c r="E1360" s="271"/>
      <c r="F1360" s="271"/>
      <c r="G1360" s="273">
        <f>(B1360-B1359)/B1359</f>
        <v>-8.0309231099949595E-4</v>
      </c>
      <c r="H1360" s="4">
        <f t="shared" si="21"/>
        <v>1.635569482030106E-2</v>
      </c>
      <c r="I1360" s="271"/>
      <c r="J1360" s="4"/>
    </row>
    <row r="1361" spans="1:10" ht="14.25" customHeight="1" x14ac:dyDescent="0.3">
      <c r="A1361" s="272">
        <v>45930</v>
      </c>
      <c r="B1361" s="4">
        <v>24611.1</v>
      </c>
      <c r="C1361" s="272">
        <v>45930</v>
      </c>
      <c r="D1361" s="4">
        <v>5137.3</v>
      </c>
      <c r="E1361" s="271"/>
      <c r="F1361" s="271"/>
      <c r="G1361" s="273">
        <f>(B1361-B1360)/B1360</f>
        <v>-9.6610905666363205E-4</v>
      </c>
      <c r="H1361" s="4">
        <f t="shared" si="21"/>
        <v>-9.731791817509439E-5</v>
      </c>
      <c r="I1361" s="271"/>
      <c r="J1361" s="4"/>
    </row>
    <row r="1362" spans="1:10" ht="14.25" customHeight="1" x14ac:dyDescent="0.3">
      <c r="A1362" s="272">
        <v>45931</v>
      </c>
      <c r="B1362" s="4">
        <v>24836.3</v>
      </c>
      <c r="C1362" s="272">
        <v>45931</v>
      </c>
      <c r="D1362" s="4">
        <v>5102.9399999999996</v>
      </c>
      <c r="E1362" s="271"/>
      <c r="F1362" s="271"/>
      <c r="G1362" s="273">
        <f>(B1362-B1361)/B1361</f>
        <v>9.1503427315317368E-3</v>
      </c>
      <c r="H1362" s="4">
        <f t="shared" si="21"/>
        <v>-6.688338232145403E-3</v>
      </c>
      <c r="I1362" s="271"/>
      <c r="J1362" s="4"/>
    </row>
    <row r="1363" spans="1:10" ht="14.25" customHeight="1" x14ac:dyDescent="0.3">
      <c r="A1363" s="272">
        <v>45933</v>
      </c>
      <c r="B1363" s="4">
        <v>24894.25</v>
      </c>
      <c r="C1363" s="272">
        <v>45933</v>
      </c>
      <c r="D1363" s="4">
        <v>5099.95</v>
      </c>
      <c r="E1363" s="271"/>
      <c r="F1363" s="271"/>
      <c r="G1363" s="273">
        <f>(B1363-B1362)/B1362</f>
        <v>2.333278306350009E-3</v>
      </c>
      <c r="H1363" s="4">
        <f t="shared" si="21"/>
        <v>-5.8593673450986722E-4</v>
      </c>
      <c r="I1363" s="271"/>
      <c r="J1363" s="4"/>
    </row>
    <row r="1364" spans="1:10" ht="14.25" customHeight="1" x14ac:dyDescent="0.3">
      <c r="A1364" s="272">
        <v>45936</v>
      </c>
      <c r="B1364" s="4">
        <v>25077.65</v>
      </c>
      <c r="C1364" s="272">
        <v>45936</v>
      </c>
      <c r="D1364" s="4">
        <v>5253.34</v>
      </c>
      <c r="E1364" s="271"/>
      <c r="F1364" s="271"/>
      <c r="G1364" s="273">
        <f>(B1364-B1363)/B1363</f>
        <v>7.3671630999126887E-3</v>
      </c>
      <c r="H1364" s="4">
        <f t="shared" si="21"/>
        <v>3.0076765458484953E-2</v>
      </c>
      <c r="I1364" s="271"/>
      <c r="J1364" s="4"/>
    </row>
    <row r="1365" spans="1:10" ht="14.25" customHeight="1" x14ac:dyDescent="0.3">
      <c r="A1365" s="272">
        <v>45937</v>
      </c>
      <c r="B1365" s="4">
        <v>25108.3</v>
      </c>
      <c r="C1365" s="272">
        <v>45937</v>
      </c>
      <c r="D1365" s="4">
        <v>5248.36</v>
      </c>
      <c r="E1365" s="271"/>
      <c r="F1365" s="271"/>
      <c r="G1365" s="273">
        <f>(B1365-B1364)/B1364</f>
        <v>1.2222038348887482E-3</v>
      </c>
      <c r="H1365" s="4">
        <f t="shared" si="21"/>
        <v>-9.4796834014179037E-4</v>
      </c>
      <c r="I1365" s="271"/>
      <c r="J1365" s="4"/>
    </row>
    <row r="1366" spans="1:10" ht="14.25" customHeight="1" x14ac:dyDescent="0.3">
      <c r="A1366" s="272">
        <v>45938</v>
      </c>
      <c r="B1366" s="4">
        <v>25046.15</v>
      </c>
      <c r="C1366" s="272">
        <v>45938</v>
      </c>
      <c r="D1366" s="4">
        <v>5321.58</v>
      </c>
      <c r="E1366" s="271"/>
      <c r="F1366" s="271"/>
      <c r="G1366" s="273">
        <f>(B1366-B1365)/B1365</f>
        <v>-2.4752770996044264E-3</v>
      </c>
      <c r="H1366" s="4">
        <f t="shared" si="21"/>
        <v>1.395102470104952E-2</v>
      </c>
      <c r="I1366" s="271"/>
      <c r="J1366" s="4"/>
    </row>
    <row r="1367" spans="1:10" ht="14.25" customHeight="1" x14ac:dyDescent="0.3">
      <c r="A1367" s="272">
        <v>45939</v>
      </c>
      <c r="B1367" s="4">
        <v>25181.8</v>
      </c>
      <c r="C1367" s="272">
        <v>45939</v>
      </c>
      <c r="D1367" s="4">
        <v>5412.72</v>
      </c>
      <c r="E1367" s="271"/>
      <c r="F1367" s="271"/>
      <c r="G1367" s="273">
        <f>(B1367-B1366)/B1366</f>
        <v>5.416002060196789E-3</v>
      </c>
      <c r="H1367" s="4">
        <f t="shared" si="21"/>
        <v>1.7126492507864268E-2</v>
      </c>
      <c r="I1367" s="271"/>
      <c r="J1367" s="4"/>
    </row>
    <row r="1368" spans="1:10" ht="14.25" customHeight="1" x14ac:dyDescent="0.3">
      <c r="A1368" s="272">
        <v>45940</v>
      </c>
      <c r="B1368" s="4">
        <v>25285.35</v>
      </c>
      <c r="C1368" s="272">
        <v>45940</v>
      </c>
      <c r="D1368" s="4">
        <v>5450.07</v>
      </c>
      <c r="E1368" s="271"/>
      <c r="F1368" s="271"/>
      <c r="G1368" s="273">
        <f>(B1368-B1367)/B1367</f>
        <v>4.1120968318388391E-3</v>
      </c>
      <c r="H1368" s="4">
        <f t="shared" si="21"/>
        <v>6.9004123619916518E-3</v>
      </c>
      <c r="I1368" s="271"/>
      <c r="J1368" s="4"/>
    </row>
    <row r="1369" spans="1:10" ht="14.25" customHeight="1" x14ac:dyDescent="0.3">
      <c r="A1369" s="272">
        <v>45943</v>
      </c>
      <c r="B1369" s="4">
        <v>25227.35</v>
      </c>
      <c r="C1369" s="272">
        <v>45943</v>
      </c>
      <c r="D1369" s="4">
        <v>5476.47</v>
      </c>
      <c r="E1369" s="271"/>
      <c r="F1369" s="271"/>
      <c r="G1369" s="273">
        <f>(B1369-B1368)/B1368</f>
        <v>-2.2938183572701189E-3</v>
      </c>
      <c r="H1369" s="4">
        <f t="shared" si="21"/>
        <v>4.8439744810618119E-3</v>
      </c>
      <c r="I1369" s="271"/>
      <c r="J1369" s="4"/>
    </row>
    <row r="1370" spans="1:10" ht="14.25" customHeight="1" x14ac:dyDescent="0.3">
      <c r="A1370" s="272">
        <v>45944</v>
      </c>
      <c r="B1370" s="4">
        <v>25145.5</v>
      </c>
      <c r="C1370" s="272">
        <v>45944</v>
      </c>
      <c r="D1370" s="4">
        <v>5447.58</v>
      </c>
      <c r="E1370" s="271"/>
      <c r="F1370" s="271"/>
      <c r="G1370" s="273">
        <f>(B1370-B1369)/B1369</f>
        <v>-3.2444945664129822E-3</v>
      </c>
      <c r="H1370" s="4">
        <f t="shared" si="21"/>
        <v>-5.275295947937326E-3</v>
      </c>
      <c r="I1370" s="271"/>
      <c r="J1370" s="4"/>
    </row>
    <row r="1371" spans="1:10" ht="14.25" customHeight="1" x14ac:dyDescent="0.3">
      <c r="A1371" s="272">
        <v>45945</v>
      </c>
      <c r="B1371" s="4">
        <v>25323.55</v>
      </c>
      <c r="C1371" s="272">
        <v>45945</v>
      </c>
      <c r="D1371" s="4">
        <v>5587.53</v>
      </c>
      <c r="E1371" s="271"/>
      <c r="F1371" s="271"/>
      <c r="G1371" s="273">
        <f>(B1371-B1370)/B1370</f>
        <v>7.080789803344506E-3</v>
      </c>
      <c r="H1371" s="4">
        <f t="shared" si="21"/>
        <v>2.5690306521427831E-2</v>
      </c>
      <c r="I1371" s="271"/>
      <c r="J1371" s="4"/>
    </row>
    <row r="1372" spans="1:10" ht="14.25" customHeight="1" x14ac:dyDescent="0.3">
      <c r="A1372" s="272">
        <v>45946</v>
      </c>
      <c r="B1372" s="4">
        <v>25585.3</v>
      </c>
      <c r="C1372" s="272">
        <v>45946</v>
      </c>
      <c r="D1372" s="4">
        <v>5600.48</v>
      </c>
      <c r="E1372" s="271"/>
      <c r="F1372" s="271"/>
      <c r="G1372" s="273">
        <f>(B1372-B1371)/B1371</f>
        <v>1.033622853036008E-2</v>
      </c>
      <c r="H1372" s="4">
        <f t="shared" si="21"/>
        <v>2.3176609342589337E-3</v>
      </c>
      <c r="I1372" s="271"/>
      <c r="J1372" s="4"/>
    </row>
    <row r="1373" spans="1:10" ht="14.25" customHeight="1" x14ac:dyDescent="0.3">
      <c r="A1373" s="272">
        <v>45947</v>
      </c>
      <c r="B1373" s="4">
        <v>25709.85</v>
      </c>
      <c r="C1373" s="272">
        <v>45947</v>
      </c>
      <c r="D1373" s="4">
        <v>5583.05</v>
      </c>
      <c r="E1373" s="271"/>
      <c r="F1373" s="271"/>
      <c r="G1373" s="273">
        <f>(B1373-B1372)/B1372</f>
        <v>4.8680296889229077E-3</v>
      </c>
      <c r="H1373" s="4">
        <f t="shared" si="21"/>
        <v>-3.112233237150991E-3</v>
      </c>
      <c r="I1373" s="271"/>
      <c r="J1373" s="4"/>
    </row>
    <row r="1374" spans="1:10" ht="14.25" customHeight="1" x14ac:dyDescent="0.3">
      <c r="A1374" s="272">
        <v>45950</v>
      </c>
      <c r="B1374" s="4">
        <v>25843.15</v>
      </c>
      <c r="C1374" s="272">
        <v>45950</v>
      </c>
      <c r="D1374" s="4">
        <v>5574.58</v>
      </c>
      <c r="E1374" s="271"/>
      <c r="F1374" s="271"/>
      <c r="G1374" s="273">
        <f>(B1374-B1373)/B1373</f>
        <v>5.1847832640020425E-3</v>
      </c>
      <c r="H1374" s="4">
        <f t="shared" si="21"/>
        <v>-1.5170919121269297E-3</v>
      </c>
      <c r="I1374" s="271"/>
      <c r="J1374" s="4"/>
    </row>
    <row r="1375" spans="1:10" ht="14.25" customHeight="1" x14ac:dyDescent="0.3">
      <c r="A1375" s="272">
        <v>45951</v>
      </c>
      <c r="B1375" s="4">
        <v>25868.6</v>
      </c>
      <c r="C1375" s="272">
        <v>45951</v>
      </c>
      <c r="D1375" s="4">
        <v>5539.22</v>
      </c>
      <c r="E1375" s="271"/>
      <c r="F1375" s="271"/>
      <c r="G1375" s="273">
        <f>(B1375-B1374)/B1374</f>
        <v>9.8478707123539843E-4</v>
      </c>
      <c r="H1375" s="4">
        <f t="shared" si="21"/>
        <v>-6.3430787610904626E-3</v>
      </c>
      <c r="I1375" s="271"/>
      <c r="J1375" s="4"/>
    </row>
    <row r="1376" spans="1:10" ht="14.25" customHeight="1" x14ac:dyDescent="0.3">
      <c r="A1376" s="272">
        <v>45953</v>
      </c>
      <c r="B1376" s="4">
        <v>25891.4</v>
      </c>
      <c r="C1376" s="272">
        <v>45953</v>
      </c>
      <c r="D1376" s="4">
        <v>5595</v>
      </c>
      <c r="E1376" s="271"/>
      <c r="F1376" s="271"/>
      <c r="G1376" s="273">
        <f>(B1376-B1375)/B1375</f>
        <v>8.8137742282160274E-4</v>
      </c>
      <c r="H1376" s="4">
        <f t="shared" si="21"/>
        <v>1.0070009856983428E-2</v>
      </c>
      <c r="I1376" s="271"/>
      <c r="J1376" s="4"/>
    </row>
    <row r="1377" spans="1:10" ht="14.25" customHeight="1" x14ac:dyDescent="0.3">
      <c r="A1377" s="272">
        <v>45954</v>
      </c>
      <c r="B1377" s="4">
        <v>25795.15</v>
      </c>
      <c r="C1377" s="272">
        <v>45954</v>
      </c>
      <c r="D1377" s="4">
        <v>5546</v>
      </c>
      <c r="E1377" s="271"/>
      <c r="F1377" s="271"/>
      <c r="G1377" s="273">
        <f>(B1377-B1376)/B1376</f>
        <v>-3.7174505820465479E-3</v>
      </c>
      <c r="H1377" s="4">
        <f t="shared" si="21"/>
        <v>-8.7578194816800708E-3</v>
      </c>
      <c r="I1377" s="271"/>
      <c r="J1377" s="4"/>
    </row>
    <row r="1378" spans="1:10" ht="14.25" customHeight="1" x14ac:dyDescent="0.3">
      <c r="A1378" s="272">
        <v>45957</v>
      </c>
      <c r="B1378" s="4">
        <v>25966.05</v>
      </c>
      <c r="C1378" s="272">
        <v>45957</v>
      </c>
      <c r="D1378" s="4">
        <v>5640</v>
      </c>
      <c r="E1378" s="271"/>
      <c r="F1378" s="271"/>
      <c r="G1378" s="273">
        <f>(B1378-B1377)/B1377</f>
        <v>6.6252764570083065E-3</v>
      </c>
      <c r="H1378" s="4">
        <f t="shared" si="21"/>
        <v>1.6949152542372881E-2</v>
      </c>
      <c r="I1378" s="271"/>
      <c r="J1378" s="4"/>
    </row>
    <row r="1379" spans="1:10" ht="14.25" customHeight="1" x14ac:dyDescent="0.3">
      <c r="A1379" s="272">
        <v>45958</v>
      </c>
      <c r="B1379" s="4">
        <v>25936.2</v>
      </c>
      <c r="C1379" s="272">
        <v>45958</v>
      </c>
      <c r="D1379" s="4">
        <v>5596</v>
      </c>
      <c r="E1379" s="271"/>
      <c r="F1379" s="271"/>
      <c r="G1379" s="273">
        <f>(B1379-B1378)/B1378</f>
        <v>-1.1495780066663411E-3</v>
      </c>
      <c r="H1379" s="4">
        <f t="shared" si="21"/>
        <v>-7.801418439716312E-3</v>
      </c>
      <c r="I1379" s="271"/>
      <c r="J1379" s="4"/>
    </row>
    <row r="1380" spans="1:10" ht="14.25" customHeight="1" x14ac:dyDescent="0.3">
      <c r="A1380" s="272">
        <v>45959</v>
      </c>
      <c r="B1380" s="4">
        <v>26053.9</v>
      </c>
      <c r="C1380" s="272">
        <v>45959</v>
      </c>
      <c r="D1380" s="4">
        <v>5674</v>
      </c>
      <c r="E1380" s="271"/>
      <c r="F1380" s="271"/>
      <c r="G1380" s="273">
        <f>(B1380-B1379)/B1379</f>
        <v>4.5380587749940518E-3</v>
      </c>
      <c r="H1380" s="4">
        <f t="shared" si="21"/>
        <v>1.3938527519656898E-2</v>
      </c>
      <c r="I1380" s="271"/>
      <c r="J1380" s="4"/>
    </row>
    <row r="1381" spans="1:10" ht="14.25" customHeight="1" x14ac:dyDescent="0.3">
      <c r="A1381" s="272">
        <v>45960</v>
      </c>
      <c r="B1381" s="4">
        <v>25877.85</v>
      </c>
      <c r="C1381" s="272">
        <v>45960</v>
      </c>
      <c r="D1381" s="4">
        <v>5699</v>
      </c>
      <c r="E1381" s="271"/>
      <c r="F1381" s="271"/>
      <c r="G1381" s="273">
        <f>(B1381-B1380)/B1380</f>
        <v>-6.7571457632063878E-3</v>
      </c>
      <c r="H1381" s="4">
        <f t="shared" si="21"/>
        <v>4.4060627423334504E-3</v>
      </c>
      <c r="I1381" s="271"/>
      <c r="J1381" s="4"/>
    </row>
    <row r="1382" spans="1:10" ht="14.25" customHeight="1" x14ac:dyDescent="0.3">
      <c r="A1382" s="272">
        <v>45961</v>
      </c>
      <c r="B1382" s="4">
        <v>25722.1</v>
      </c>
      <c r="C1382" s="272">
        <v>45961</v>
      </c>
      <c r="D1382" s="4">
        <v>5684.5</v>
      </c>
      <c r="E1382" s="271"/>
      <c r="F1382" s="271"/>
      <c r="G1382" s="273">
        <f>(B1382-B1381)/B1381</f>
        <v>-6.0186607465457917E-3</v>
      </c>
      <c r="H1382" s="4">
        <f t="shared" si="21"/>
        <v>-2.5443060185997542E-3</v>
      </c>
      <c r="I1382" s="271"/>
      <c r="J1382" s="4"/>
    </row>
    <row r="1383" spans="1:10" ht="14.25" customHeight="1" x14ac:dyDescent="0.3">
      <c r="A1383" s="272">
        <v>45964</v>
      </c>
      <c r="B1383" s="4">
        <v>25763.35</v>
      </c>
      <c r="C1383" s="272">
        <v>45964</v>
      </c>
      <c r="D1383" s="4">
        <v>5704.5</v>
      </c>
      <c r="E1383" s="271"/>
      <c r="F1383" s="271"/>
      <c r="G1383" s="273">
        <f>(B1383-B1382)/B1382</f>
        <v>1.6036793263380518E-3</v>
      </c>
      <c r="H1383" s="4">
        <f t="shared" si="21"/>
        <v>3.5183393438297122E-3</v>
      </c>
      <c r="I1383" s="271"/>
      <c r="J1383" s="4"/>
    </row>
    <row r="1384" spans="1:10" ht="14.25" customHeight="1" x14ac:dyDescent="0.3">
      <c r="A1384" s="272">
        <v>45965</v>
      </c>
      <c r="B1384" s="4">
        <v>25597.65</v>
      </c>
      <c r="C1384" s="272">
        <v>45965</v>
      </c>
      <c r="D1384" s="4">
        <v>5620</v>
      </c>
      <c r="E1384" s="271"/>
      <c r="F1384" s="271"/>
      <c r="G1384" s="273">
        <f>(B1384-B1383)/B1383</f>
        <v>-6.4316170063286448E-3</v>
      </c>
      <c r="H1384" s="4">
        <f t="shared" si="21"/>
        <v>-1.4812867034797089E-2</v>
      </c>
      <c r="I1384" s="271"/>
      <c r="J1384" s="4"/>
    </row>
    <row r="1385" spans="1:10" ht="14.25" customHeight="1" x14ac:dyDescent="0.3">
      <c r="A1385" s="272">
        <v>45967</v>
      </c>
      <c r="B1385" s="4">
        <v>25509.7</v>
      </c>
      <c r="C1385" s="272">
        <v>45967</v>
      </c>
      <c r="D1385" s="4">
        <v>5652</v>
      </c>
      <c r="E1385" s="271"/>
      <c r="F1385" s="271"/>
      <c r="G1385" s="273">
        <f>(B1385-B1384)/B1384</f>
        <v>-3.4358622764199338E-3</v>
      </c>
      <c r="H1385" s="4">
        <f t="shared" si="21"/>
        <v>5.6939501779359435E-3</v>
      </c>
      <c r="I1385" s="271"/>
      <c r="J1385" s="4"/>
    </row>
    <row r="1386" spans="1:10" ht="14.25" customHeight="1" x14ac:dyDescent="0.3">
      <c r="A1386" s="272">
        <v>45968</v>
      </c>
      <c r="B1386" s="4">
        <v>25492.3</v>
      </c>
      <c r="C1386" s="272">
        <v>45968</v>
      </c>
      <c r="D1386" s="4">
        <v>5567.5</v>
      </c>
      <c r="E1386" s="271"/>
      <c r="F1386" s="271"/>
      <c r="G1386" s="273">
        <f>(B1386-B1385)/B1385</f>
        <v>-6.8209347816718558E-4</v>
      </c>
      <c r="H1386" s="4">
        <f t="shared" si="21"/>
        <v>-1.4950460014154282E-2</v>
      </c>
      <c r="I1386" s="271"/>
      <c r="J1386" s="4"/>
    </row>
    <row r="1387" spans="1:10" ht="14.25" customHeight="1" x14ac:dyDescent="0.3">
      <c r="A1387" s="272">
        <v>45971</v>
      </c>
      <c r="B1387" s="4">
        <v>25574.35</v>
      </c>
      <c r="C1387" s="272">
        <v>45971</v>
      </c>
      <c r="D1387" s="4">
        <v>5643</v>
      </c>
      <c r="E1387" s="271"/>
      <c r="F1387" s="271"/>
      <c r="G1387" s="273">
        <f>(B1387-B1386)/B1386</f>
        <v>3.2186189555277189E-3</v>
      </c>
      <c r="H1387" s="4">
        <f t="shared" si="21"/>
        <v>1.3560844185002245E-2</v>
      </c>
      <c r="I1387" s="271"/>
      <c r="J1387" s="4"/>
    </row>
    <row r="1388" spans="1:10" ht="14.25" customHeight="1" x14ac:dyDescent="0.3">
      <c r="A1388" s="272">
        <v>45972</v>
      </c>
      <c r="B1388" s="4">
        <v>25694.95</v>
      </c>
      <c r="C1388" s="272">
        <v>45972</v>
      </c>
      <c r="D1388" s="4">
        <v>5710.5</v>
      </c>
      <c r="E1388" s="271"/>
      <c r="F1388" s="271"/>
      <c r="G1388" s="273">
        <f>(B1388-B1387)/B1387</f>
        <v>4.7156623726508076E-3</v>
      </c>
      <c r="H1388" s="4">
        <f t="shared" si="21"/>
        <v>1.1961722488038277E-2</v>
      </c>
      <c r="I1388" s="271"/>
      <c r="J1388" s="4"/>
    </row>
    <row r="1389" spans="1:10" ht="14.25" customHeight="1" x14ac:dyDescent="0.3">
      <c r="A1389" s="272">
        <v>45973</v>
      </c>
      <c r="B1389" s="4">
        <v>25875.8</v>
      </c>
      <c r="C1389" s="272">
        <v>45973</v>
      </c>
      <c r="D1389" s="4">
        <v>5893.5</v>
      </c>
      <c r="E1389" s="271"/>
      <c r="F1389" s="271"/>
      <c r="G1389" s="273">
        <f>(B1389-B1388)/B1388</f>
        <v>7.0383480022338449E-3</v>
      </c>
      <c r="H1389" s="4">
        <f t="shared" si="21"/>
        <v>3.2046230627790911E-2</v>
      </c>
      <c r="I1389" s="271"/>
      <c r="J1389" s="4"/>
    </row>
    <row r="1390" spans="1:10" ht="14.25" customHeight="1" x14ac:dyDescent="0.3">
      <c r="A1390" s="272">
        <v>45974</v>
      </c>
      <c r="B1390" s="4">
        <v>25879.15</v>
      </c>
      <c r="C1390" s="272">
        <v>45974</v>
      </c>
      <c r="D1390" s="4">
        <v>5847</v>
      </c>
      <c r="E1390" s="271"/>
      <c r="F1390" s="271"/>
      <c r="G1390" s="273">
        <f>(B1390-B1389)/B1389</f>
        <v>1.2946459626377477E-4</v>
      </c>
      <c r="H1390" s="4">
        <f t="shared" si="21"/>
        <v>-7.8900483583609054E-3</v>
      </c>
      <c r="I1390" s="271"/>
      <c r="J1390" s="4"/>
    </row>
    <row r="1391" spans="1:10" ht="14.25" customHeight="1" x14ac:dyDescent="0.3">
      <c r="A1391" s="272">
        <v>45975</v>
      </c>
      <c r="B1391" s="4">
        <v>25910.05</v>
      </c>
      <c r="C1391" s="272">
        <v>45975</v>
      </c>
      <c r="D1391" s="4">
        <v>5809</v>
      </c>
      <c r="E1391" s="271"/>
      <c r="F1391" s="271"/>
      <c r="G1391" s="273">
        <f>(B1391-B1390)/B1390</f>
        <v>1.194011395273717E-3</v>
      </c>
      <c r="H1391" s="4">
        <f t="shared" si="21"/>
        <v>-6.4990593466735082E-3</v>
      </c>
      <c r="I1391" s="271"/>
      <c r="J1391" s="4"/>
    </row>
    <row r="1392" spans="1:10" ht="14.25" customHeight="1" x14ac:dyDescent="0.3">
      <c r="A1392" s="272">
        <v>45978</v>
      </c>
      <c r="B1392" s="4">
        <v>26013.45</v>
      </c>
      <c r="C1392" s="272">
        <v>45978</v>
      </c>
      <c r="D1392" s="4">
        <v>5848.5</v>
      </c>
      <c r="E1392" s="271"/>
      <c r="F1392" s="271"/>
      <c r="G1392" s="273">
        <f>(B1392-B1391)/B1391</f>
        <v>3.9907294659794739E-3</v>
      </c>
      <c r="H1392" s="4">
        <f t="shared" si="21"/>
        <v>6.7997934239972455E-3</v>
      </c>
      <c r="I1392" s="271"/>
      <c r="J1392" s="4"/>
    </row>
    <row r="1393" spans="1:10" ht="14.25" customHeight="1" x14ac:dyDescent="0.3">
      <c r="A1393" s="272">
        <v>45979</v>
      </c>
      <c r="B1393" s="4">
        <v>25910.05</v>
      </c>
      <c r="C1393" s="272">
        <v>45979</v>
      </c>
      <c r="D1393" s="4">
        <v>5756</v>
      </c>
      <c r="E1393" s="271"/>
      <c r="F1393" s="271"/>
      <c r="G1393" s="273">
        <f>(B1393-B1392)/B1392</f>
        <v>-3.9748668477269048E-3</v>
      </c>
      <c r="H1393" s="4">
        <f t="shared" si="21"/>
        <v>-1.5816021202017611E-2</v>
      </c>
      <c r="I1393" s="271"/>
      <c r="J1393" s="4"/>
    </row>
    <row r="1394" spans="1:10" ht="14.25" customHeight="1" x14ac:dyDescent="0.3">
      <c r="A1394" s="272">
        <v>45980</v>
      </c>
      <c r="B1394" s="4">
        <v>26052.65</v>
      </c>
      <c r="C1394" s="272">
        <v>45980</v>
      </c>
      <c r="D1394" s="4">
        <v>5972</v>
      </c>
      <c r="E1394" s="271"/>
      <c r="F1394" s="271"/>
      <c r="G1394" s="273">
        <f>(B1394-B1393)/B1393</f>
        <v>5.503655917298584E-3</v>
      </c>
      <c r="H1394" s="4">
        <f t="shared" si="21"/>
        <v>3.7526059763724806E-2</v>
      </c>
      <c r="I1394" s="271"/>
      <c r="J1394" s="4"/>
    </row>
    <row r="1395" spans="1:10" ht="14.25" customHeight="1" x14ac:dyDescent="0.3">
      <c r="A1395" s="272">
        <v>45981</v>
      </c>
      <c r="B1395" s="4">
        <v>26192.15</v>
      </c>
      <c r="C1395" s="272">
        <v>45981</v>
      </c>
      <c r="D1395" s="4">
        <v>6027</v>
      </c>
      <c r="E1395" s="271"/>
      <c r="F1395" s="271"/>
      <c r="G1395" s="273">
        <f>(B1395-B1394)/B1394</f>
        <v>5.3545416685058904E-3</v>
      </c>
      <c r="H1395" s="4">
        <f t="shared" si="21"/>
        <v>9.2096450100468859E-3</v>
      </c>
      <c r="I1395" s="271"/>
      <c r="J1395" s="4"/>
    </row>
    <row r="1396" spans="1:10" ht="14.25" customHeight="1" x14ac:dyDescent="0.3">
      <c r="A1396" s="272">
        <v>45982</v>
      </c>
      <c r="B1396" s="4">
        <v>26068.15</v>
      </c>
      <c r="C1396" s="272">
        <v>45982</v>
      </c>
      <c r="D1396" s="4">
        <v>5926</v>
      </c>
      <c r="E1396" s="271"/>
      <c r="F1396" s="271"/>
      <c r="G1396" s="273">
        <f>(B1396-B1395)/B1395</f>
        <v>-4.734242893385995E-3</v>
      </c>
      <c r="H1396" s="4">
        <f t="shared" si="21"/>
        <v>-1.6757922681267631E-2</v>
      </c>
      <c r="I1396" s="271"/>
      <c r="J1396" s="4"/>
    </row>
    <row r="1397" spans="1:10" ht="14.25" customHeight="1" x14ac:dyDescent="0.3">
      <c r="A1397" s="272">
        <v>45985</v>
      </c>
      <c r="B1397" s="4">
        <v>25959.5</v>
      </c>
      <c r="C1397" s="272">
        <v>45985</v>
      </c>
      <c r="D1397" s="4">
        <v>5922</v>
      </c>
      <c r="E1397" s="271"/>
      <c r="F1397" s="271"/>
      <c r="G1397" s="273">
        <f>(B1397-B1396)/B1396</f>
        <v>-4.1679213906626071E-3</v>
      </c>
      <c r="H1397" s="4">
        <f t="shared" si="21"/>
        <v>-6.7499156260546742E-4</v>
      </c>
      <c r="I1397" s="271"/>
      <c r="J1397" s="4"/>
    </row>
    <row r="1398" spans="1:10" ht="14.25" customHeight="1" x14ac:dyDescent="0.3">
      <c r="A1398" s="272">
        <v>45986</v>
      </c>
      <c r="B1398" s="4">
        <v>25884.799999999999</v>
      </c>
      <c r="C1398" s="272">
        <v>45986</v>
      </c>
      <c r="D1398" s="4">
        <v>5833</v>
      </c>
      <c r="E1398" s="271"/>
      <c r="F1398" s="271"/>
      <c r="G1398" s="273">
        <f>(B1398-B1397)/B1397</f>
        <v>-2.8775592750245856E-3</v>
      </c>
      <c r="H1398" s="4">
        <f t="shared" si="21"/>
        <v>-1.502870651806822E-2</v>
      </c>
      <c r="I1398" s="271"/>
      <c r="J1398" s="4"/>
    </row>
    <row r="1399" spans="1:10" ht="14.25" customHeight="1" x14ac:dyDescent="0.3">
      <c r="A1399" s="272">
        <v>45987</v>
      </c>
      <c r="B1399" s="4">
        <v>26205.3</v>
      </c>
      <c r="C1399" s="272">
        <v>45987</v>
      </c>
      <c r="D1399" s="4">
        <v>5890</v>
      </c>
      <c r="E1399" s="271"/>
      <c r="F1399" s="271"/>
      <c r="G1399" s="273">
        <f>(B1399-B1398)/B1398</f>
        <v>1.2381783904067252E-2</v>
      </c>
      <c r="H1399" s="4">
        <f t="shared" si="21"/>
        <v>9.7719869706840382E-3</v>
      </c>
      <c r="I1399" s="271"/>
      <c r="J1399" s="4"/>
    </row>
    <row r="1400" spans="1:10" ht="14.25" customHeight="1" x14ac:dyDescent="0.3">
      <c r="A1400" s="272">
        <v>45988</v>
      </c>
      <c r="B1400" s="4">
        <v>26215.55</v>
      </c>
      <c r="C1400" s="272">
        <v>45988</v>
      </c>
      <c r="D1400" s="4">
        <v>6025.5</v>
      </c>
      <c r="E1400" s="271"/>
      <c r="F1400" s="271"/>
      <c r="G1400" s="273">
        <f>(B1400-B1399)/B1399</f>
        <v>3.9114224985022116E-4</v>
      </c>
      <c r="H1400" s="4">
        <f t="shared" si="21"/>
        <v>2.3005093378607809E-2</v>
      </c>
      <c r="I1400" s="271"/>
      <c r="J1400" s="4"/>
    </row>
    <row r="1401" spans="1:10" ht="14.25" customHeight="1" x14ac:dyDescent="0.3">
      <c r="A1401" s="272">
        <v>45989</v>
      </c>
      <c r="B1401" s="4">
        <v>26202.95</v>
      </c>
      <c r="C1401" s="272">
        <v>45989</v>
      </c>
      <c r="D1401" s="4">
        <v>6096.5</v>
      </c>
      <c r="E1401" s="271"/>
      <c r="F1401" s="271"/>
      <c r="G1401" s="273">
        <f>(B1401-B1400)/B1400</f>
        <v>-4.806307706684981E-4</v>
      </c>
      <c r="H1401" s="4">
        <f t="shared" si="21"/>
        <v>1.1783254501701104E-2</v>
      </c>
      <c r="I1401" s="271"/>
      <c r="J1401" s="4"/>
    </row>
    <row r="1402" spans="1:10" ht="14.25" customHeight="1" x14ac:dyDescent="0.3">
      <c r="A1402" s="272">
        <v>45992</v>
      </c>
      <c r="B1402" s="4">
        <v>26175.75</v>
      </c>
      <c r="C1402" s="272">
        <v>45992</v>
      </c>
      <c r="D1402" s="4">
        <v>6152.5</v>
      </c>
      <c r="E1402" s="271"/>
      <c r="F1402" s="271"/>
      <c r="G1402" s="273">
        <f>(B1402-B1401)/B1401</f>
        <v>-1.038051059136499E-3</v>
      </c>
      <c r="H1402" s="4">
        <f t="shared" si="21"/>
        <v>9.1855982941031738E-3</v>
      </c>
      <c r="I1402" s="271"/>
      <c r="J1402" s="4"/>
    </row>
    <row r="1403" spans="1:10" ht="14.25" customHeight="1" x14ac:dyDescent="0.3">
      <c r="A1403" s="272">
        <v>45993</v>
      </c>
      <c r="B1403" s="4">
        <v>26032.2</v>
      </c>
      <c r="C1403" s="272">
        <v>45993</v>
      </c>
      <c r="D1403" s="4">
        <v>6164</v>
      </c>
      <c r="E1403" s="271"/>
      <c r="F1403" s="271"/>
      <c r="G1403" s="273">
        <f>(B1403-B1402)/B1402</f>
        <v>-5.4840835506145677E-3</v>
      </c>
      <c r="H1403" s="4">
        <f t="shared" si="21"/>
        <v>1.869158878504673E-3</v>
      </c>
      <c r="I1403" s="271"/>
      <c r="J1403" s="4"/>
    </row>
    <row r="1404" spans="1:10" ht="14.25" customHeight="1" x14ac:dyDescent="0.3">
      <c r="A1404" s="272">
        <v>45994</v>
      </c>
      <c r="B1404" s="4">
        <v>25986</v>
      </c>
      <c r="C1404" s="272">
        <v>45994</v>
      </c>
      <c r="D1404" s="4">
        <v>6159</v>
      </c>
      <c r="E1404" s="271"/>
      <c r="F1404" s="271"/>
      <c r="G1404" s="273">
        <f>(B1404-B1403)/B1403</f>
        <v>-1.77472514808586E-3</v>
      </c>
      <c r="H1404" s="4">
        <f t="shared" si="21"/>
        <v>-8.1116158338741078E-4</v>
      </c>
      <c r="I1404" s="271"/>
      <c r="J1404" s="4"/>
    </row>
    <row r="1405" spans="1:10" ht="14.25" customHeight="1" x14ac:dyDescent="0.3">
      <c r="A1405" s="272">
        <v>45995</v>
      </c>
      <c r="B1405" s="4">
        <v>26033.75</v>
      </c>
      <c r="C1405" s="272">
        <v>45995</v>
      </c>
      <c r="D1405" s="4">
        <v>6266</v>
      </c>
      <c r="E1405" s="271"/>
      <c r="F1405" s="271"/>
      <c r="G1405" s="273">
        <f>(B1405-B1404)/B1404</f>
        <v>1.8375278996382667E-3</v>
      </c>
      <c r="H1405" s="4">
        <f t="shared" si="21"/>
        <v>1.7372950154245819E-2</v>
      </c>
      <c r="I1405" s="271"/>
      <c r="J1405" s="4"/>
    </row>
    <row r="1406" spans="1:10" ht="14.25" customHeight="1" x14ac:dyDescent="0.3">
      <c r="A1406" s="272">
        <v>45996</v>
      </c>
      <c r="B1406" s="4">
        <v>26186.45</v>
      </c>
      <c r="C1406" s="272">
        <v>45996</v>
      </c>
      <c r="D1406" s="4">
        <v>6292</v>
      </c>
      <c r="E1406" s="271"/>
      <c r="F1406" s="271"/>
      <c r="G1406" s="273">
        <f>(B1406-B1405)/B1405</f>
        <v>5.8654631007826656E-3</v>
      </c>
      <c r="H1406" s="4">
        <f t="shared" si="21"/>
        <v>4.1493775933609959E-3</v>
      </c>
      <c r="I1406" s="271"/>
      <c r="J1406" s="4"/>
    </row>
    <row r="1407" spans="1:10" ht="14.25" customHeight="1" x14ac:dyDescent="0.3">
      <c r="A1407" s="272">
        <v>45999</v>
      </c>
      <c r="B1407" s="4">
        <v>25960.55</v>
      </c>
      <c r="C1407" s="272">
        <v>45999</v>
      </c>
      <c r="D1407" s="4">
        <v>6256</v>
      </c>
      <c r="E1407" s="271"/>
      <c r="F1407" s="271"/>
      <c r="G1407" s="273">
        <f>(B1407-B1406)/B1406</f>
        <v>-8.6265988707901007E-3</v>
      </c>
      <c r="H1407" s="4">
        <f t="shared" si="21"/>
        <v>-5.7215511760966304E-3</v>
      </c>
      <c r="I1407" s="271"/>
      <c r="J1407" s="4"/>
    </row>
    <row r="1408" spans="1:10" ht="14.25" customHeight="1" x14ac:dyDescent="0.3">
      <c r="A1408" s="272">
        <v>46000</v>
      </c>
      <c r="B1408" s="4">
        <v>25839.65</v>
      </c>
      <c r="C1408" s="272">
        <v>46000</v>
      </c>
      <c r="D1408" s="4">
        <v>6245.5</v>
      </c>
      <c r="E1408" s="271"/>
      <c r="F1408" s="271"/>
      <c r="G1408" s="273">
        <f>(B1408-B1407)/B1407</f>
        <v>-4.6570662023723616E-3</v>
      </c>
      <c r="H1408" s="4">
        <f t="shared" si="21"/>
        <v>-1.6783887468030691E-3</v>
      </c>
      <c r="I1408" s="271"/>
      <c r="J1408" s="4"/>
    </row>
    <row r="1409" spans="1:10" ht="14.25" customHeight="1" x14ac:dyDescent="0.3">
      <c r="A1409" s="272">
        <v>46001</v>
      </c>
      <c r="B1409" s="4">
        <v>25758</v>
      </c>
      <c r="C1409" s="272">
        <v>46001</v>
      </c>
      <c r="D1409" s="4">
        <v>6220.5</v>
      </c>
      <c r="E1409" s="271"/>
      <c r="F1409" s="271"/>
      <c r="G1409" s="273">
        <f>(B1409-B1408)/B1408</f>
        <v>-3.1598725214931878E-3</v>
      </c>
      <c r="H1409" s="4">
        <f t="shared" si="21"/>
        <v>-4.0028820750940674E-3</v>
      </c>
      <c r="I1409" s="271"/>
      <c r="J1409" s="4"/>
    </row>
    <row r="1410" spans="1:10" ht="14.25" customHeight="1" x14ac:dyDescent="0.3">
      <c r="A1410" s="272">
        <v>46002</v>
      </c>
      <c r="B1410" s="4">
        <v>25898.55</v>
      </c>
      <c r="C1410" s="272">
        <v>46002</v>
      </c>
      <c r="D1410" s="4">
        <v>6294.5</v>
      </c>
      <c r="E1410" s="271"/>
      <c r="F1410" s="271"/>
      <c r="G1410" s="273">
        <f>(B1410-B1409)/B1409</f>
        <v>5.4565571861169065E-3</v>
      </c>
      <c r="H1410" s="4">
        <f t="shared" si="21"/>
        <v>1.1896149827184311E-2</v>
      </c>
      <c r="I1410" s="271"/>
      <c r="J1410" s="4"/>
    </row>
    <row r="1411" spans="1:10" ht="14.25" customHeight="1" x14ac:dyDescent="0.3">
      <c r="A1411" s="272">
        <v>46003</v>
      </c>
      <c r="B1411" s="4">
        <v>26046.95</v>
      </c>
      <c r="C1411" s="272">
        <v>46003</v>
      </c>
      <c r="D1411" s="4">
        <v>6284.5</v>
      </c>
      <c r="E1411" s="271"/>
      <c r="F1411" s="271"/>
      <c r="G1411" s="273">
        <f>(B1411-B1410)/B1410</f>
        <v>5.7300505240641449E-3</v>
      </c>
      <c r="H1411" s="4">
        <f t="shared" ref="H1411:H1474" si="22">(D1411-D1410)/D1410</f>
        <v>-1.5886885376122011E-3</v>
      </c>
      <c r="I1411" s="271"/>
      <c r="J1411" s="4"/>
    </row>
    <row r="1412" spans="1:10" ht="14.25" customHeight="1" x14ac:dyDescent="0.3">
      <c r="A1412" s="272">
        <v>46006</v>
      </c>
      <c r="B1412" s="4">
        <v>26027.3</v>
      </c>
      <c r="C1412" s="272">
        <v>46006</v>
      </c>
      <c r="D1412" s="4">
        <v>6269.5</v>
      </c>
      <c r="E1412" s="271"/>
      <c r="F1412" s="271"/>
      <c r="G1412" s="273">
        <f>(B1412-B1411)/B1411</f>
        <v>-7.5440694591886787E-4</v>
      </c>
      <c r="H1412" s="4">
        <f t="shared" si="22"/>
        <v>-2.3868247275041768E-3</v>
      </c>
      <c r="I1412" s="271"/>
      <c r="J1412" s="4"/>
    </row>
    <row r="1413" spans="1:10" ht="14.25" customHeight="1" x14ac:dyDescent="0.3">
      <c r="A1413" s="272">
        <v>46007</v>
      </c>
      <c r="B1413" s="4">
        <v>25860.1</v>
      </c>
      <c r="C1413" s="272">
        <v>46007</v>
      </c>
      <c r="D1413" s="4">
        <v>6216</v>
      </c>
      <c r="E1413" s="271"/>
      <c r="F1413" s="271"/>
      <c r="G1413" s="273">
        <f>(B1413-B1412)/B1412</f>
        <v>-6.4240240055634173E-3</v>
      </c>
      <c r="H1413" s="4">
        <f t="shared" si="22"/>
        <v>-8.5333758672940432E-3</v>
      </c>
      <c r="I1413" s="271"/>
      <c r="J1413" s="4"/>
    </row>
    <row r="1414" spans="1:10" ht="14.25" customHeight="1" x14ac:dyDescent="0.3">
      <c r="A1414" s="272">
        <v>46008</v>
      </c>
      <c r="B1414" s="4">
        <v>25818.55</v>
      </c>
      <c r="C1414" s="272">
        <v>46008</v>
      </c>
      <c r="D1414" s="4">
        <v>6252.5</v>
      </c>
      <c r="E1414" s="271"/>
      <c r="F1414" s="271"/>
      <c r="G1414" s="273">
        <f>(B1414-B1413)/B1413</f>
        <v>-1.6067223251263248E-3</v>
      </c>
      <c r="H1414" s="4">
        <f t="shared" si="22"/>
        <v>5.8719433719433721E-3</v>
      </c>
      <c r="I1414" s="271"/>
      <c r="J1414" s="4"/>
    </row>
    <row r="1415" spans="1:10" ht="14.25" customHeight="1" x14ac:dyDescent="0.3">
      <c r="A1415" s="272">
        <v>46009</v>
      </c>
      <c r="B1415" s="4">
        <v>25815.55</v>
      </c>
      <c r="C1415" s="272">
        <v>46009</v>
      </c>
      <c r="D1415" s="4">
        <v>6245</v>
      </c>
      <c r="E1415" s="271"/>
      <c r="F1415" s="271"/>
      <c r="G1415" s="273">
        <f>(B1415-B1414)/B1414</f>
        <v>-1.1619552608492731E-4</v>
      </c>
      <c r="H1415" s="4">
        <f t="shared" si="22"/>
        <v>-1.1995201919232307E-3</v>
      </c>
      <c r="I1415" s="271"/>
      <c r="J1415" s="4"/>
    </row>
    <row r="1416" spans="1:10" ht="14.25" customHeight="1" x14ac:dyDescent="0.3">
      <c r="A1416" s="272">
        <v>46010</v>
      </c>
      <c r="B1416" s="4">
        <v>25966.400000000001</v>
      </c>
      <c r="C1416" s="272">
        <v>46010</v>
      </c>
      <c r="D1416" s="4">
        <v>6197.5</v>
      </c>
      <c r="E1416" s="271"/>
      <c r="F1416" s="271"/>
      <c r="G1416" s="273">
        <f>(B1416-B1415)/B1415</f>
        <v>5.8433773442751434E-3</v>
      </c>
      <c r="H1416" s="4">
        <f t="shared" si="22"/>
        <v>-7.6060848678943154E-3</v>
      </c>
      <c r="I1416" s="271"/>
      <c r="J1416" s="4"/>
    </row>
    <row r="1417" spans="1:10" ht="14.25" customHeight="1" x14ac:dyDescent="0.3">
      <c r="A1417" s="272">
        <v>46013</v>
      </c>
      <c r="B1417" s="4">
        <v>26172.400000000001</v>
      </c>
      <c r="C1417" s="272">
        <v>46013</v>
      </c>
      <c r="D1417" s="4">
        <v>6191.5</v>
      </c>
      <c r="E1417" s="271"/>
      <c r="F1417" s="271"/>
      <c r="G1417" s="273">
        <f>(B1417-B1416)/B1416</f>
        <v>7.933329225460594E-3</v>
      </c>
      <c r="H1417" s="4">
        <f t="shared" si="22"/>
        <v>-9.6813231141589353E-4</v>
      </c>
      <c r="I1417" s="271"/>
      <c r="J1417" s="4"/>
    </row>
    <row r="1418" spans="1:10" ht="14.25" customHeight="1" x14ac:dyDescent="0.3">
      <c r="A1418" s="272">
        <v>46014</v>
      </c>
      <c r="B1418" s="4">
        <v>26177.15</v>
      </c>
      <c r="C1418" s="272">
        <v>46014</v>
      </c>
      <c r="D1418" s="4">
        <v>6202.5</v>
      </c>
      <c r="E1418" s="271"/>
      <c r="F1418" s="271"/>
      <c r="G1418" s="273">
        <f>(B1418-B1417)/B1417</f>
        <v>1.8148889670034082E-4</v>
      </c>
      <c r="H1418" s="4">
        <f t="shared" si="22"/>
        <v>1.7766292497779213E-3</v>
      </c>
      <c r="I1418" s="271"/>
      <c r="J1418" s="4"/>
    </row>
    <row r="1419" spans="1:10" ht="14.25" customHeight="1" x14ac:dyDescent="0.3">
      <c r="A1419" s="272">
        <v>46015</v>
      </c>
      <c r="B1419" s="4">
        <v>26142.1</v>
      </c>
      <c r="C1419" s="272">
        <v>46015</v>
      </c>
      <c r="D1419" s="4">
        <v>6163</v>
      </c>
      <c r="E1419" s="271"/>
      <c r="F1419" s="271"/>
      <c r="G1419" s="273">
        <f>(B1419-B1418)/B1418</f>
        <v>-1.3389540114184665E-3</v>
      </c>
      <c r="H1419" s="4">
        <f t="shared" si="22"/>
        <v>-6.368399838774688E-3</v>
      </c>
      <c r="I1419" s="271"/>
      <c r="J1419" s="4"/>
    </row>
    <row r="1420" spans="1:10" ht="14.25" customHeight="1" x14ac:dyDescent="0.3">
      <c r="A1420" s="272">
        <v>46017</v>
      </c>
      <c r="B1420" s="4">
        <v>26042.3</v>
      </c>
      <c r="C1420" s="272">
        <v>46017</v>
      </c>
      <c r="D1420" s="4">
        <v>6035.5</v>
      </c>
      <c r="E1420" s="271"/>
      <c r="F1420" s="271"/>
      <c r="G1420" s="273">
        <f>(B1420-B1419)/B1419</f>
        <v>-3.8175969030796791E-3</v>
      </c>
      <c r="H1420" s="4">
        <f t="shared" si="22"/>
        <v>-2.06879766347558E-2</v>
      </c>
      <c r="I1420" s="271"/>
      <c r="J1420" s="4"/>
    </row>
    <row r="1421" spans="1:10" ht="14.25" customHeight="1" x14ac:dyDescent="0.3">
      <c r="A1421" s="272">
        <v>46020</v>
      </c>
      <c r="B1421" s="4">
        <v>25942.1</v>
      </c>
      <c r="C1421" s="272">
        <v>46020</v>
      </c>
      <c r="D1421" s="4">
        <v>6033.5</v>
      </c>
      <c r="E1421" s="271"/>
      <c r="F1421" s="271"/>
      <c r="G1421" s="273">
        <f>(B1421-B1420)/B1420</f>
        <v>-3.8475864266981309E-3</v>
      </c>
      <c r="H1421" s="4">
        <f t="shared" si="22"/>
        <v>-3.3137271145721147E-4</v>
      </c>
      <c r="I1421" s="271"/>
      <c r="J1421" s="4"/>
    </row>
    <row r="1422" spans="1:10" ht="14.25" customHeight="1" x14ac:dyDescent="0.3">
      <c r="A1422" s="272">
        <v>46021</v>
      </c>
      <c r="B1422" s="4">
        <v>25938.85</v>
      </c>
      <c r="C1422" s="272">
        <v>46021</v>
      </c>
      <c r="D1422" s="4">
        <v>6074</v>
      </c>
      <c r="E1422" s="271"/>
      <c r="F1422" s="271"/>
      <c r="G1422" s="273">
        <f>(B1422-B1421)/B1421</f>
        <v>-1.2527898666646109E-4</v>
      </c>
      <c r="H1422" s="4">
        <f t="shared" si="22"/>
        <v>6.7125217535427195E-3</v>
      </c>
      <c r="I1422" s="271"/>
      <c r="J1422" s="4"/>
    </row>
    <row r="1423" spans="1:10" ht="14.25" customHeight="1" x14ac:dyDescent="0.3">
      <c r="A1423" s="272">
        <v>46022</v>
      </c>
      <c r="B1423" s="4">
        <v>26129.599999999999</v>
      </c>
      <c r="C1423" s="272">
        <v>46022</v>
      </c>
      <c r="D1423" s="4">
        <v>6063.5</v>
      </c>
      <c r="E1423" s="271"/>
      <c r="F1423" s="271"/>
      <c r="G1423" s="273">
        <f>(B1423-B1422)/B1422</f>
        <v>7.353834113694324E-3</v>
      </c>
      <c r="H1423" s="4">
        <f t="shared" si="22"/>
        <v>-1.7286796180441225E-3</v>
      </c>
      <c r="I1423" s="271"/>
      <c r="J1423" s="4"/>
    </row>
    <row r="1424" spans="1:10" ht="14.25" customHeight="1" x14ac:dyDescent="0.3">
      <c r="A1424" s="272">
        <v>46023</v>
      </c>
      <c r="B1424" s="4">
        <v>26146.55</v>
      </c>
      <c r="C1424" s="272">
        <v>46023</v>
      </c>
      <c r="D1424" s="4">
        <v>6112</v>
      </c>
      <c r="E1424" s="271"/>
      <c r="F1424" s="271"/>
      <c r="G1424" s="273">
        <f>(B1424-B1423)/B1423</f>
        <v>6.4868960871964092E-4</v>
      </c>
      <c r="H1424" s="4">
        <f t="shared" si="22"/>
        <v>7.9986806299991754E-3</v>
      </c>
      <c r="I1424" s="271"/>
      <c r="J1424" s="4"/>
    </row>
    <row r="1425" spans="1:10" ht="14.25" customHeight="1" x14ac:dyDescent="0.3">
      <c r="A1425" s="272">
        <v>46024</v>
      </c>
      <c r="B1425" s="4">
        <v>26328.55</v>
      </c>
      <c r="C1425" s="272">
        <v>46024</v>
      </c>
      <c r="D1425" s="4">
        <v>6067</v>
      </c>
      <c r="E1425" s="271"/>
      <c r="F1425" s="271"/>
      <c r="G1425" s="273">
        <f>(B1425-B1424)/B1424</f>
        <v>6.9607653782238956E-3</v>
      </c>
      <c r="H1425" s="4">
        <f t="shared" si="22"/>
        <v>-7.362565445026178E-3</v>
      </c>
      <c r="I1425" s="271"/>
      <c r="J1425" s="4"/>
    </row>
    <row r="1426" spans="1:10" ht="14.25" customHeight="1" x14ac:dyDescent="0.3">
      <c r="A1426" s="272">
        <v>46027</v>
      </c>
      <c r="B1426" s="4">
        <v>26250.3</v>
      </c>
      <c r="C1426" s="272">
        <v>46027</v>
      </c>
      <c r="D1426" s="4">
        <v>6059</v>
      </c>
      <c r="E1426" s="271"/>
      <c r="F1426" s="271"/>
      <c r="G1426" s="273">
        <f>(B1426-B1425)/B1425</f>
        <v>-2.9720588486642826E-3</v>
      </c>
      <c r="H1426" s="4">
        <f t="shared" si="22"/>
        <v>-1.3186088676446349E-3</v>
      </c>
      <c r="I1426" s="271"/>
      <c r="J1426" s="4"/>
    </row>
    <row r="1427" spans="1:10" ht="14.25" customHeight="1" x14ac:dyDescent="0.3">
      <c r="A1427" s="272">
        <v>46028</v>
      </c>
      <c r="B1427" s="4">
        <v>26178.7</v>
      </c>
      <c r="C1427" s="272">
        <v>46028</v>
      </c>
      <c r="D1427" s="4">
        <v>5982.5</v>
      </c>
      <c r="E1427" s="271"/>
      <c r="F1427" s="271"/>
      <c r="G1427" s="273">
        <f>(B1427-B1426)/B1426</f>
        <v>-2.7275878751861328E-3</v>
      </c>
      <c r="H1427" s="4">
        <f t="shared" si="22"/>
        <v>-1.2625845849150025E-2</v>
      </c>
      <c r="I1427" s="271"/>
      <c r="J1427" s="4"/>
    </row>
    <row r="1428" spans="1:10" ht="14.25" customHeight="1" x14ac:dyDescent="0.3">
      <c r="A1428" s="272">
        <v>46029</v>
      </c>
      <c r="B1428" s="4">
        <v>26140.75</v>
      </c>
      <c r="C1428" s="272">
        <v>46029</v>
      </c>
      <c r="D1428" s="4">
        <v>6102</v>
      </c>
      <c r="E1428" s="271"/>
      <c r="F1428" s="271"/>
      <c r="G1428" s="273">
        <f>(B1428-B1427)/B1427</f>
        <v>-1.4496518161711898E-3</v>
      </c>
      <c r="H1428" s="4">
        <f t="shared" si="22"/>
        <v>1.9974926870037608E-2</v>
      </c>
      <c r="I1428" s="271"/>
      <c r="J1428" s="4"/>
    </row>
    <row r="1429" spans="1:10" ht="14.25" customHeight="1" x14ac:dyDescent="0.3">
      <c r="A1429" s="272">
        <v>46030</v>
      </c>
      <c r="B1429" s="4">
        <v>25876.85</v>
      </c>
      <c r="C1429" s="272">
        <v>46030</v>
      </c>
      <c r="D1429" s="4">
        <v>6018</v>
      </c>
      <c r="E1429" s="271"/>
      <c r="F1429" s="271"/>
      <c r="G1429" s="273">
        <f>(B1429-B1428)/B1428</f>
        <v>-1.009534921530566E-2</v>
      </c>
      <c r="H1429" s="4">
        <f t="shared" si="22"/>
        <v>-1.376597836774828E-2</v>
      </c>
      <c r="I1429" s="271"/>
      <c r="J1429" s="4"/>
    </row>
    <row r="1430" spans="1:10" ht="14.25" customHeight="1" x14ac:dyDescent="0.3">
      <c r="A1430" s="272">
        <v>46031</v>
      </c>
      <c r="B1430" s="4">
        <v>25683.3</v>
      </c>
      <c r="C1430" s="272">
        <v>46031</v>
      </c>
      <c r="D1430" s="4">
        <v>6037</v>
      </c>
      <c r="E1430" s="271"/>
      <c r="F1430" s="271"/>
      <c r="G1430" s="273">
        <f>(B1430-B1429)/B1429</f>
        <v>-7.4796584592019232E-3</v>
      </c>
      <c r="H1430" s="4">
        <f t="shared" si="22"/>
        <v>3.1571950814223994E-3</v>
      </c>
      <c r="I1430" s="271"/>
      <c r="J1430" s="4"/>
    </row>
    <row r="1431" spans="1:10" ht="14.25" customHeight="1" x14ac:dyDescent="0.3">
      <c r="A1431" s="272">
        <v>46034</v>
      </c>
      <c r="B1431" s="4">
        <v>25790.25</v>
      </c>
      <c r="C1431" s="272">
        <v>46034</v>
      </c>
      <c r="D1431" s="4">
        <v>6000.5</v>
      </c>
      <c r="E1431" s="271"/>
      <c r="F1431" s="271"/>
      <c r="G1431" s="273">
        <f>(B1431-B1430)/B1430</f>
        <v>4.1641845090000405E-3</v>
      </c>
      <c r="H1431" s="4">
        <f t="shared" si="22"/>
        <v>-6.0460493622660266E-3</v>
      </c>
      <c r="I1431" s="271"/>
      <c r="J1431" s="4"/>
    </row>
    <row r="1432" spans="1:10" ht="14.25" customHeight="1" x14ac:dyDescent="0.3">
      <c r="A1432" s="272">
        <v>46035</v>
      </c>
      <c r="B1432" s="4">
        <v>25732.3</v>
      </c>
      <c r="C1432" s="272">
        <v>46035</v>
      </c>
      <c r="D1432" s="4">
        <v>6100.5</v>
      </c>
      <c r="E1432" s="271"/>
      <c r="F1432" s="271"/>
      <c r="G1432" s="273">
        <f>(B1432-B1431)/B1431</f>
        <v>-2.2469731778482459E-3</v>
      </c>
      <c r="H1432" s="4">
        <f t="shared" si="22"/>
        <v>1.6665277893508874E-2</v>
      </c>
      <c r="I1432" s="271"/>
      <c r="J1432" s="4"/>
    </row>
    <row r="1433" spans="1:10" ht="14.25" customHeight="1" x14ac:dyDescent="0.3">
      <c r="A1433" s="272">
        <v>46036</v>
      </c>
      <c r="B1433" s="4">
        <v>25665.599999999999</v>
      </c>
      <c r="C1433" s="272">
        <v>46036</v>
      </c>
      <c r="D1433" s="4">
        <v>6030.5</v>
      </c>
      <c r="E1433" s="271"/>
      <c r="F1433" s="271"/>
      <c r="G1433" s="273">
        <f>(B1433-B1432)/B1432</f>
        <v>-2.5920729977499382E-3</v>
      </c>
      <c r="H1433" s="4">
        <f t="shared" si="22"/>
        <v>-1.1474469305794608E-2</v>
      </c>
      <c r="I1433" s="271"/>
      <c r="J1433" s="4"/>
    </row>
    <row r="1434" spans="1:10" ht="14.25" customHeight="1" x14ac:dyDescent="0.3">
      <c r="A1434" s="272">
        <v>46038</v>
      </c>
      <c r="B1434" s="4">
        <v>25694.35</v>
      </c>
      <c r="C1434" s="272">
        <v>46038</v>
      </c>
      <c r="D1434" s="4">
        <v>6308</v>
      </c>
      <c r="E1434" s="271"/>
      <c r="F1434" s="271"/>
      <c r="G1434" s="273">
        <f>(B1434-B1433)/B1433</f>
        <v>1.1201764229162772E-3</v>
      </c>
      <c r="H1434" s="4">
        <f t="shared" si="22"/>
        <v>4.6016084901749438E-2</v>
      </c>
      <c r="I1434" s="271"/>
      <c r="J1434" s="4"/>
    </row>
    <row r="1435" spans="1:10" ht="14.25" customHeight="1" x14ac:dyDescent="0.3">
      <c r="A1435" s="272">
        <v>46041</v>
      </c>
      <c r="B1435" s="4">
        <v>25585.5</v>
      </c>
      <c r="C1435" s="272">
        <v>46041</v>
      </c>
      <c r="D1435" s="4">
        <v>6407</v>
      </c>
      <c r="E1435" s="271"/>
      <c r="F1435" s="271"/>
      <c r="G1435" s="273">
        <f>(B1435-B1434)/B1434</f>
        <v>-4.2363398957357768E-3</v>
      </c>
      <c r="H1435" s="4">
        <f t="shared" si="22"/>
        <v>1.5694356372859861E-2</v>
      </c>
      <c r="I1435" s="271"/>
      <c r="J1435" s="4"/>
    </row>
    <row r="1436" spans="1:10" ht="14.25" customHeight="1" x14ac:dyDescent="0.3">
      <c r="A1436" s="272">
        <v>46042</v>
      </c>
      <c r="B1436" s="4">
        <v>25232.5</v>
      </c>
      <c r="C1436" s="272">
        <v>46042</v>
      </c>
      <c r="D1436" s="4">
        <v>5976.5</v>
      </c>
      <c r="E1436" s="271"/>
      <c r="F1436" s="271"/>
      <c r="G1436" s="273">
        <f>(B1436-B1435)/B1435</f>
        <v>-1.3796877137441129E-2</v>
      </c>
      <c r="H1436" s="4">
        <f t="shared" si="22"/>
        <v>-6.719213360387076E-2</v>
      </c>
      <c r="I1436" s="271"/>
      <c r="J1436" s="4"/>
    </row>
    <row r="1437" spans="1:10" ht="14.25" customHeight="1" x14ac:dyDescent="0.3">
      <c r="A1437" s="272">
        <v>46043</v>
      </c>
      <c r="B1437" s="4">
        <v>25157.5</v>
      </c>
      <c r="C1437" s="272">
        <v>46043</v>
      </c>
      <c r="D1437" s="4">
        <v>5844</v>
      </c>
      <c r="E1437" s="271"/>
      <c r="F1437" s="271"/>
      <c r="G1437" s="273">
        <f>(B1437-B1436)/B1436</f>
        <v>-2.9723570791637768E-3</v>
      </c>
      <c r="H1437" s="4">
        <f t="shared" si="22"/>
        <v>-2.2170166485401155E-2</v>
      </c>
      <c r="I1437" s="271"/>
      <c r="J1437" s="4"/>
    </row>
    <row r="1438" spans="1:10" ht="14.25" customHeight="1" x14ac:dyDescent="0.3">
      <c r="A1438" s="272">
        <v>46044</v>
      </c>
      <c r="B1438" s="4">
        <v>25289.9</v>
      </c>
      <c r="C1438" s="272">
        <v>46044</v>
      </c>
      <c r="D1438" s="4">
        <v>5947</v>
      </c>
      <c r="E1438" s="271"/>
      <c r="F1438" s="271"/>
      <c r="G1438" s="273">
        <f>(B1438-B1437)/B1437</f>
        <v>5.2628440822816832E-3</v>
      </c>
      <c r="H1438" s="4">
        <f t="shared" si="22"/>
        <v>1.7624914442162902E-2</v>
      </c>
      <c r="I1438" s="271"/>
      <c r="J1438" s="4"/>
    </row>
    <row r="1439" spans="1:10" ht="14.25" customHeight="1" x14ac:dyDescent="0.3">
      <c r="A1439" s="272">
        <v>46045</v>
      </c>
      <c r="B1439" s="4">
        <v>25048.65</v>
      </c>
      <c r="C1439" s="272">
        <v>46045</v>
      </c>
      <c r="D1439" s="4">
        <v>5893.5</v>
      </c>
      <c r="E1439" s="271"/>
      <c r="F1439" s="271"/>
      <c r="G1439" s="273">
        <f>(B1439-B1438)/B1438</f>
        <v>-9.5393813340503512E-3</v>
      </c>
      <c r="H1439" s="4">
        <f t="shared" si="22"/>
        <v>-8.9961325037834199E-3</v>
      </c>
      <c r="I1439" s="271"/>
      <c r="J1439" s="4"/>
    </row>
    <row r="1440" spans="1:10" ht="14.25" customHeight="1" x14ac:dyDescent="0.3">
      <c r="A1440" s="272">
        <v>46049</v>
      </c>
      <c r="B1440" s="4">
        <v>25175.4</v>
      </c>
      <c r="C1440" s="272">
        <v>46049</v>
      </c>
      <c r="D1440" s="4">
        <v>5940.5</v>
      </c>
      <c r="E1440" s="271"/>
      <c r="F1440" s="271"/>
      <c r="G1440" s="273">
        <f>(B1440-B1439)/B1439</f>
        <v>5.0601529423741397E-3</v>
      </c>
      <c r="H1440" s="4">
        <f t="shared" si="22"/>
        <v>7.9748875880207015E-3</v>
      </c>
      <c r="I1440" s="271"/>
      <c r="J1440" s="4"/>
    </row>
    <row r="1441" spans="1:10" ht="14.25" customHeight="1" x14ac:dyDescent="0.3">
      <c r="A1441" s="272">
        <v>46050</v>
      </c>
      <c r="B1441" s="4">
        <v>25342.75</v>
      </c>
      <c r="C1441" s="272">
        <v>46050</v>
      </c>
      <c r="D1441" s="4">
        <v>6015.5</v>
      </c>
      <c r="E1441" s="271"/>
      <c r="F1441" s="271"/>
      <c r="G1441" s="273">
        <f>(B1441-B1440)/B1440</f>
        <v>6.6473621074540435E-3</v>
      </c>
      <c r="H1441" s="4">
        <f t="shared" si="22"/>
        <v>1.26251998989984E-2</v>
      </c>
      <c r="I1441" s="271"/>
      <c r="J1441" s="4"/>
    </row>
    <row r="1442" spans="1:10" ht="14.25" customHeight="1" x14ac:dyDescent="0.3">
      <c r="A1442" s="272">
        <v>46051</v>
      </c>
      <c r="B1442" s="4">
        <v>25418.9</v>
      </c>
      <c r="C1442" s="272">
        <v>46051</v>
      </c>
      <c r="D1442" s="4">
        <v>5995</v>
      </c>
      <c r="E1442" s="271"/>
      <c r="F1442" s="271"/>
      <c r="G1442" s="273">
        <f>(B1442-B1441)/B1441</f>
        <v>3.0048041353050261E-3</v>
      </c>
      <c r="H1442" s="4">
        <f t="shared" si="22"/>
        <v>-3.4078630205302968E-3</v>
      </c>
      <c r="I1442" s="271"/>
      <c r="J1442" s="4"/>
    </row>
    <row r="1443" spans="1:10" ht="14.25" customHeight="1" x14ac:dyDescent="0.3">
      <c r="A1443" s="272">
        <v>46052</v>
      </c>
      <c r="B1443" s="4">
        <v>25320.65</v>
      </c>
      <c r="C1443" s="272">
        <v>46052</v>
      </c>
      <c r="D1443" s="4">
        <v>5974.5</v>
      </c>
      <c r="E1443" s="271"/>
      <c r="F1443" s="271"/>
      <c r="G1443" s="273">
        <f>(B1443-B1442)/B1442</f>
        <v>-3.8652341368037167E-3</v>
      </c>
      <c r="H1443" s="4">
        <f t="shared" si="22"/>
        <v>-3.4195162635529608E-3</v>
      </c>
      <c r="I1443" s="271"/>
      <c r="J1443" s="4"/>
    </row>
    <row r="1444" spans="1:10" ht="14.25" customHeight="1" x14ac:dyDescent="0.3">
      <c r="A1444" s="272">
        <v>46055</v>
      </c>
      <c r="B1444" s="4">
        <v>25088.400000000001</v>
      </c>
      <c r="C1444" s="272">
        <v>46055</v>
      </c>
      <c r="D1444" s="4">
        <v>5986</v>
      </c>
      <c r="E1444" s="271"/>
      <c r="F1444" s="271"/>
      <c r="G1444" s="273">
        <f>(B1444-B1443)/B1443</f>
        <v>-9.1723553700240705E-3</v>
      </c>
      <c r="H1444" s="4">
        <f t="shared" si="22"/>
        <v>1.9248472675537701E-3</v>
      </c>
      <c r="I1444" s="271"/>
      <c r="J1444" s="4"/>
    </row>
    <row r="1445" spans="1:10" ht="14.25" customHeight="1" x14ac:dyDescent="0.3">
      <c r="A1445" s="272">
        <v>46056</v>
      </c>
      <c r="B1445" s="4">
        <v>25727.55</v>
      </c>
      <c r="C1445" s="272">
        <v>46056</v>
      </c>
      <c r="D1445" s="4">
        <v>6044</v>
      </c>
      <c r="E1445" s="271"/>
      <c r="F1445" s="271"/>
      <c r="G1445" s="273">
        <f>(B1445-B1444)/B1444</f>
        <v>2.5475917156932995E-2</v>
      </c>
      <c r="H1445" s="4">
        <f t="shared" si="22"/>
        <v>9.6892749749415297E-3</v>
      </c>
      <c r="I1445" s="271"/>
      <c r="J1445" s="4"/>
    </row>
    <row r="1446" spans="1:10" ht="14.25" customHeight="1" x14ac:dyDescent="0.3">
      <c r="A1446" s="272">
        <v>46057</v>
      </c>
      <c r="B1446" s="4">
        <v>25776</v>
      </c>
      <c r="C1446" s="272">
        <v>46057</v>
      </c>
      <c r="D1446" s="4">
        <v>5706.5</v>
      </c>
      <c r="E1446" s="271"/>
      <c r="F1446" s="271"/>
      <c r="G1446" s="273">
        <f>(B1446-B1445)/B1445</f>
        <v>1.8831952517826506E-3</v>
      </c>
      <c r="H1446" s="4">
        <f t="shared" si="22"/>
        <v>-5.5840502978160157E-2</v>
      </c>
      <c r="I1446" s="271"/>
      <c r="J1446" s="4"/>
    </row>
    <row r="1447" spans="1:10" ht="14.25" customHeight="1" x14ac:dyDescent="0.3">
      <c r="A1447" s="272">
        <v>46058</v>
      </c>
      <c r="B1447" s="4">
        <v>25642.799999999999</v>
      </c>
      <c r="C1447" s="272">
        <v>46058</v>
      </c>
      <c r="D1447" s="4">
        <v>5683.5</v>
      </c>
      <c r="E1447" s="271"/>
      <c r="F1447" s="271"/>
      <c r="G1447" s="273">
        <f>(B1447-B1446)/B1446</f>
        <v>-5.1675977653631569E-3</v>
      </c>
      <c r="H1447" s="4">
        <f t="shared" si="22"/>
        <v>-4.0304915447296943E-3</v>
      </c>
      <c r="I1447" s="271"/>
      <c r="J1447" s="4"/>
    </row>
    <row r="1448" spans="1:10" ht="14.25" customHeight="1" x14ac:dyDescent="0.3">
      <c r="A1448" s="272">
        <v>46059</v>
      </c>
      <c r="B1448" s="4">
        <v>25693.7</v>
      </c>
      <c r="C1448" s="272">
        <v>46059</v>
      </c>
      <c r="D1448" s="4">
        <v>5561.5</v>
      </c>
      <c r="E1448" s="271"/>
      <c r="F1448" s="271"/>
      <c r="G1448" s="273">
        <f>(B1448-B1447)/B1447</f>
        <v>1.9849626405853281E-3</v>
      </c>
      <c r="H1448" s="4">
        <f t="shared" si="22"/>
        <v>-2.1465646168734056E-2</v>
      </c>
      <c r="I1448" s="271"/>
      <c r="J1448" s="4"/>
    </row>
    <row r="1449" spans="1:10" ht="14.25" customHeight="1" x14ac:dyDescent="0.3">
      <c r="A1449" s="272">
        <v>46062</v>
      </c>
      <c r="B1449" s="4">
        <v>25867.3</v>
      </c>
      <c r="C1449" s="272">
        <v>46062</v>
      </c>
      <c r="D1449" s="4">
        <v>5626.5</v>
      </c>
      <c r="E1449" s="271"/>
      <c r="F1449" s="271"/>
      <c r="G1449" s="273">
        <f>(B1449-B1448)/B1448</f>
        <v>6.7565200807979597E-3</v>
      </c>
      <c r="H1449" s="4">
        <f t="shared" si="22"/>
        <v>1.1687494381012317E-2</v>
      </c>
      <c r="I1449" s="271"/>
      <c r="J1449" s="4"/>
    </row>
    <row r="1450" spans="1:10" ht="14.25" customHeight="1" x14ac:dyDescent="0.3">
      <c r="A1450" s="272">
        <v>46063</v>
      </c>
      <c r="B1450" s="4">
        <v>25935.15</v>
      </c>
      <c r="C1450" s="272">
        <v>46063</v>
      </c>
      <c r="D1450" s="4">
        <v>5662</v>
      </c>
      <c r="E1450" s="271"/>
      <c r="F1450" s="271"/>
      <c r="G1450" s="273">
        <f>(B1450-B1449)/B1449</f>
        <v>2.6230027873029725E-3</v>
      </c>
      <c r="H1450" s="4">
        <f t="shared" si="22"/>
        <v>6.3094285968186264E-3</v>
      </c>
      <c r="I1450" s="271"/>
      <c r="J1450" s="4"/>
    </row>
    <row r="1451" spans="1:10" ht="14.25" customHeight="1" x14ac:dyDescent="0.3">
      <c r="A1451" s="272">
        <v>46064</v>
      </c>
      <c r="B1451" s="4">
        <v>25953.85</v>
      </c>
      <c r="C1451" s="272">
        <v>46064</v>
      </c>
      <c r="D1451" s="4">
        <v>5515.5</v>
      </c>
      <c r="E1451" s="271"/>
      <c r="F1451" s="271"/>
      <c r="G1451" s="273">
        <f>(B1451-B1450)/B1450</f>
        <v>7.210291824029199E-4</v>
      </c>
      <c r="H1451" s="4">
        <f t="shared" si="22"/>
        <v>-2.5874249381843871E-2</v>
      </c>
      <c r="I1451" s="271"/>
      <c r="J1451" s="4"/>
    </row>
    <row r="1452" spans="1:10" ht="14.25" customHeight="1" x14ac:dyDescent="0.3">
      <c r="A1452" s="272">
        <v>46065</v>
      </c>
      <c r="B1452" s="4">
        <v>25807.200000000001</v>
      </c>
      <c r="C1452" s="272">
        <v>46065</v>
      </c>
      <c r="D1452" s="4">
        <v>5211.5</v>
      </c>
      <c r="E1452" s="271"/>
      <c r="F1452" s="271"/>
      <c r="G1452" s="273">
        <f>(B1452-B1451)/B1451</f>
        <v>-5.6504141004127643E-3</v>
      </c>
      <c r="H1452" s="4">
        <f t="shared" si="22"/>
        <v>-5.5117396428247666E-2</v>
      </c>
      <c r="I1452" s="271"/>
      <c r="J1452" s="4"/>
    </row>
    <row r="1453" spans="1:10" ht="14.25" customHeight="1" x14ac:dyDescent="0.3">
      <c r="A1453" s="272">
        <v>46066</v>
      </c>
      <c r="B1453" s="4">
        <v>25471.1</v>
      </c>
      <c r="C1453" s="272">
        <v>46066</v>
      </c>
      <c r="D1453" s="4">
        <v>5115.5</v>
      </c>
      <c r="E1453" s="271"/>
      <c r="F1453" s="271"/>
      <c r="G1453" s="273">
        <f>(B1453-B1452)/B1452</f>
        <v>-1.3023497318577845E-2</v>
      </c>
      <c r="H1453" s="4">
        <f t="shared" si="22"/>
        <v>-1.8420800153506667E-2</v>
      </c>
      <c r="I1453" s="271"/>
      <c r="J1453" s="4"/>
    </row>
    <row r="1454" spans="1:10" ht="14.25" customHeight="1" x14ac:dyDescent="0.3">
      <c r="A1454" s="272">
        <v>46069</v>
      </c>
      <c r="B1454" s="4">
        <v>25682.75</v>
      </c>
      <c r="C1454" s="272">
        <v>46069</v>
      </c>
      <c r="D1454" s="4">
        <v>5118.5</v>
      </c>
      <c r="E1454" s="271"/>
      <c r="F1454" s="271"/>
      <c r="G1454" s="273">
        <f>(B1454-B1453)/B1453</f>
        <v>8.3094173396516622E-3</v>
      </c>
      <c r="H1454" s="4">
        <f t="shared" si="22"/>
        <v>5.8645293715179356E-4</v>
      </c>
      <c r="I1454" s="271"/>
      <c r="J1454" s="4"/>
    </row>
    <row r="1455" spans="1:10" ht="14.25" customHeight="1" x14ac:dyDescent="0.3">
      <c r="A1455" s="272">
        <v>46070</v>
      </c>
      <c r="B1455" s="4">
        <v>25725.4</v>
      </c>
      <c r="C1455" s="272">
        <v>46070</v>
      </c>
      <c r="D1455" s="4">
        <v>5164.5</v>
      </c>
      <c r="E1455" s="271"/>
      <c r="F1455" s="271"/>
      <c r="G1455" s="273">
        <f>(B1455-B1454)/B1454</f>
        <v>1.6606477110123119E-3</v>
      </c>
      <c r="H1455" s="4">
        <f t="shared" si="22"/>
        <v>8.9870079124743582E-3</v>
      </c>
      <c r="I1455" s="271"/>
      <c r="J1455" s="4"/>
    </row>
    <row r="1456" spans="1:10" ht="14.25" customHeight="1" x14ac:dyDescent="0.3">
      <c r="A1456" s="272">
        <v>46071</v>
      </c>
      <c r="B1456" s="4">
        <v>25819.35</v>
      </c>
      <c r="C1456" s="272">
        <v>46071</v>
      </c>
      <c r="D1456" s="4">
        <v>5054</v>
      </c>
      <c r="E1456" s="271"/>
      <c r="F1456" s="271"/>
      <c r="G1456" s="273">
        <f>(B1456-B1455)/B1455</f>
        <v>3.6520326214557241E-3</v>
      </c>
      <c r="H1456" s="4">
        <f t="shared" si="22"/>
        <v>-2.1396069319392003E-2</v>
      </c>
      <c r="I1456" s="271"/>
      <c r="J1456" s="4"/>
    </row>
    <row r="1457" spans="1:10" ht="14.25" customHeight="1" x14ac:dyDescent="0.3">
      <c r="A1457" s="272">
        <v>46072</v>
      </c>
      <c r="B1457" s="4">
        <v>25454.35</v>
      </c>
      <c r="C1457" s="272">
        <v>46072</v>
      </c>
      <c r="D1457" s="4">
        <v>4959.5</v>
      </c>
      <c r="E1457" s="271"/>
      <c r="F1457" s="271"/>
      <c r="G1457" s="273">
        <f>(B1457-B1456)/B1456</f>
        <v>-1.4136684308474071E-2</v>
      </c>
      <c r="H1457" s="4">
        <f t="shared" si="22"/>
        <v>-1.8698060941828253E-2</v>
      </c>
      <c r="I1457" s="271"/>
      <c r="J1457" s="4"/>
    </row>
    <row r="1458" spans="1:10" ht="14.25" customHeight="1" x14ac:dyDescent="0.3">
      <c r="A1458" s="272">
        <v>46073</v>
      </c>
      <c r="B1458" s="4">
        <v>25571.25</v>
      </c>
      <c r="C1458" s="272">
        <v>46073</v>
      </c>
      <c r="D1458" s="4">
        <v>4889.5</v>
      </c>
      <c r="E1458" s="271"/>
      <c r="F1458" s="271"/>
      <c r="G1458" s="273">
        <f>(B1458-B1457)/B1457</f>
        <v>4.5925352641101209E-3</v>
      </c>
      <c r="H1458" s="4">
        <f t="shared" si="22"/>
        <v>-1.4114326040931546E-2</v>
      </c>
      <c r="I1458" s="271"/>
      <c r="J1458" s="4"/>
    </row>
    <row r="1459" spans="1:10" ht="14.25" customHeight="1" x14ac:dyDescent="0.3">
      <c r="A1459" s="272">
        <v>46076</v>
      </c>
      <c r="B1459" s="4">
        <v>25713</v>
      </c>
      <c r="C1459" s="272">
        <v>46076</v>
      </c>
      <c r="D1459" s="4">
        <v>4831.5</v>
      </c>
      <c r="E1459" s="271"/>
      <c r="F1459" s="271"/>
      <c r="G1459" s="273">
        <f>(B1459-B1458)/B1458</f>
        <v>5.5433347998240208E-3</v>
      </c>
      <c r="H1459" s="4">
        <f t="shared" si="22"/>
        <v>-1.1862153594437059E-2</v>
      </c>
      <c r="I1459" s="271"/>
      <c r="J1459" s="4"/>
    </row>
    <row r="1460" spans="1:10" ht="14.25" customHeight="1" x14ac:dyDescent="0.3">
      <c r="A1460" s="272">
        <v>46077</v>
      </c>
      <c r="B1460" s="4">
        <v>25424.65</v>
      </c>
      <c r="C1460" s="272">
        <v>46077</v>
      </c>
      <c r="D1460" s="4">
        <v>4501</v>
      </c>
      <c r="E1460" s="271"/>
      <c r="F1460" s="271"/>
      <c r="G1460" s="273">
        <f>(B1460-B1459)/B1459</f>
        <v>-1.1214171819702039E-2</v>
      </c>
      <c r="H1460" s="4">
        <f t="shared" si="22"/>
        <v>-6.8405257166511441E-2</v>
      </c>
      <c r="I1460" s="271"/>
      <c r="J1460" s="4"/>
    </row>
    <row r="1461" spans="1:10" ht="14.25" customHeight="1" x14ac:dyDescent="0.3">
      <c r="A1461" s="272">
        <v>46078</v>
      </c>
      <c r="B1461" s="4">
        <v>25482.5</v>
      </c>
      <c r="C1461" s="272">
        <v>46078</v>
      </c>
      <c r="D1461" s="4">
        <v>4559</v>
      </c>
      <c r="E1461" s="271"/>
      <c r="F1461" s="271"/>
      <c r="G1461" s="273">
        <f>(B1461-B1460)/B1460</f>
        <v>2.2753508897860359E-3</v>
      </c>
      <c r="H1461" s="4">
        <f t="shared" si="22"/>
        <v>1.2886025327704954E-2</v>
      </c>
      <c r="I1461" s="271"/>
      <c r="J1461" s="4"/>
    </row>
    <row r="1462" spans="1:10" ht="14.25" customHeight="1" x14ac:dyDescent="0.3">
      <c r="A1462" s="272">
        <v>46079</v>
      </c>
      <c r="B1462" s="4">
        <v>25496.55</v>
      </c>
      <c r="C1462" s="272">
        <v>46079</v>
      </c>
      <c r="D1462" s="4">
        <v>4504</v>
      </c>
      <c r="E1462" s="271"/>
      <c r="F1462" s="271"/>
      <c r="G1462" s="273">
        <f>(B1462-B1461)/B1461</f>
        <v>5.5135877563030602E-4</v>
      </c>
      <c r="H1462" s="4">
        <f t="shared" si="22"/>
        <v>-1.2064049133581925E-2</v>
      </c>
      <c r="I1462" s="271"/>
      <c r="J1462" s="4"/>
    </row>
    <row r="1463" spans="1:10" ht="14.25" customHeight="1" x14ac:dyDescent="0.3">
      <c r="A1463" s="272">
        <v>46080</v>
      </c>
      <c r="B1463" s="4">
        <v>25178.65</v>
      </c>
      <c r="C1463" s="272">
        <v>46080</v>
      </c>
      <c r="D1463" s="4">
        <v>4462</v>
      </c>
      <c r="E1463" s="271"/>
      <c r="F1463" s="271"/>
      <c r="G1463" s="273">
        <f>(B1463-B1462)/B1462</f>
        <v>-1.2468353561560204E-2</v>
      </c>
      <c r="H1463" s="4">
        <f t="shared" si="22"/>
        <v>-9.3250444049733563E-3</v>
      </c>
      <c r="I1463" s="271"/>
      <c r="J1463" s="4"/>
    </row>
    <row r="1464" spans="1:10" ht="14.25" customHeight="1" x14ac:dyDescent="0.3">
      <c r="A1464" s="272">
        <v>46083</v>
      </c>
      <c r="B1464" s="4">
        <v>24865.7</v>
      </c>
      <c r="C1464" s="272">
        <v>46083</v>
      </c>
      <c r="D1464" s="4">
        <v>4404.3999999999996</v>
      </c>
      <c r="E1464" s="271"/>
      <c r="F1464" s="271"/>
      <c r="G1464" s="273">
        <f>(B1464-B1463)/B1463</f>
        <v>-1.2429181072059094E-2</v>
      </c>
      <c r="H1464" s="4">
        <f t="shared" si="22"/>
        <v>-1.2909009412819444E-2</v>
      </c>
      <c r="I1464" s="271"/>
      <c r="J1464" s="4"/>
    </row>
    <row r="1465" spans="1:10" ht="14.25" customHeight="1" x14ac:dyDescent="0.3">
      <c r="A1465" s="272">
        <v>46085</v>
      </c>
      <c r="B1465" s="4">
        <v>24480.5</v>
      </c>
      <c r="C1465" s="272">
        <v>46085</v>
      </c>
      <c r="D1465" s="4">
        <v>4349.3</v>
      </c>
      <c r="E1465" s="271"/>
      <c r="F1465" s="271"/>
      <c r="G1465" s="273">
        <f>(B1465-B1464)/B1464</f>
        <v>-1.5491218827541581E-2</v>
      </c>
      <c r="H1465" s="4">
        <f t="shared" si="22"/>
        <v>-1.2510217055671478E-2</v>
      </c>
      <c r="I1465" s="271"/>
      <c r="J1465" s="4"/>
    </row>
    <row r="1466" spans="1:10" ht="14.25" customHeight="1" x14ac:dyDescent="0.3">
      <c r="A1466" s="272">
        <v>46086</v>
      </c>
      <c r="B1466" s="4">
        <v>24765.9</v>
      </c>
      <c r="C1466" s="272">
        <v>46086</v>
      </c>
      <c r="D1466" s="4">
        <v>4306.3999999999996</v>
      </c>
      <c r="E1466" s="271"/>
      <c r="F1466" s="271"/>
      <c r="G1466" s="273">
        <f>(B1466-B1465)/B1465</f>
        <v>1.1658258613998957E-2</v>
      </c>
      <c r="H1466" s="4">
        <f t="shared" si="22"/>
        <v>-9.8636562205413614E-3</v>
      </c>
      <c r="I1466" s="271"/>
      <c r="J1466" s="4"/>
    </row>
    <row r="1467" spans="1:10" ht="14.25" customHeight="1" x14ac:dyDescent="0.3">
      <c r="A1467" s="272">
        <v>46087</v>
      </c>
      <c r="B1467" s="4">
        <v>24450.45</v>
      </c>
      <c r="C1467" s="272">
        <v>46087</v>
      </c>
      <c r="D1467" s="4">
        <v>4292</v>
      </c>
      <c r="E1467" s="271"/>
      <c r="F1467" s="271"/>
      <c r="G1467" s="273">
        <f>(B1467-B1466)/B1466</f>
        <v>-1.273727181325939E-2</v>
      </c>
      <c r="H1467" s="4">
        <f t="shared" si="22"/>
        <v>-3.3438603009473427E-3</v>
      </c>
      <c r="I1467" s="271"/>
      <c r="J1467" s="4"/>
    </row>
    <row r="1468" spans="1:10" ht="14.25" customHeight="1" x14ac:dyDescent="0.3">
      <c r="A1468" s="272">
        <v>46090</v>
      </c>
      <c r="B1468" s="4">
        <v>24028.05</v>
      </c>
      <c r="C1468" s="272">
        <v>46090</v>
      </c>
      <c r="D1468" s="4">
        <v>4317.2</v>
      </c>
      <c r="E1468" s="271"/>
      <c r="F1468" s="271"/>
      <c r="G1468" s="273">
        <f>(B1468-B1467)/B1467</f>
        <v>-1.7275755660938814E-2</v>
      </c>
      <c r="H1468" s="4">
        <f t="shared" si="22"/>
        <v>5.8713886300092773E-3</v>
      </c>
      <c r="I1468" s="271"/>
      <c r="J1468" s="4"/>
    </row>
    <row r="1469" spans="1:10" ht="14.25" customHeight="1" x14ac:dyDescent="0.3">
      <c r="A1469" s="272">
        <v>46091</v>
      </c>
      <c r="B1469" s="4">
        <v>24261.599999999999</v>
      </c>
      <c r="C1469" s="272">
        <v>46091</v>
      </c>
      <c r="D1469" s="4">
        <v>4323.1000000000004</v>
      </c>
      <c r="E1469" s="271"/>
      <c r="F1469" s="271"/>
      <c r="G1469" s="273">
        <f>(B1469-B1468)/B1468</f>
        <v>9.719889878704235E-3</v>
      </c>
      <c r="H1469" s="4">
        <f t="shared" si="22"/>
        <v>1.3666265171871921E-3</v>
      </c>
      <c r="I1469" s="271"/>
      <c r="J1469" s="4"/>
    </row>
    <row r="1470" spans="1:10" ht="14.25" customHeight="1" x14ac:dyDescent="0.3">
      <c r="A1470" s="272">
        <v>46092</v>
      </c>
      <c r="B1470" s="4">
        <v>23866.85</v>
      </c>
      <c r="C1470" s="272">
        <v>46092</v>
      </c>
      <c r="D1470" s="4">
        <v>4262.7</v>
      </c>
      <c r="E1470" s="271"/>
      <c r="F1470" s="271"/>
      <c r="G1470" s="273">
        <f>(B1470-B1469)/B1469</f>
        <v>-1.6270567481122433E-2</v>
      </c>
      <c r="H1470" s="4">
        <f t="shared" si="22"/>
        <v>-1.3971455668386238E-2</v>
      </c>
      <c r="I1470" s="271"/>
      <c r="J1470" s="4"/>
    </row>
    <row r="1471" spans="1:10" ht="14.25" customHeight="1" x14ac:dyDescent="0.3">
      <c r="A1471" s="272">
        <v>46093</v>
      </c>
      <c r="B1471" s="4">
        <v>23639.15</v>
      </c>
      <c r="C1471" s="272">
        <v>46093</v>
      </c>
      <c r="D1471" s="4">
        <v>4323.6000000000004</v>
      </c>
      <c r="E1471" s="271"/>
      <c r="F1471" s="271"/>
      <c r="G1471" s="273">
        <f>(B1471-B1470)/B1470</f>
        <v>-9.5404295078737704E-3</v>
      </c>
      <c r="H1471" s="4">
        <f t="shared" si="22"/>
        <v>1.4286719684707004E-2</v>
      </c>
      <c r="I1471" s="271"/>
      <c r="J1471" s="4"/>
    </row>
    <row r="1472" spans="1:10" ht="14.25" customHeight="1" x14ac:dyDescent="0.3">
      <c r="A1472" s="272">
        <v>46094</v>
      </c>
      <c r="B1472" s="4">
        <v>23151.1</v>
      </c>
      <c r="C1472" s="272">
        <v>46094</v>
      </c>
      <c r="D1472" s="4">
        <v>4206.5</v>
      </c>
      <c r="E1472" s="271"/>
      <c r="F1472" s="271"/>
      <c r="G1472" s="273">
        <f>(B1472-B1471)/B1471</f>
        <v>-2.0645835404403411E-2</v>
      </c>
      <c r="H1472" s="4">
        <f t="shared" si="22"/>
        <v>-2.7083911555185577E-2</v>
      </c>
      <c r="I1472" s="271"/>
      <c r="J1472" s="4"/>
    </row>
    <row r="1473" spans="1:10" ht="14.25" customHeight="1" x14ac:dyDescent="0.3">
      <c r="A1473" s="272">
        <v>46097</v>
      </c>
      <c r="B1473" s="4">
        <v>23408.799999999999</v>
      </c>
      <c r="C1473" s="272">
        <v>46097</v>
      </c>
      <c r="D1473" s="4">
        <v>4207.1000000000004</v>
      </c>
      <c r="E1473" s="271"/>
      <c r="F1473" s="271"/>
      <c r="G1473" s="273">
        <f>(B1473-B1472)/B1472</f>
        <v>1.113122054675591E-2</v>
      </c>
      <c r="H1473" s="4">
        <f t="shared" si="22"/>
        <v>1.4263639605381287E-4</v>
      </c>
      <c r="I1473" s="271"/>
      <c r="J1473" s="4"/>
    </row>
    <row r="1474" spans="1:10" ht="14.25" customHeight="1" x14ac:dyDescent="0.3">
      <c r="A1474" s="272">
        <v>46098</v>
      </c>
      <c r="B1474" s="4">
        <v>23581.15</v>
      </c>
      <c r="C1474" s="272">
        <v>46098</v>
      </c>
      <c r="D1474" s="4">
        <v>4189.2</v>
      </c>
      <c r="E1474" s="271"/>
      <c r="F1474" s="271"/>
      <c r="G1474" s="273">
        <f>(B1474-B1473)/B1473</f>
        <v>7.3626157684290603E-3</v>
      </c>
      <c r="H1474" s="4">
        <f t="shared" si="22"/>
        <v>-4.2547122721115598E-3</v>
      </c>
      <c r="I1474" s="271"/>
      <c r="J1474" s="4"/>
    </row>
    <row r="1475" spans="1:10" ht="14.25" customHeight="1" x14ac:dyDescent="0.3">
      <c r="A1475" s="272">
        <v>46099</v>
      </c>
      <c r="B1475" s="4">
        <v>23777.8</v>
      </c>
      <c r="C1475" s="272">
        <v>46099</v>
      </c>
      <c r="D1475" s="4">
        <v>4298.8</v>
      </c>
      <c r="E1475" s="271"/>
      <c r="F1475" s="271"/>
      <c r="G1475" s="273">
        <f>(B1475-B1474)/B1474</f>
        <v>8.3392879482127799E-3</v>
      </c>
      <c r="H1475" s="4">
        <f t="shared" ref="H1475:H1482" si="23">(D1475-D1474)/D1474</f>
        <v>2.6162513128998463E-2</v>
      </c>
      <c r="I1475" s="271"/>
      <c r="J1475" s="4"/>
    </row>
    <row r="1476" spans="1:10" ht="14.25" customHeight="1" x14ac:dyDescent="0.3">
      <c r="A1476" s="272">
        <v>46100</v>
      </c>
      <c r="B1476" s="4">
        <v>23002.15</v>
      </c>
      <c r="C1476" s="272">
        <v>46100</v>
      </c>
      <c r="D1476" s="4">
        <v>4198.5</v>
      </c>
      <c r="E1476" s="271"/>
      <c r="F1476" s="271"/>
      <c r="G1476" s="273">
        <f>(B1476-B1475)/B1475</f>
        <v>-3.2620763905828035E-2</v>
      </c>
      <c r="H1476" s="4">
        <f t="shared" si="23"/>
        <v>-2.3332092677026187E-2</v>
      </c>
      <c r="I1476" s="271"/>
      <c r="J1476" s="4"/>
    </row>
    <row r="1477" spans="1:10" ht="14.25" customHeight="1" x14ac:dyDescent="0.3">
      <c r="A1477" s="272">
        <v>46101</v>
      </c>
      <c r="B1477" s="4">
        <v>23114.5</v>
      </c>
      <c r="C1477" s="272">
        <v>46101</v>
      </c>
      <c r="D1477" s="4">
        <v>4298.8</v>
      </c>
      <c r="E1477" s="271"/>
      <c r="F1477" s="271"/>
      <c r="G1477" s="273">
        <f>(B1477-B1476)/B1476</f>
        <v>4.8843260303927478E-3</v>
      </c>
      <c r="H1477" s="4">
        <f t="shared" si="23"/>
        <v>2.3889484339645155E-2</v>
      </c>
      <c r="I1477" s="271"/>
      <c r="J1477" s="4"/>
    </row>
    <row r="1478" spans="1:10" ht="14.25" customHeight="1" x14ac:dyDescent="0.3">
      <c r="A1478" s="272">
        <v>46104</v>
      </c>
      <c r="B1478" s="4">
        <v>22512.65</v>
      </c>
      <c r="C1478" s="272">
        <v>46104</v>
      </c>
      <c r="D1478" s="4">
        <v>4105.6000000000004</v>
      </c>
      <c r="E1478" s="271"/>
      <c r="F1478" s="271"/>
      <c r="G1478" s="273">
        <f>(B1478-B1477)/B1477</f>
        <v>-2.603776850029196E-2</v>
      </c>
      <c r="H1478" s="4">
        <f t="shared" si="23"/>
        <v>-4.4942774727830981E-2</v>
      </c>
      <c r="I1478" s="271"/>
      <c r="J1478" s="4"/>
    </row>
    <row r="1479" spans="1:10" ht="14.25" customHeight="1" x14ac:dyDescent="0.3">
      <c r="A1479" s="272">
        <v>46105</v>
      </c>
      <c r="B1479" s="4">
        <v>22912.400000000001</v>
      </c>
      <c r="C1479" s="272">
        <v>46105</v>
      </c>
      <c r="D1479" s="4">
        <v>4211.5</v>
      </c>
      <c r="E1479" s="271"/>
      <c r="F1479" s="271"/>
      <c r="G1479" s="273">
        <f>(B1479-B1478)/B1478</f>
        <v>1.7756683464629885E-2</v>
      </c>
      <c r="H1479" s="4">
        <f t="shared" si="23"/>
        <v>2.5794037412314796E-2</v>
      </c>
      <c r="I1479" s="271"/>
      <c r="J1479" s="4"/>
    </row>
    <row r="1480" spans="1:10" ht="14.25" customHeight="1" x14ac:dyDescent="0.3">
      <c r="A1480" s="272">
        <v>46106</v>
      </c>
      <c r="B1480" s="4">
        <v>23306.45</v>
      </c>
      <c r="C1480" s="272">
        <v>46106</v>
      </c>
      <c r="D1480" s="4">
        <v>4292.8999999999996</v>
      </c>
      <c r="E1480" s="271"/>
      <c r="F1480" s="271"/>
      <c r="G1480" s="273">
        <f>(B1480-B1479)/B1479</f>
        <v>1.7198111066496713E-2</v>
      </c>
      <c r="H1480" s="4">
        <f t="shared" si="23"/>
        <v>1.932803039297154E-2</v>
      </c>
      <c r="I1480" s="271"/>
      <c r="J1480" s="4"/>
    </row>
    <row r="1481" spans="1:10" ht="14.25" customHeight="1" x14ac:dyDescent="0.3">
      <c r="A1481" s="272">
        <v>46108</v>
      </c>
      <c r="B1481" s="4">
        <v>22819.599999999999</v>
      </c>
      <c r="C1481" s="272">
        <v>46108</v>
      </c>
      <c r="D1481" s="4">
        <v>4200.7</v>
      </c>
      <c r="E1481" s="271"/>
      <c r="F1481" s="271"/>
      <c r="G1481" s="273">
        <f>(B1481-B1480)/B1480</f>
        <v>-2.0889067189554914E-2</v>
      </c>
      <c r="H1481" s="4">
        <f t="shared" si="23"/>
        <v>-2.1477323021733521E-2</v>
      </c>
      <c r="I1481" s="271"/>
      <c r="J1481" s="4"/>
    </row>
    <row r="1482" spans="1:10" ht="14.25" customHeight="1" x14ac:dyDescent="0.3">
      <c r="A1482" s="272">
        <v>46111</v>
      </c>
      <c r="B1482" s="4">
        <v>22331.4</v>
      </c>
      <c r="C1482" s="272">
        <v>46111</v>
      </c>
      <c r="D1482" s="4">
        <v>4013.8</v>
      </c>
      <c r="E1482" s="271"/>
      <c r="F1482" s="271"/>
      <c r="G1482" s="273">
        <f>(B1482-B1481)/B1481</f>
        <v>-2.1393889463443581E-2</v>
      </c>
      <c r="H1482" s="4">
        <f t="shared" si="23"/>
        <v>-4.4492584569238373E-2</v>
      </c>
      <c r="I1482" s="271"/>
      <c r="J1482" s="4"/>
    </row>
  </sheetData>
  <mergeCells count="1">
    <mergeCell ref="L18:M18"/>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0"/>
  <sheetViews>
    <sheetView showGridLines="0" workbookViewId="0">
      <selection sqref="A1:I2"/>
    </sheetView>
  </sheetViews>
  <sheetFormatPr defaultColWidth="8.6640625" defaultRowHeight="14.4" x14ac:dyDescent="0.3"/>
  <cols>
    <col min="1" max="1" width="24.33203125" style="1" customWidth="1"/>
    <col min="2" max="6" width="11" style="1" customWidth="1"/>
    <col min="7" max="7" width="11.109375" style="1" customWidth="1"/>
    <col min="8" max="9" width="10" style="1" customWidth="1"/>
  </cols>
  <sheetData>
    <row r="1" spans="1:9" x14ac:dyDescent="0.3">
      <c r="A1" s="218" t="s">
        <v>378</v>
      </c>
      <c r="B1" s="218"/>
      <c r="C1" s="218"/>
      <c r="D1" s="218"/>
      <c r="E1" s="218"/>
      <c r="F1" s="218"/>
      <c r="G1" s="218"/>
      <c r="H1" s="218"/>
      <c r="I1" s="218"/>
    </row>
    <row r="2" spans="1:9" x14ac:dyDescent="0.3">
      <c r="A2" s="268" t="s">
        <v>140</v>
      </c>
      <c r="B2" s="269">
        <v>44621</v>
      </c>
      <c r="C2" s="269">
        <v>44986</v>
      </c>
      <c r="D2" s="269">
        <v>45352</v>
      </c>
      <c r="E2" s="269">
        <v>45717</v>
      </c>
      <c r="F2" s="269">
        <v>46082</v>
      </c>
      <c r="G2" s="270" t="s">
        <v>379</v>
      </c>
      <c r="H2" s="219" t="s">
        <v>380</v>
      </c>
      <c r="I2" s="219" t="s">
        <v>381</v>
      </c>
    </row>
    <row r="3" spans="1:9" x14ac:dyDescent="0.3">
      <c r="A3" s="4"/>
      <c r="B3" s="4"/>
      <c r="C3" s="4"/>
      <c r="D3" s="4"/>
      <c r="E3" s="4"/>
      <c r="F3" s="4"/>
      <c r="G3" s="4"/>
      <c r="H3" s="4"/>
      <c r="I3" s="4"/>
    </row>
    <row r="4" spans="1:9" x14ac:dyDescent="0.3">
      <c r="A4" s="4" t="s">
        <v>382</v>
      </c>
      <c r="B4" s="102"/>
      <c r="C4" s="102">
        <f>('Consolidated P&amp;L'!G5-'Consolidated P&amp;L'!F5)/'Consolidated P&amp;L'!F5</f>
        <v>1.1177889678148201</v>
      </c>
      <c r="D4" s="102">
        <f>('Consolidated P&amp;L'!H5-'Consolidated P&amp;L'!G5)/'Consolidated P&amp;L'!G5</f>
        <v>7.0337220866106095E-2</v>
      </c>
      <c r="E4" s="102">
        <f>('Consolidated P&amp;L'!I5-'Consolidated P&amp;L'!H5)/'Consolidated P&amp;L'!H5</f>
        <v>7.0138243657966601E-2</v>
      </c>
      <c r="F4" s="102">
        <f>('Consolidated P&amp;L'!J5-'Consolidated P&amp;L'!I5)/'Consolidated P&amp;L'!I5</f>
        <v>0.113120624287981</v>
      </c>
      <c r="G4" s="4"/>
      <c r="H4" s="103">
        <f>AVERAGE(C4:F4)</f>
        <v>0.34284626415671698</v>
      </c>
      <c r="I4" s="103">
        <f>MEDIAN(C4:F4)</f>
        <v>9.1728922577043404E-2</v>
      </c>
    </row>
    <row r="5" spans="1:9" x14ac:dyDescent="0.3">
      <c r="A5" s="4" t="s">
        <v>383</v>
      </c>
      <c r="B5" s="102"/>
      <c r="C5" s="102">
        <f>('Assumptions (Historical FS)'!C9-'Assumptions (Historical FS)'!B9)/'Assumptions (Historical FS)'!B9</f>
        <v>0.99702458801987903</v>
      </c>
      <c r="D5" s="102">
        <f>('Assumptions (Historical FS)'!D9-'Assumptions (Historical FS)'!C9)/'Assumptions (Historical FS)'!C9</f>
        <v>4.5794652651571698E-2</v>
      </c>
      <c r="E5" s="102">
        <f>('Assumptions (Historical FS)'!E9-'Assumptions (Historical FS)'!D9)/'Assumptions (Historical FS)'!D9</f>
        <v>1.68300090803764E-2</v>
      </c>
      <c r="F5" s="102">
        <f>('Assumptions (Historical FS)'!F9-'Assumptions (Historical FS)'!E9)/'Assumptions (Historical FS)'!E9</f>
        <v>0.16325116629971201</v>
      </c>
      <c r="G5" s="4"/>
      <c r="H5" s="103">
        <f>AVERAGE(C5:F5)</f>
        <v>0.305725104012885</v>
      </c>
      <c r="I5" s="103">
        <f>MEDIAN(C5:F5)</f>
        <v>0.104522909475642</v>
      </c>
    </row>
    <row r="6" spans="1:9" x14ac:dyDescent="0.3">
      <c r="A6" s="4" t="s">
        <v>384</v>
      </c>
      <c r="B6" s="102"/>
      <c r="C6" s="102">
        <f>('Assumptions (Historical FS)'!C11-'Assumptions (Historical FS)'!B11)/'Assumptions (Historical FS)'!B11</f>
        <v>0.99186240059182496</v>
      </c>
      <c r="D6" s="102">
        <f>('Assumptions (Historical FS)'!D11-'Assumptions (Historical FS)'!C11)/'Assumptions (Historical FS)'!C11</f>
        <v>3.4076137418756702E-2</v>
      </c>
      <c r="E6" s="102">
        <f>('Assumptions (Historical FS)'!E11-'Assumptions (Historical FS)'!D11)/'Assumptions (Historical FS)'!D11</f>
        <v>-1.16907605279705E-2</v>
      </c>
      <c r="F6" s="102">
        <f>('Assumptions (Historical FS)'!F11-'Assumptions (Historical FS)'!E11)/'Assumptions (Historical FS)'!E11</f>
        <v>0.18128793109714</v>
      </c>
      <c r="G6" s="4"/>
      <c r="H6" s="103">
        <f>AVERAGE(C6:F6)</f>
        <v>0.298883927144938</v>
      </c>
      <c r="I6" s="103">
        <f>MEDIAN(C6:F6)</f>
        <v>0.10768203425794801</v>
      </c>
    </row>
    <row r="7" spans="1:9" x14ac:dyDescent="0.3">
      <c r="A7" s="4" t="s">
        <v>385</v>
      </c>
      <c r="B7" s="102"/>
      <c r="C7" s="102">
        <f>('Assumptions (Historical FS)'!C18-'Assumptions (Historical FS)'!B18)/'Assumptions (Historical FS)'!B18</f>
        <v>0.91822450221719798</v>
      </c>
      <c r="D7" s="102">
        <f>('Assumptions (Historical FS)'!D18-'Assumptions (Historical FS)'!C18)/'Assumptions (Historical FS)'!C18</f>
        <v>3.9616526528115703E-2</v>
      </c>
      <c r="E7" s="102">
        <f>('Assumptions (Historical FS)'!E18-'Assumptions (Historical FS)'!D18)/'Assumptions (Historical FS)'!D18</f>
        <v>3.9676484053097101E-3</v>
      </c>
      <c r="F7" s="102">
        <f>('Assumptions (Historical FS)'!F18-'Assumptions (Historical FS)'!E18)/'Assumptions (Historical FS)'!E18</f>
        <v>0.188934488524091</v>
      </c>
      <c r="G7" s="4"/>
      <c r="H7" s="103">
        <f>AVERAGE(C7:F7)</f>
        <v>0.287685791418679</v>
      </c>
      <c r="I7" s="103">
        <f>MEDIAN(C7:F7)</f>
        <v>0.11427550752610401</v>
      </c>
    </row>
    <row r="8" spans="1:9" x14ac:dyDescent="0.3">
      <c r="A8" s="4" t="s">
        <v>386</v>
      </c>
      <c r="B8" s="102"/>
      <c r="C8" s="102">
        <f>('Merge data sheet'!C91-'Merge data sheet'!B91)/'Merge data sheet'!B91</f>
        <v>0.78614698822722595</v>
      </c>
      <c r="D8" s="102">
        <f>('Merge data sheet'!D91-'Merge data sheet'!C91)/'Merge data sheet'!C91</f>
        <v>0.13604658603698699</v>
      </c>
      <c r="E8" s="102">
        <f>('Merge data sheet'!E91-'Merge data sheet'!D91)/'Merge data sheet'!D91</f>
        <v>8.4098462231735505E-2</v>
      </c>
      <c r="F8" s="102"/>
      <c r="G8" s="4"/>
      <c r="H8" s="103">
        <f>AVERAGE(C8:E8)</f>
        <v>0.33543067883198302</v>
      </c>
      <c r="I8" s="103">
        <f>MEDIAN(C8:E8)</f>
        <v>0.13604658603698699</v>
      </c>
    </row>
    <row r="9" spans="1:9" x14ac:dyDescent="0.3">
      <c r="A9" s="4"/>
      <c r="B9" s="4"/>
      <c r="C9" s="4"/>
      <c r="D9" s="4"/>
      <c r="E9" s="4"/>
      <c r="F9" s="4"/>
      <c r="G9" s="4"/>
      <c r="H9" s="103"/>
      <c r="I9" s="103"/>
    </row>
    <row r="10" spans="1:9" x14ac:dyDescent="0.3">
      <c r="A10" s="4" t="s">
        <v>387</v>
      </c>
      <c r="B10" s="102">
        <f>('Consolidated P&amp;L'!F5-'Merge data sheet'!B68-'Merge data sheet'!B69)/'Consolidated P&amp;L'!F5</f>
        <v>0.21134491055416199</v>
      </c>
      <c r="C10" s="102">
        <f>('Consolidated P&amp;L'!G5-'Merge data sheet'!C68-'Merge data sheet'!C69)/'Consolidated P&amp;L'!G5</f>
        <v>0.25118886176656702</v>
      </c>
      <c r="D10" s="102">
        <f>('Consolidated P&amp;L'!H5-'Merge data sheet'!D68-'Merge data sheet'!D69)/'Consolidated P&amp;L'!H5</f>
        <v>0.24228397668721999</v>
      </c>
      <c r="E10" s="102">
        <f>('Consolidated P&amp;L'!I5-'Merge data sheet'!E68-'Merge data sheet'!E69)/'Consolidated P&amp;L'!I5</f>
        <v>0.282947582225894</v>
      </c>
      <c r="F10" s="102">
        <f>('Consolidated P&amp;L'!J5-'Merge data sheet'!F68-'Merge data sheet'!F69)/'Consolidated P&amp;L'!J5</f>
        <v>0.37867191710236497</v>
      </c>
      <c r="G10" s="4"/>
      <c r="H10" s="103">
        <f>AVERAGE(B10:F10)</f>
        <v>0.273287449667242</v>
      </c>
      <c r="I10" s="103">
        <f>MEDIAN(B10:F10)</f>
        <v>0.25118886176656702</v>
      </c>
    </row>
    <row r="11" spans="1:9" x14ac:dyDescent="0.3">
      <c r="A11" s="4" t="s">
        <v>388</v>
      </c>
      <c r="B11" s="102">
        <f>'Assumptions (Historical FS)'!B9/'Assumptions (Historical FS)'!B3</f>
        <v>0.195191687887317</v>
      </c>
      <c r="C11" s="102">
        <f>'Assumptions (Historical FS)'!C9/'Assumptions (Historical FS)'!C3</f>
        <v>0.18406111563149799</v>
      </c>
      <c r="D11" s="102">
        <f>'Assumptions (Historical FS)'!D9/'Assumptions (Historical FS)'!D3</f>
        <v>0.17984063969366801</v>
      </c>
      <c r="E11" s="102">
        <f>'Assumptions (Historical FS)'!E9/'Assumptions (Historical FS)'!E3</f>
        <v>0.170881996206072</v>
      </c>
      <c r="F11" s="102">
        <f>'Assumptions (Historical FS)'!F9/'Assumptions (Historical FS)'!F3</f>
        <v>0.17857784416984199</v>
      </c>
      <c r="G11" s="4"/>
      <c r="H11" s="103">
        <f>AVERAGE(B11:F11)</f>
        <v>0.181710656717679</v>
      </c>
      <c r="I11" s="103">
        <f>MEDIAN(B11:F11)</f>
        <v>0.17984063969366801</v>
      </c>
    </row>
    <row r="12" spans="1:9" x14ac:dyDescent="0.3">
      <c r="A12" s="4" t="s">
        <v>389</v>
      </c>
      <c r="B12" s="102">
        <f>'Assumptions (Historical FS)'!B11/'Assumptions (Historical FS)'!B3</f>
        <v>0.17254143611148301</v>
      </c>
      <c r="C12" s="102">
        <f>'Assumptions (Historical FS)'!C11/'Assumptions (Historical FS)'!C3</f>
        <v>0.16228189132989801</v>
      </c>
      <c r="D12" s="102">
        <f>'Assumptions (Historical FS)'!D11/'Assumptions (Historical FS)'!D3</f>
        <v>0.156784075231579</v>
      </c>
      <c r="E12" s="102">
        <f>'Assumptions (Historical FS)'!E11/'Assumptions (Historical FS)'!E3</f>
        <v>0.14479545149586501</v>
      </c>
      <c r="F12" s="102">
        <f>'Assumptions (Historical FS)'!F11/'Assumptions (Historical FS)'!F3</f>
        <v>0.15366269890043399</v>
      </c>
      <c r="G12" s="4"/>
      <c r="H12" s="103">
        <f>AVERAGE(B12:F12)</f>
        <v>0.15801311061385201</v>
      </c>
      <c r="I12" s="103">
        <f>MEDIAN(B12:F12)</f>
        <v>0.156784075231579</v>
      </c>
    </row>
    <row r="13" spans="1:9" x14ac:dyDescent="0.3">
      <c r="A13" s="4" t="s">
        <v>390</v>
      </c>
      <c r="B13" s="102">
        <f>'Assumptions (Historical FS)'!B14/'Assumptions (Historical FS)'!B3</f>
        <v>0.19768072654400201</v>
      </c>
      <c r="C13" s="102">
        <f>'Assumptions (Historical FS)'!C14/'Assumptions (Historical FS)'!C3</f>
        <v>0.17453213995118</v>
      </c>
      <c r="D13" s="102">
        <f>'Assumptions (Historical FS)'!D14/'Assumptions (Historical FS)'!D3</f>
        <v>0.17030436129177601</v>
      </c>
      <c r="E13" s="102">
        <f>'Assumptions (Historical FS)'!E14/'Assumptions (Historical FS)'!E3</f>
        <v>0.16349672832896101</v>
      </c>
      <c r="F13" s="102">
        <f>'Assumptions (Historical FS)'!F14/'Assumptions (Historical FS)'!F3</f>
        <v>0.17299965018105501</v>
      </c>
      <c r="G13" s="4"/>
      <c r="H13" s="103">
        <f>AVERAGE(B13:F13)</f>
        <v>0.175802721259395</v>
      </c>
      <c r="I13" s="103">
        <f>MEDIAN(B13:F13)</f>
        <v>0.17299965018105501</v>
      </c>
    </row>
    <row r="14" spans="1:9" x14ac:dyDescent="0.3">
      <c r="A14" s="4" t="s">
        <v>391</v>
      </c>
      <c r="B14" s="102">
        <f>'Assumptions (Historical FS)'!B18/'Assumptions (Historical FS)'!B3</f>
        <v>0.14680222354120001</v>
      </c>
      <c r="C14" s="102">
        <f>'Assumptions (Historical FS)'!C18/'Assumptions (Historical FS)'!C3</f>
        <v>0.13296868878642701</v>
      </c>
      <c r="D14" s="102">
        <f>'Assumptions (Historical FS)'!D18/'Assumptions (Historical FS)'!D3</f>
        <v>0.12915223695695</v>
      </c>
      <c r="E14" s="102">
        <f>'Assumptions (Historical FS)'!E18/'Assumptions (Historical FS)'!E3</f>
        <v>0.121166277714487</v>
      </c>
      <c r="F14" s="102">
        <f>'Assumptions (Historical FS)'!F18/'Assumptions (Historical FS)'!F3</f>
        <v>0.12941882782289699</v>
      </c>
      <c r="G14" s="4"/>
      <c r="H14" s="103">
        <f>AVERAGE(B14:F14)</f>
        <v>0.13190165096439199</v>
      </c>
      <c r="I14" s="103">
        <f>MEDIAN(B14:F14)</f>
        <v>0.12941882782289699</v>
      </c>
    </row>
    <row r="15" spans="1:9" x14ac:dyDescent="0.3">
      <c r="A15" s="4"/>
      <c r="B15" s="4"/>
      <c r="C15" s="4"/>
      <c r="D15" s="4"/>
      <c r="E15" s="4"/>
      <c r="F15" s="4"/>
      <c r="G15" s="4"/>
      <c r="H15" s="103"/>
      <c r="I15" s="103"/>
    </row>
    <row r="16" spans="1:9" x14ac:dyDescent="0.3">
      <c r="A16" s="4" t="s">
        <v>392</v>
      </c>
      <c r="B16" s="102">
        <f>'Consolidated P&amp;L'!F16/'Consolidated P&amp;L'!F5</f>
        <v>0.83210476938099498</v>
      </c>
      <c r="C16" s="102">
        <f>'Consolidated P&amp;L'!G16/'Consolidated P&amp;L'!G5</f>
        <v>0.84225054998041204</v>
      </c>
      <c r="D16" s="102">
        <f>'Consolidated P&amp;L'!H16/'Consolidated P&amp;L'!H5</f>
        <v>0.84945800602528398</v>
      </c>
      <c r="E16" s="102">
        <f>'Consolidated P&amp;L'!I16/'Consolidated P&amp;L'!I5</f>
        <v>0.86254245805499397</v>
      </c>
      <c r="F16" s="102">
        <f>'Consolidated P&amp;L'!J16/'Consolidated P&amp;L'!J5</f>
        <v>0.85286804262118399</v>
      </c>
      <c r="G16" s="4"/>
      <c r="H16" s="103">
        <f>AVERAGE(B16:F16)</f>
        <v>0.84784476521257401</v>
      </c>
      <c r="I16" s="103">
        <f>MEDIAN(B16:F16)</f>
        <v>0.84945800602528398</v>
      </c>
    </row>
    <row r="17" spans="1:9" x14ac:dyDescent="0.3">
      <c r="A17" s="4" t="s">
        <v>393</v>
      </c>
      <c r="B17" s="102">
        <f>'Merge data sheet'!B71/'Consolidated P&amp;L'!F5</f>
        <v>2.26502517758333E-2</v>
      </c>
      <c r="C17" s="102">
        <f>'Merge data sheet'!C71/'Consolidated P&amp;L'!G5</f>
        <v>2.1779224301600199E-2</v>
      </c>
      <c r="D17" s="102">
        <f>'Merge data sheet'!D71/'Consolidated P&amp;L'!H5</f>
        <v>2.3056564462088602E-2</v>
      </c>
      <c r="E17" s="102">
        <f>'Merge data sheet'!E71/'Consolidated P&amp;L'!I5</f>
        <v>2.6086544710206501E-2</v>
      </c>
      <c r="F17" s="102">
        <f>'Merge data sheet'!F71/'Consolidated P&amp;L'!J5</f>
        <v>2.4915145269407898E-2</v>
      </c>
      <c r="G17" s="4"/>
      <c r="H17" s="103">
        <f>AVERAGE(B17:F17)</f>
        <v>2.3697546103827301E-2</v>
      </c>
      <c r="I17" s="103">
        <f>MEDIAN(B17:F17)</f>
        <v>2.3056564462088602E-2</v>
      </c>
    </row>
    <row r="18" spans="1:9" x14ac:dyDescent="0.3">
      <c r="A18" s="4" t="s">
        <v>394</v>
      </c>
      <c r="B18" s="7">
        <f>'Assumptions (Historical FS)'!B11/'Consolidated P&amp;L'!F5</f>
        <v>0.17254143611148301</v>
      </c>
      <c r="C18" s="7">
        <f>'Assumptions (Historical FS)'!C11/'Consolidated P&amp;L'!G5</f>
        <v>0.16228189132989801</v>
      </c>
      <c r="D18" s="7">
        <f>'Assumptions (Historical FS)'!D11/'Consolidated P&amp;L'!H5</f>
        <v>0.156784075231579</v>
      </c>
      <c r="E18" s="7">
        <f>'Assumptions (Historical FS)'!E11/'Consolidated P&amp;L'!I5</f>
        <v>0.14479545149586501</v>
      </c>
      <c r="F18" s="7">
        <f>'Assumptions (Historical FS)'!F11/'Consolidated P&amp;L'!J5</f>
        <v>0.15366269890043399</v>
      </c>
      <c r="G18" s="4"/>
      <c r="H18" s="103">
        <f>AVERAGE(B18:F18)</f>
        <v>0.15801311061385201</v>
      </c>
      <c r="I18" s="103">
        <f>MEDIAN(B18:F18)</f>
        <v>0.156784075231579</v>
      </c>
    </row>
    <row r="19" spans="1:9" x14ac:dyDescent="0.3">
      <c r="A19" s="4"/>
      <c r="B19" s="4"/>
      <c r="C19" s="4"/>
      <c r="D19" s="4"/>
      <c r="E19" s="4"/>
      <c r="F19" s="4"/>
      <c r="G19" s="4"/>
      <c r="H19" s="103"/>
      <c r="I19" s="103"/>
    </row>
    <row r="20" spans="1:9" x14ac:dyDescent="0.3">
      <c r="A20" s="4" t="s">
        <v>395</v>
      </c>
      <c r="B20" s="102">
        <f>'Assumptions (Historical FS)'!B11/('Merge data sheet'!B47-'Merge data sheet'!B25)</f>
        <v>0.28305936551146499</v>
      </c>
      <c r="C20" s="102">
        <f>'Assumptions (Historical FS)'!C11/('Merge data sheet'!C47-'Merge data sheet'!C25)</f>
        <v>0.29894245982180001</v>
      </c>
      <c r="D20" s="102">
        <f>'Assumptions (Historical FS)'!D11/('Merge data sheet'!D47-'Merge data sheet'!D25)</f>
        <v>0.25520398903747998</v>
      </c>
      <c r="E20" s="102">
        <f>'Assumptions (Historical FS)'!E11/('Merge data sheet'!E47-'Merge data sheet'!E25)</f>
        <v>0.223134028811106</v>
      </c>
      <c r="F20" s="102">
        <f>'Assumptions (Historical FS)'!F11/('Merge data sheet'!F47-'Merge data sheet'!F25)</f>
        <v>0.237159961039387</v>
      </c>
      <c r="G20" s="4"/>
      <c r="H20" s="103">
        <f>AVERAGE(B20:F20)</f>
        <v>0.25949996084424798</v>
      </c>
      <c r="I20" s="103">
        <f>MEDIAN(B20:F20)</f>
        <v>0.25520398903747998</v>
      </c>
    </row>
    <row r="21" spans="1:9" x14ac:dyDescent="0.3">
      <c r="A21" s="4" t="s">
        <v>396</v>
      </c>
      <c r="B21" s="102">
        <f>('Assumptions (Historical FS)'!B18-'Merge data sheet'!B91)/'Assumptions (Historical FS)'!B18</f>
        <v>0.61964177028084499</v>
      </c>
      <c r="C21" s="102">
        <f>('Assumptions (Historical FS)'!C18-'Merge data sheet'!C91)/'Assumptions (Historical FS)'!C18</f>
        <v>0.64583097250866905</v>
      </c>
      <c r="D21" s="102">
        <f>('Assumptions (Historical FS)'!D18-'Merge data sheet'!D91)/'Assumptions (Historical FS)'!D18</f>
        <v>0.61297987835451595</v>
      </c>
      <c r="E21" s="102">
        <f>('Assumptions (Historical FS)'!E18-'Merge data sheet'!E91)/'Assumptions (Historical FS)'!E18</f>
        <v>0.58209020042125403</v>
      </c>
      <c r="F21" s="102">
        <f>('Assumptions (Historical FS)'!F18-'Merge data sheet'!F91)/'Assumptions (Historical FS)'!F18</f>
        <v>1</v>
      </c>
      <c r="G21" s="4"/>
      <c r="H21" s="103">
        <f>AVERAGE(B21:E21)</f>
        <v>0.61513570539132101</v>
      </c>
      <c r="I21" s="103">
        <f>MEDIAN(B21:E21)</f>
        <v>0.61631082431768003</v>
      </c>
    </row>
    <row r="22" spans="1:9" x14ac:dyDescent="0.3">
      <c r="A22" s="4" t="s">
        <v>397</v>
      </c>
      <c r="B22" s="102">
        <f>'Assumptions (Historical FS)'!B18/'Merge data sheet'!B11</f>
        <v>0.26095341819254397</v>
      </c>
      <c r="C22" s="102">
        <f>'Assumptions (Historical FS)'!C18/'Merge data sheet'!C11</f>
        <v>0.26592776080182701</v>
      </c>
      <c r="D22" s="102">
        <f>'Assumptions (Historical FS)'!D18/'Merge data sheet'!D11</f>
        <v>0.22915906899600899</v>
      </c>
      <c r="E22" s="102">
        <f>'Assumptions (Historical FS)'!E18/'Merge data sheet'!E11</f>
        <v>0.20289274039351099</v>
      </c>
      <c r="F22" s="102">
        <f>'Assumptions (Historical FS)'!F18/'Merge data sheet'!F11</f>
        <v>0.22790426638917799</v>
      </c>
      <c r="G22" s="4"/>
      <c r="H22" s="103">
        <f>AVERAGE(B22:F22)</f>
        <v>0.23736745095461401</v>
      </c>
      <c r="I22" s="103">
        <f>MEDIAN(B22:F22)</f>
        <v>0.22915906899600899</v>
      </c>
    </row>
    <row r="23" spans="1:9" x14ac:dyDescent="0.3">
      <c r="A23" s="4" t="s">
        <v>398</v>
      </c>
      <c r="B23" s="102">
        <f>B22*B21</f>
        <v>0.16169763800966599</v>
      </c>
      <c r="C23" s="102">
        <f>C22*C21</f>
        <v>0.171744384375697</v>
      </c>
      <c r="D23" s="102">
        <f>D22*D21</f>
        <v>0.14046989823700701</v>
      </c>
      <c r="E23" s="102">
        <f>E22*E21</f>
        <v>0.118101875919676</v>
      </c>
      <c r="F23" s="102">
        <f>F22*F21</f>
        <v>0.22790426638917799</v>
      </c>
      <c r="G23" s="4"/>
      <c r="H23" s="103">
        <f>AVERAGE(B23:F23)</f>
        <v>0.163983612586245</v>
      </c>
      <c r="I23" s="103">
        <f>MEDIAN(B23:F23)</f>
        <v>0.16169763800966599</v>
      </c>
    </row>
    <row r="24" spans="1:9" x14ac:dyDescent="0.3">
      <c r="A24" s="4" t="s">
        <v>399</v>
      </c>
      <c r="B24" s="104">
        <f>'Assumptions (Historical FS)'!B11/'Merge data sheet'!B70</f>
        <v>37.135989010989</v>
      </c>
      <c r="C24" s="104">
        <f>'Assumptions (Historical FS)'!C11/'Merge data sheet'!C70</f>
        <v>35.8045212765957</v>
      </c>
      <c r="D24" s="104">
        <f>'Assumptions (Historical FS)'!D11/'Merge data sheet'!D70</f>
        <v>25.117275597654501</v>
      </c>
      <c r="E24" s="104">
        <f>'Assumptions (Historical FS)'!E11/'Merge data sheet'!E70</f>
        <v>19.732520616708499</v>
      </c>
      <c r="F24" s="104">
        <f>'Assumptions (Historical FS)'!F11/'Merge data sheet'!F70</f>
        <v>23.529134998190401</v>
      </c>
      <c r="G24" s="4"/>
      <c r="H24" s="105">
        <f>AVERAGE(B24:F24)</f>
        <v>28.263888300027599</v>
      </c>
      <c r="I24" s="105">
        <f>MEDIAN(B24:F24)</f>
        <v>25.117275597654501</v>
      </c>
    </row>
    <row r="25" spans="1:9" x14ac:dyDescent="0.3">
      <c r="A25" s="4"/>
      <c r="B25" s="4"/>
      <c r="C25" s="4"/>
      <c r="D25" s="4"/>
      <c r="E25" s="4"/>
      <c r="F25" s="4"/>
      <c r="G25" s="4"/>
      <c r="H25" s="103"/>
      <c r="I25" s="103"/>
    </row>
    <row r="26" spans="1:9" x14ac:dyDescent="0.3">
      <c r="A26" s="4" t="s">
        <v>400</v>
      </c>
      <c r="B26" s="105">
        <f>'Consolidated P&amp;L'!F5/'Merge data sheet'!B42</f>
        <v>5.5298041291688698</v>
      </c>
      <c r="C26" s="105">
        <f>'Consolidated P&amp;L'!G5/'Merge data sheet'!C42</f>
        <v>5.9008784720987304</v>
      </c>
      <c r="D26" s="105">
        <f>'Consolidated P&amp;L'!H5/'Merge data sheet'!D42</f>
        <v>6.2245005257623598</v>
      </c>
      <c r="E26" s="105">
        <f>'Consolidated P&amp;L'!I5/'Merge data sheet'!E42</f>
        <v>6.4776228781784697</v>
      </c>
      <c r="F26" s="105">
        <f>'Consolidated P&amp;L'!J5/'Merge data sheet'!F42</f>
        <v>5.6981467514276503</v>
      </c>
      <c r="G26" s="4"/>
      <c r="H26" s="105">
        <f>AVERAGE(B26:F26)</f>
        <v>5.9661905513272204</v>
      </c>
      <c r="I26" s="105">
        <f>MEDIAN(B26:F26)</f>
        <v>5.9008784720987304</v>
      </c>
    </row>
    <row r="27" spans="1:9" x14ac:dyDescent="0.3">
      <c r="A27" s="4" t="s">
        <v>401</v>
      </c>
      <c r="B27" s="105">
        <f>'Consolidated P&amp;L'!F5/'Merge data sheet'!B22</f>
        <v>19.517563527653198</v>
      </c>
      <c r="C27" s="105">
        <f>'Consolidated P&amp;L'!G5/'Merge data sheet'!C22</f>
        <v>25.647704436543499</v>
      </c>
      <c r="D27" s="105">
        <f>'Consolidated P&amp;L'!H5/'Merge data sheet'!D22</f>
        <v>23.774683713769299</v>
      </c>
      <c r="E27" s="105">
        <f>'Consolidated P&amp;L'!I5/'Merge data sheet'!E22</f>
        <v>24.5229369636751</v>
      </c>
      <c r="F27" s="105">
        <f>'Consolidated P&amp;L'!J5/'Merge data sheet'!F22</f>
        <v>20.527704997573998</v>
      </c>
      <c r="G27" s="4"/>
      <c r="H27" s="105">
        <f>AVERAGE(B27:F27)</f>
        <v>22.798118727843001</v>
      </c>
      <c r="I27" s="105">
        <f>MEDIAN(B27:F27)</f>
        <v>23.774683713769299</v>
      </c>
    </row>
    <row r="28" spans="1:9" x14ac:dyDescent="0.3">
      <c r="A28" s="4" t="s">
        <v>402</v>
      </c>
      <c r="B28" s="105" t="str">
        <f>IF('Merge data sheet'!B41=0,"",'Consolidated P&amp;L'!F5/'Merge data sheet'!B41)</f>
        <v/>
      </c>
      <c r="C28" s="105">
        <f>IF('Merge data sheet'!C41=0,"",'Consolidated P&amp;L'!G5/'Merge data sheet'!C41)</f>
        <v>10055.4545454545</v>
      </c>
      <c r="D28" s="105">
        <f>IF('Merge data sheet'!D41=0,"",'Consolidated P&amp;L'!H5/'Merge data sheet'!D41)</f>
        <v>11839</v>
      </c>
      <c r="E28" s="105">
        <f>IF('Merge data sheet'!E41=0,"",'Consolidated P&amp;L'!I5/'Merge data sheet'!E41)</f>
        <v>13574.3214285714</v>
      </c>
      <c r="F28" s="105">
        <f>IF('Merge data sheet'!F41=0,"",'Consolidated P&amp;L'!J5/'Merge data sheet'!F41)</f>
        <v>12820.484848484801</v>
      </c>
      <c r="G28" s="4"/>
      <c r="H28" s="105">
        <f>IFERROR(AVERAGE(B28:F28),"")</f>
        <v>12072.315205627699</v>
      </c>
      <c r="I28" s="105">
        <f>IFERROR(MEDIAN(B28:F28),"")</f>
        <v>12329.7424242424</v>
      </c>
    </row>
    <row r="29" spans="1:9" x14ac:dyDescent="0.3">
      <c r="A29" s="4" t="s">
        <v>403</v>
      </c>
      <c r="B29" s="105">
        <f>'Consolidated P&amp;L'!F5/'Merge data sheet'!B33</f>
        <v>8.29470619375331</v>
      </c>
      <c r="C29" s="105">
        <f>'Consolidated P&amp;L'!G5/'Merge data sheet'!C33</f>
        <v>9.7821472790519408</v>
      </c>
      <c r="D29" s="105">
        <f>'Consolidated P&amp;L'!H5/'Merge data sheet'!D33</f>
        <v>8.1859039365723199</v>
      </c>
      <c r="E29" s="105">
        <f>'Consolidated P&amp;L'!I5/'Merge data sheet'!E33</f>
        <v>7.9807034120734901</v>
      </c>
      <c r="F29" s="105">
        <f>'Consolidated P&amp;L'!J5/'Merge data sheet'!F33</f>
        <v>8.0500038054646499</v>
      </c>
      <c r="G29" s="4"/>
      <c r="H29" s="105">
        <f>AVERAGE(B29:F29)</f>
        <v>8.45869292538314</v>
      </c>
      <c r="I29" s="105">
        <f>MEDIAN(B29:F29)</f>
        <v>8.1859039365723199</v>
      </c>
    </row>
    <row r="30" spans="1:9" x14ac:dyDescent="0.3">
      <c r="A30" s="4" t="s">
        <v>404</v>
      </c>
      <c r="B30" s="105">
        <f>'Consolidated P&amp;L'!F5/('Merge data sheet'!B11+'Merge data sheet'!B15+'Merge data sheet'!B21)</f>
        <v>1.62368265613828</v>
      </c>
      <c r="C30" s="105">
        <f>'Consolidated P&amp;L'!G5/('Merge data sheet'!C11+'Merge data sheet'!C15+'Merge data sheet'!C21)</f>
        <v>1.9849378491870699</v>
      </c>
      <c r="D30" s="105">
        <f>'Consolidated P&amp;L'!H5/('Merge data sheet'!D11+'Merge data sheet'!D15+'Merge data sheet'!D21)</f>
        <v>1.77073258283561</v>
      </c>
      <c r="E30" s="105">
        <f>'Consolidated P&amp;L'!I5/('Merge data sheet'!E11+'Merge data sheet'!E15+'Merge data sheet'!E21)</f>
        <v>1.6743287592784299</v>
      </c>
      <c r="F30" s="105">
        <f>'Consolidated P&amp;L'!J5/('Merge data sheet'!F11+'Merge data sheet'!F15+'Merge data sheet'!F21)</f>
        <v>1.7609823100936499</v>
      </c>
      <c r="G30" s="4"/>
      <c r="H30" s="105">
        <f>AVERAGE(B30:F30)</f>
        <v>1.76293283150661</v>
      </c>
      <c r="I30" s="105">
        <f>MEDIAN(B30:F30)</f>
        <v>1.7609823100936499</v>
      </c>
    </row>
    <row r="31" spans="1:9" x14ac:dyDescent="0.3">
      <c r="A31" s="4"/>
      <c r="B31" s="4"/>
      <c r="C31" s="4"/>
      <c r="D31" s="4"/>
      <c r="E31" s="4"/>
      <c r="F31" s="4"/>
      <c r="G31" s="4"/>
      <c r="H31" s="103"/>
      <c r="I31" s="103"/>
    </row>
    <row r="32" spans="1:9" x14ac:dyDescent="0.3">
      <c r="A32" s="106" t="s">
        <v>405</v>
      </c>
      <c r="B32" s="4"/>
      <c r="C32" s="4"/>
      <c r="D32" s="4"/>
      <c r="E32" s="4"/>
      <c r="F32" s="4"/>
      <c r="G32" s="4"/>
      <c r="H32" s="103"/>
      <c r="I32" s="103"/>
    </row>
    <row r="33" spans="1:9" x14ac:dyDescent="0.3">
      <c r="A33" s="4" t="s">
        <v>406</v>
      </c>
      <c r="B33" s="107">
        <f>'Merge data sheet'!B42/'Consolidated P&amp;L'!F5*365</f>
        <v>66.005954546324801</v>
      </c>
      <c r="C33" s="107">
        <f>'Merge data sheet'!C42/'Consolidated P&amp;L'!G5*365</f>
        <v>61.855196938191199</v>
      </c>
      <c r="D33" s="107">
        <f>'Merge data sheet'!D42/'Consolidated P&amp;L'!H5*365</f>
        <v>58.639243179322598</v>
      </c>
      <c r="E33" s="107">
        <f>'Merge data sheet'!E42/'Consolidated P&amp;L'!I5*365</f>
        <v>56.347831120208603</v>
      </c>
      <c r="F33" s="107">
        <f>'Merge data sheet'!F42/'Consolidated P&amp;L'!J5*365</f>
        <v>64.055914303812997</v>
      </c>
      <c r="G33" s="4"/>
      <c r="H33" s="107">
        <f>AVERAGE(B33:F33)</f>
        <v>61.380828017572</v>
      </c>
      <c r="I33" s="107">
        <f>MEDIAN(B33:F33)</f>
        <v>61.855196938191199</v>
      </c>
    </row>
    <row r="34" spans="1:9" x14ac:dyDescent="0.3">
      <c r="A34" s="4" t="s">
        <v>407</v>
      </c>
      <c r="B34" s="107">
        <f>'Merge data sheet'!B22/'Consolidated P&amp;L'!F5*365</f>
        <v>18.701104750234499</v>
      </c>
      <c r="C34" s="107">
        <f>'Merge data sheet'!C22/'Consolidated P&amp;L'!G5*365</f>
        <v>14.231293132025399</v>
      </c>
      <c r="D34" s="107">
        <f>'Merge data sheet'!D22/'Consolidated P&amp;L'!H5*365</f>
        <v>15.3524650167525</v>
      </c>
      <c r="E34" s="107">
        <f>'Merge data sheet'!E22/'Consolidated P&amp;L'!I5*365</f>
        <v>14.8840247210463</v>
      </c>
      <c r="F34" s="107">
        <f>'Merge data sheet'!F22/'Consolidated P&amp;L'!J5*365</f>
        <v>17.780847885486299</v>
      </c>
      <c r="G34" s="4"/>
      <c r="H34" s="107">
        <f>AVERAGE(B34:F34)</f>
        <v>16.189947101108999</v>
      </c>
      <c r="I34" s="107">
        <f>MEDIAN(B34:F34)</f>
        <v>15.3524650167525</v>
      </c>
    </row>
    <row r="35" spans="1:9" x14ac:dyDescent="0.3">
      <c r="A35" s="4" t="s">
        <v>318</v>
      </c>
      <c r="B35" s="107">
        <f>IF('Merge data sheet'!B41=0,0,'Merge data sheet'!B41/'Consolidated P&amp;L'!F5*365)</f>
        <v>0</v>
      </c>
      <c r="C35" s="107">
        <f>IF('Merge data sheet'!C41=0,0,'Merge data sheet'!C41/'Consolidated P&amp;L'!G5*365)</f>
        <v>3.6298707169333699E-2</v>
      </c>
      <c r="D35" s="107">
        <f>IF('Merge data sheet'!D41=0,0,'Merge data sheet'!D41/'Consolidated P&amp;L'!H5*365)</f>
        <v>3.0830306613734301E-2</v>
      </c>
      <c r="E35" s="107">
        <f>IF('Merge data sheet'!E41=0,0,'Merge data sheet'!E41/'Consolidated P&amp;L'!I5*365)</f>
        <v>2.6889005238357098E-2</v>
      </c>
      <c r="F35" s="107">
        <f>IF('Merge data sheet'!F41=0,0,'Merge data sheet'!F41/'Consolidated P&amp;L'!J5*365)</f>
        <v>2.84700621164992E-2</v>
      </c>
      <c r="G35" s="4"/>
      <c r="H35" s="107">
        <f>AVERAGE(B35:F35)</f>
        <v>2.4497616227584802E-2</v>
      </c>
      <c r="I35" s="107">
        <f>MEDIAN(B35:F35)</f>
        <v>2.84700621164992E-2</v>
      </c>
    </row>
    <row r="36" spans="1:9" x14ac:dyDescent="0.3">
      <c r="A36" s="4" t="s">
        <v>320</v>
      </c>
      <c r="B36" s="107">
        <f>B33+B35-B34</f>
        <v>47.304849796090302</v>
      </c>
      <c r="C36" s="107">
        <f>C33+C35-C34</f>
        <v>47.660202513335101</v>
      </c>
      <c r="D36" s="107">
        <f>D33+D35-D34</f>
        <v>43.317608469183803</v>
      </c>
      <c r="E36" s="107">
        <f>E33+E35-E34</f>
        <v>41.490695404400597</v>
      </c>
      <c r="F36" s="107">
        <f>F33+F35-F34</f>
        <v>46.303536480443199</v>
      </c>
      <c r="G36" s="4"/>
      <c r="H36" s="107">
        <f>AVERAGE(B36:F36)</f>
        <v>45.2153785326906</v>
      </c>
      <c r="I36" s="107">
        <f>MEDIAN(B36:F36)</f>
        <v>46.303536480443199</v>
      </c>
    </row>
    <row r="37" spans="1:9" x14ac:dyDescent="0.3">
      <c r="A37" s="4"/>
      <c r="B37" s="4"/>
      <c r="C37" s="4"/>
      <c r="D37" s="4"/>
      <c r="E37" s="4"/>
      <c r="F37" s="4"/>
      <c r="G37" s="4"/>
      <c r="H37" s="103"/>
      <c r="I37" s="103"/>
    </row>
    <row r="38" spans="1:9" x14ac:dyDescent="0.3">
      <c r="A38" s="4" t="s">
        <v>408</v>
      </c>
      <c r="B38" s="102">
        <f>'Merge data sheet'!B97/'Consolidated P&amp;L'!F5</f>
        <v>0.105433124637015</v>
      </c>
      <c r="C38" s="102">
        <f>'Merge data sheet'!C97/'Consolidated P&amp;L'!G5</f>
        <v>9.3258596269174002E-2</v>
      </c>
      <c r="D38" s="102">
        <f>'Merge data sheet'!D97/'Consolidated P&amp;L'!H5</f>
        <v>0.159627783878143</v>
      </c>
      <c r="E38" s="102">
        <f>'Merge data sheet'!E97/'Consolidated P&amp;L'!I5</f>
        <v>0.119600821930062</v>
      </c>
      <c r="F38" s="102">
        <f>'Merge data sheet'!F97/'Consolidated P&amp;L'!J5</f>
        <v>0.11342642929402801</v>
      </c>
      <c r="G38" s="4"/>
      <c r="H38" s="103">
        <f>AVERAGE(B38:F38)</f>
        <v>0.118269351201684</v>
      </c>
      <c r="I38" s="103">
        <f>MEDIAN(B38:F38)</f>
        <v>0.11342642929402801</v>
      </c>
    </row>
    <row r="39" spans="1:9" x14ac:dyDescent="0.3">
      <c r="A39" s="4" t="s">
        <v>409</v>
      </c>
      <c r="B39" s="102">
        <f>'Merge data sheet'!B97/'Merge data sheet'!B47</f>
        <v>0.132485384103358</v>
      </c>
      <c r="C39" s="102">
        <f>'Merge data sheet'!C97/'Merge data sheet'!C47</f>
        <v>0.131706964134473</v>
      </c>
      <c r="D39" s="102">
        <f>'Merge data sheet'!D97/'Merge data sheet'!D47</f>
        <v>0.20569241374306099</v>
      </c>
      <c r="E39" s="102">
        <f>'Merge data sheet'!E97/'Merge data sheet'!E47</f>
        <v>0.148410055501143</v>
      </c>
      <c r="F39" s="102">
        <f>'Merge data sheet'!F97/'Merge data sheet'!F47</f>
        <v>0.12901387245940399</v>
      </c>
      <c r="G39" s="4"/>
      <c r="H39" s="103">
        <f>AVERAGE(B39:F39)</f>
        <v>0.14946173798828799</v>
      </c>
      <c r="I39" s="103">
        <f>MEDIAN(B39:F39)</f>
        <v>0.132485384103358</v>
      </c>
    </row>
    <row r="40" spans="1:9" x14ac:dyDescent="0.3">
      <c r="A40" s="4" t="s">
        <v>410</v>
      </c>
      <c r="B40" s="102">
        <f>IF('Merge data sheet'!B15+'Merge data sheet'!B21=0,"",'Merge data sheet'!B97/('Merge data sheet'!B15+'Merge data sheet'!B21))</f>
        <v>1.9772591262716901</v>
      </c>
      <c r="C40" s="102">
        <f>IF('Merge data sheet'!C15+'Merge data sheet'!C21=0,"",'Merge data sheet'!C97/('Merge data sheet'!C15+'Merge data sheet'!C21))</f>
        <v>24.697525937749401</v>
      </c>
      <c r="D40" s="102">
        <f>IF('Merge data sheet'!D15+'Merge data sheet'!D21=0,"",'Merge data sheet'!D97/('Merge data sheet'!D15+'Merge data sheet'!D21))</f>
        <v>139.299754299754</v>
      </c>
      <c r="E40" s="102">
        <f>IF('Merge data sheet'!E15+'Merge data sheet'!E21=0,"",'Merge data sheet'!E97/('Merge data sheet'!E15+'Merge data sheet'!E21))</f>
        <v>1976.4347826087001</v>
      </c>
      <c r="F40" s="102" t="str">
        <f>IF('Merge data sheet'!F15+'Merge data sheet'!F21=0,"",'Merge data sheet'!F97/('Merge data sheet'!F15+'Merge data sheet'!F21))</f>
        <v/>
      </c>
      <c r="G40" s="4"/>
      <c r="H40" s="103">
        <f>IFERROR(AVERAGE(B40:F40),"")</f>
        <v>535.60233049311796</v>
      </c>
      <c r="I40" s="103">
        <f>IFERROR(MEDIAN(B40:F40),"")</f>
        <v>81.998640118751794</v>
      </c>
    </row>
  </sheetData>
  <mergeCells count="1">
    <mergeCell ref="A1:I1"/>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00000000-0003-0000-0E00-000006000000}">
          <x14:colorSeries rgb="FF376092"/>
          <x14:colorNegative rgb="FFD00000"/>
          <x14:colorAxis rgb="FF000000"/>
          <x14:colorMarkers rgb="FFD00000"/>
          <x14:colorFirst rgb="FFD00000"/>
          <x14:colorLast rgb="FFD00000"/>
          <x14:colorHigh rgb="FFD00000"/>
          <x14:colorLow rgb="FFD00000"/>
          <x14:sparklines>
            <x14:sparkline>
              <xm:f>'Ratio Analysis'!C4:F4</xm:f>
              <xm:sqref>G4</xm:sqref>
            </x14:sparkline>
            <x14:sparkline>
              <xm:f>'Ratio Analysis'!C5:F5</xm:f>
              <xm:sqref>G5</xm:sqref>
            </x14:sparkline>
            <x14:sparkline>
              <xm:f>'Ratio Analysis'!C6:F6</xm:f>
              <xm:sqref>G6</xm:sqref>
            </x14:sparkline>
            <x14:sparkline>
              <xm:f>'Ratio Analysis'!C7:F7</xm:f>
              <xm:sqref>G7</xm:sqref>
            </x14:sparkline>
            <x14:sparkline>
              <xm:f>'Ratio Analysis'!C8:F8</xm:f>
              <xm:sqref>G8</xm:sqref>
            </x14:sparkline>
          </x14:sparklines>
        </x14:sparklineGroup>
        <x14:sparklineGroup displayEmptyCellsAs="gap" xr2:uid="{00000000-0003-0000-0E00-000005000000}">
          <x14:colorSeries rgb="FF376092"/>
          <x14:colorNegative rgb="FFD00000"/>
          <x14:colorAxis rgb="FF000000"/>
          <x14:colorMarkers rgb="FFD00000"/>
          <x14:colorFirst rgb="FFD00000"/>
          <x14:colorLast rgb="FFD00000"/>
          <x14:colorHigh rgb="FFD00000"/>
          <x14:colorLow rgb="FFD00000"/>
          <x14:sparklines>
            <x14:sparkline>
              <xm:f>'Ratio Analysis'!B10:F10</xm:f>
              <xm:sqref>G10</xm:sqref>
            </x14:sparkline>
            <x14:sparkline>
              <xm:f>'Ratio Analysis'!B11:F11</xm:f>
              <xm:sqref>G11</xm:sqref>
            </x14:sparkline>
            <x14:sparkline>
              <xm:f>'Ratio Analysis'!B12:F12</xm:f>
              <xm:sqref>G12</xm:sqref>
            </x14:sparkline>
            <x14:sparkline>
              <xm:f>'Ratio Analysis'!B13:F13</xm:f>
              <xm:sqref>G13</xm:sqref>
            </x14:sparkline>
            <x14:sparkline>
              <xm:f>'Ratio Analysis'!B14:F14</xm:f>
              <xm:sqref>G14</xm:sqref>
            </x14:sparkline>
          </x14:sparklines>
        </x14:sparklineGroup>
        <x14:sparklineGroup displayEmptyCellsAs="gap" xr2:uid="{00000000-0003-0000-0E00-000004000000}">
          <x14:colorSeries rgb="FF376092"/>
          <x14:colorNegative rgb="FFD00000"/>
          <x14:colorAxis rgb="FF000000"/>
          <x14:colorMarkers rgb="FFD00000"/>
          <x14:colorFirst rgb="FFD00000"/>
          <x14:colorLast rgb="FFD00000"/>
          <x14:colorHigh rgb="FFD00000"/>
          <x14:colorLow rgb="FFD00000"/>
          <x14:sparklines>
            <x14:sparkline>
              <xm:f>'Ratio Analysis'!B16:F16</xm:f>
              <xm:sqref>G16</xm:sqref>
            </x14:sparkline>
            <x14:sparkline>
              <xm:f>'Ratio Analysis'!B17:F17</xm:f>
              <xm:sqref>G17</xm:sqref>
            </x14:sparkline>
            <x14:sparkline>
              <xm:f>'Ratio Analysis'!B18:F18</xm:f>
              <xm:sqref>G18</xm:sqref>
            </x14:sparkline>
          </x14:sparklines>
        </x14:sparklineGroup>
        <x14:sparklineGroup displayEmptyCellsAs="gap" xr2:uid="{00000000-0003-0000-0E00-000003000000}">
          <x14:colorSeries rgb="FF376092"/>
          <x14:colorNegative rgb="FFD00000"/>
          <x14:colorAxis rgb="FF000000"/>
          <x14:colorMarkers rgb="FFD00000"/>
          <x14:colorFirst rgb="FFD00000"/>
          <x14:colorLast rgb="FFD00000"/>
          <x14:colorHigh rgb="FFD00000"/>
          <x14:colorLow rgb="FFD00000"/>
          <x14:sparklines>
            <x14:sparkline>
              <xm:f>'Ratio Analysis'!B20:F20</xm:f>
              <xm:sqref>G20</xm:sqref>
            </x14:sparkline>
            <x14:sparkline>
              <xm:f>'Ratio Analysis'!B21:F21</xm:f>
              <xm:sqref>G21</xm:sqref>
            </x14:sparkline>
            <x14:sparkline>
              <xm:f>'Ratio Analysis'!B22:F22</xm:f>
              <xm:sqref>G22</xm:sqref>
            </x14:sparkline>
            <x14:sparkline>
              <xm:f>'Ratio Analysis'!B23:F23</xm:f>
              <xm:sqref>G23</xm:sqref>
            </x14:sparkline>
            <x14:sparkline>
              <xm:f>'Ratio Analysis'!B24:F24</xm:f>
              <xm:sqref>G24</xm:sqref>
            </x14:sparkline>
          </x14:sparklines>
        </x14:sparklineGroup>
        <x14:sparklineGroup displayEmptyCellsAs="gap" xr2:uid="{00000000-0003-0000-0E00-000002000000}">
          <x14:colorSeries rgb="FF376092"/>
          <x14:colorNegative rgb="FFD00000"/>
          <x14:colorAxis rgb="FF000000"/>
          <x14:colorMarkers rgb="FFD00000"/>
          <x14:colorFirst rgb="FFD00000"/>
          <x14:colorLast rgb="FFD00000"/>
          <x14:colorHigh rgb="FFD00000"/>
          <x14:colorLow rgb="FFD00000"/>
          <x14:sparklines>
            <x14:sparkline>
              <xm:f>'Ratio Analysis'!B26:F26</xm:f>
              <xm:sqref>G26</xm:sqref>
            </x14:sparkline>
            <x14:sparkline>
              <xm:f>'Ratio Analysis'!B27:F27</xm:f>
              <xm:sqref>G27</xm:sqref>
            </x14:sparkline>
            <x14:sparkline>
              <xm:f>'Ratio Analysis'!B28:F28</xm:f>
              <xm:sqref>G28</xm:sqref>
            </x14:sparkline>
            <x14:sparkline>
              <xm:f>'Ratio Analysis'!B29:F29</xm:f>
              <xm:sqref>G29</xm:sqref>
            </x14:sparkline>
            <x14:sparkline>
              <xm:f>'Ratio Analysis'!B30:F30</xm:f>
              <xm:sqref>G30</xm:sqref>
            </x14:sparkline>
          </x14:sparklines>
        </x14:sparklineGroup>
        <x14:sparklineGroup displayEmptyCellsAs="gap" xr2:uid="{00000000-0003-0000-0E00-000001000000}">
          <x14:colorSeries rgb="FF376092"/>
          <x14:colorNegative rgb="FFD00000"/>
          <x14:colorAxis rgb="FF000000"/>
          <x14:colorMarkers rgb="FFD00000"/>
          <x14:colorFirst rgb="FFD00000"/>
          <x14:colorLast rgb="FFD00000"/>
          <x14:colorHigh rgb="FFD00000"/>
          <x14:colorLow rgb="FFD00000"/>
          <x14:sparklines>
            <x14:sparkline>
              <xm:f>'Ratio Analysis'!B33:F33</xm:f>
              <xm:sqref>G33</xm:sqref>
            </x14:sparkline>
            <x14:sparkline>
              <xm:f>'Ratio Analysis'!B34:F34</xm:f>
              <xm:sqref>G34</xm:sqref>
            </x14:sparkline>
            <x14:sparkline>
              <xm:f>'Ratio Analysis'!B35:F35</xm:f>
              <xm:sqref>G35</xm:sqref>
            </x14:sparkline>
            <x14:sparkline>
              <xm:f>'Ratio Analysis'!B36:F36</xm:f>
              <xm:sqref>G36</xm:sqref>
            </x14:sparkline>
          </x14:sparklines>
        </x14:sparklineGroup>
        <x14:sparklineGroup displayEmptyCellsAs="gap" xr2:uid="{00000000-0003-0000-0E00-000000000000}">
          <x14:colorSeries rgb="FF376092"/>
          <x14:colorNegative rgb="FFD00000"/>
          <x14:colorAxis rgb="FF000000"/>
          <x14:colorMarkers rgb="FFD00000"/>
          <x14:colorFirst rgb="FFD00000"/>
          <x14:colorLast rgb="FFD00000"/>
          <x14:colorHigh rgb="FFD00000"/>
          <x14:colorLow rgb="FFD00000"/>
          <x14:sparklines>
            <x14:sparkline>
              <xm:f>'Ratio Analysis'!B38:F38</xm:f>
              <xm:sqref>G38</xm:sqref>
            </x14:sparkline>
            <x14:sparkline>
              <xm:f>'Ratio Analysis'!B39:F39</xm:f>
              <xm:sqref>G39</xm:sqref>
            </x14:sparkline>
            <x14:sparkline>
              <xm:f>'Ratio Analysis'!B40:F40</xm:f>
              <xm:sqref>G40</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3"/>
  <sheetViews>
    <sheetView showGridLines="0" workbookViewId="0">
      <selection sqref="A1:F1"/>
    </sheetView>
  </sheetViews>
  <sheetFormatPr defaultColWidth="8.6640625" defaultRowHeight="14.4" x14ac:dyDescent="0.3"/>
  <cols>
    <col min="1" max="1" width="39.88671875" style="1" customWidth="1"/>
    <col min="2" max="3" width="8.109375" style="1" customWidth="1"/>
    <col min="4" max="5" width="9" style="1" customWidth="1"/>
    <col min="9" max="9" width="20.77734375" style="1" customWidth="1"/>
    <col min="10" max="10" width="15" style="1" customWidth="1"/>
  </cols>
  <sheetData>
    <row r="1" spans="1:10" x14ac:dyDescent="0.3">
      <c r="A1" s="275" t="s">
        <v>278</v>
      </c>
      <c r="B1" s="276">
        <v>44621</v>
      </c>
      <c r="C1" s="276">
        <v>44986</v>
      </c>
      <c r="D1" s="276">
        <v>45352</v>
      </c>
      <c r="E1" s="277">
        <v>45717</v>
      </c>
      <c r="F1" s="278">
        <v>46082</v>
      </c>
    </row>
    <row r="2" spans="1:10" x14ac:dyDescent="0.3">
      <c r="A2" s="40" t="s">
        <v>157</v>
      </c>
      <c r="B2" s="98">
        <f>'Merge data sheet'!B66-'Merge data sheet'!B68-'Merge data sheet'!B69-'Merge data sheet'!B71-'Merge data sheet'!B72</f>
        <v>3170.2</v>
      </c>
      <c r="C2" s="98">
        <f>'Merge data sheet'!C66-'Merge data sheet'!C68-'Merge data sheet'!C69-'Merge data sheet'!C71-'Merge data sheet'!C72</f>
        <v>5941.9</v>
      </c>
      <c r="D2" s="98">
        <f>'Merge data sheet'!D66-'Merge data sheet'!D68-'Merge data sheet'!D69-'Merge data sheet'!D71-'Merge data sheet'!D72</f>
        <v>6270.4</v>
      </c>
      <c r="E2" s="98">
        <f>'Merge data sheet'!E66-'Merge data sheet'!E68-'Merge data sheet'!E69-'Merge data sheet'!E71-'Merge data sheet'!E72</f>
        <v>6493.1</v>
      </c>
      <c r="F2" s="98">
        <f>'Merge data sheet'!F66-'Merge data sheet'!F68-'Merge data sheet'!F69-'Merge data sheet'!F71-'Merge data sheet'!F72</f>
        <v>7595.5</v>
      </c>
    </row>
    <row r="3" spans="1:10" x14ac:dyDescent="0.3">
      <c r="A3" s="41" t="s">
        <v>411</v>
      </c>
      <c r="B3" s="41">
        <f>B2*$J$5</f>
        <v>789.36692678225199</v>
      </c>
      <c r="C3" s="41">
        <f>C2*$J$5</f>
        <v>1479.5089717517701</v>
      </c>
      <c r="D3" s="41">
        <f>D2*$J$5</f>
        <v>1561.30413781321</v>
      </c>
      <c r="E3" s="41">
        <f>E2*$J$5</f>
        <v>1616.7555334962601</v>
      </c>
      <c r="F3" s="41">
        <f>F2*$J$5</f>
        <v>1891.2486569852399</v>
      </c>
    </row>
    <row r="4" spans="1:10" x14ac:dyDescent="0.3">
      <c r="A4" s="40" t="s">
        <v>412</v>
      </c>
      <c r="B4" s="98">
        <f>B2-B3</f>
        <v>2380.8330732177501</v>
      </c>
      <c r="C4" s="98">
        <f>C2-C3</f>
        <v>4462.3910282482302</v>
      </c>
      <c r="D4" s="98">
        <f>D2-D3</f>
        <v>4709.0958621867903</v>
      </c>
      <c r="E4" s="98">
        <f>E2-E3</f>
        <v>4876.3444665037396</v>
      </c>
      <c r="F4" s="98">
        <f>F2-F3</f>
        <v>5704.2513430147601</v>
      </c>
    </row>
    <row r="5" spans="1:10" x14ac:dyDescent="0.3">
      <c r="A5" s="41" t="s">
        <v>413</v>
      </c>
      <c r="B5" s="54"/>
      <c r="C5" s="54">
        <f>'Fixed assets scheduled'!C8</f>
        <v>1503.2</v>
      </c>
      <c r="D5" s="54">
        <f>'Fixed assets scheduled'!D8</f>
        <v>946.6</v>
      </c>
      <c r="E5" s="54">
        <f>'Fixed assets scheduled'!E8</f>
        <v>423.7</v>
      </c>
      <c r="F5" s="54">
        <f>'Fixed assets scheduled'!F8</f>
        <v>493.1</v>
      </c>
      <c r="I5" s="1" t="s">
        <v>414</v>
      </c>
      <c r="J5" s="45">
        <f>AVERAGE('Assumptions (Historical FS)'!B16:F16)</f>
        <v>0.24899593930422401</v>
      </c>
    </row>
    <row r="6" spans="1:10" x14ac:dyDescent="0.3">
      <c r="A6" s="41" t="s">
        <v>415</v>
      </c>
      <c r="B6" s="54"/>
      <c r="C6" s="54">
        <f>'Change in working capital'!C6</f>
        <v>2302.1999999999998</v>
      </c>
      <c r="D6" s="54">
        <f>'Change in working capital'!D6</f>
        <v>-117.799999999999</v>
      </c>
      <c r="E6" s="54">
        <f>'Change in working capital'!E6</f>
        <v>105.4</v>
      </c>
      <c r="F6" s="54">
        <f>'Change in working capital'!F6</f>
        <v>1046.5999999999999</v>
      </c>
    </row>
    <row r="7" spans="1:10" x14ac:dyDescent="0.3">
      <c r="A7" s="41" t="s">
        <v>416</v>
      </c>
      <c r="B7" s="54"/>
      <c r="C7" s="54">
        <f>C5+C6</f>
        <v>3805.4</v>
      </c>
      <c r="D7" s="54">
        <f>D5+D6</f>
        <v>828.80000000000098</v>
      </c>
      <c r="E7" s="54">
        <f>E5+E6</f>
        <v>529.099999999999</v>
      </c>
      <c r="F7" s="54">
        <f>F5+F6</f>
        <v>1539.7</v>
      </c>
    </row>
    <row r="8" spans="1:10" x14ac:dyDescent="0.3">
      <c r="A8" s="40" t="s">
        <v>417</v>
      </c>
      <c r="B8" s="98"/>
      <c r="C8" s="98">
        <f>C4-C7</f>
        <v>656.99102824822899</v>
      </c>
      <c r="D8" s="98">
        <f>D4-D7</f>
        <v>3880.2958621867901</v>
      </c>
      <c r="E8" s="98">
        <f>E4-E7</f>
        <v>4347.2444665037401</v>
      </c>
      <c r="F8" s="98">
        <f>F4-F7</f>
        <v>4164.5513430147603</v>
      </c>
    </row>
    <row r="9" spans="1:10" x14ac:dyDescent="0.3">
      <c r="A9" s="40"/>
      <c r="B9" s="41"/>
      <c r="C9" s="54"/>
      <c r="D9" s="54"/>
      <c r="E9" s="54"/>
      <c r="F9" s="54"/>
      <c r="I9" s="1" t="s">
        <v>418</v>
      </c>
      <c r="J9" s="99">
        <v>0.25</v>
      </c>
    </row>
    <row r="10" spans="1:10" x14ac:dyDescent="0.3">
      <c r="A10" s="41" t="s">
        <v>419</v>
      </c>
      <c r="B10" s="100"/>
      <c r="C10" s="100">
        <f>C7/C4</f>
        <v>0.85277152448333504</v>
      </c>
      <c r="D10" s="100">
        <f>D7/D4</f>
        <v>0.17599981488062699</v>
      </c>
      <c r="E10" s="100">
        <f>E7/E4</f>
        <v>0.10850340939498</v>
      </c>
      <c r="F10" s="100">
        <f>F7/F4</f>
        <v>0.26992148617109302</v>
      </c>
    </row>
    <row r="11" spans="1:10" x14ac:dyDescent="0.3">
      <c r="A11" s="71"/>
      <c r="B11" s="71"/>
      <c r="C11" s="71"/>
      <c r="D11" s="71"/>
      <c r="E11" s="71"/>
    </row>
    <row r="12" spans="1:10" x14ac:dyDescent="0.3">
      <c r="A12" s="41" t="s">
        <v>420</v>
      </c>
      <c r="B12" s="101">
        <f>MEDIAN(C10:F10)</f>
        <v>0.22296065052586</v>
      </c>
      <c r="C12" s="71"/>
      <c r="D12" s="71"/>
      <c r="E12" s="71"/>
    </row>
    <row r="13" spans="1:10" x14ac:dyDescent="0.3">
      <c r="A13" s="41" t="s">
        <v>421</v>
      </c>
      <c r="B13" s="101">
        <f>AVERAGE(C10:F10)</f>
        <v>0.351799058732509</v>
      </c>
      <c r="C13" s="71"/>
      <c r="D13" s="71"/>
      <c r="E13" s="71"/>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6"/>
  <sheetViews>
    <sheetView showGridLines="0" topLeftCell="A35" workbookViewId="0">
      <selection activeCell="A2" sqref="A2:F2"/>
    </sheetView>
  </sheetViews>
  <sheetFormatPr defaultColWidth="8.6640625" defaultRowHeight="14.4" x14ac:dyDescent="0.3"/>
  <cols>
    <col min="1" max="1" width="39.77734375" style="1" customWidth="1"/>
  </cols>
  <sheetData>
    <row r="1" spans="1:9" ht="25.5" customHeight="1" x14ac:dyDescent="0.5">
      <c r="A1" s="265" t="s">
        <v>296</v>
      </c>
      <c r="B1" s="265"/>
      <c r="C1" s="265"/>
      <c r="D1" s="265"/>
      <c r="E1" s="265"/>
      <c r="F1" s="265"/>
    </row>
    <row r="2" spans="1:9" x14ac:dyDescent="0.3">
      <c r="A2" s="266" t="s">
        <v>422</v>
      </c>
      <c r="B2" s="267">
        <v>44621</v>
      </c>
      <c r="C2" s="267">
        <v>44986</v>
      </c>
      <c r="D2" s="267">
        <v>45352</v>
      </c>
      <c r="E2" s="267">
        <v>45717</v>
      </c>
      <c r="F2" s="267">
        <v>46082</v>
      </c>
    </row>
    <row r="3" spans="1:9" x14ac:dyDescent="0.3">
      <c r="A3" s="86" t="s">
        <v>423</v>
      </c>
      <c r="B3" s="87">
        <f>'Merge data sheet'!B63</f>
        <v>15668.7</v>
      </c>
      <c r="C3" s="88">
        <f>'Merge data sheet'!C63</f>
        <v>33183</v>
      </c>
      <c r="D3" s="88">
        <f>'Merge data sheet'!D63</f>
        <v>35517</v>
      </c>
      <c r="E3" s="87">
        <f>'Merge data sheet'!E63</f>
        <v>38008.1</v>
      </c>
      <c r="F3" s="87">
        <f>'Merge data sheet'!F63</f>
        <v>42307.6</v>
      </c>
      <c r="H3" t="s">
        <v>424</v>
      </c>
    </row>
    <row r="4" spans="1:9" x14ac:dyDescent="0.3">
      <c r="A4" s="4" t="s">
        <v>425</v>
      </c>
      <c r="B4" s="7"/>
      <c r="C4" s="7">
        <f>'Consolidated P&amp;L'!M5</f>
        <v>1.1177889678148201</v>
      </c>
      <c r="D4" s="7">
        <f>'Consolidated P&amp;L'!N5</f>
        <v>7.0337220866106095E-2</v>
      </c>
      <c r="E4" s="7">
        <f>'Consolidated P&amp;L'!O5</f>
        <v>7.0138243657966601E-2</v>
      </c>
      <c r="F4" s="7">
        <f>'Consolidated P&amp;L'!P5</f>
        <v>0.113120624287981</v>
      </c>
      <c r="G4" s="45">
        <f>AVERAGE(C4:F4)</f>
        <v>0.34284626415671698</v>
      </c>
      <c r="H4" s="45">
        <f>MEDIAN(C4:F4)</f>
        <v>9.1728922577043404E-2</v>
      </c>
      <c r="I4" s="45"/>
    </row>
    <row r="5" spans="1:9" x14ac:dyDescent="0.3">
      <c r="A5" s="4" t="s">
        <v>426</v>
      </c>
      <c r="B5" s="87">
        <f>'Merge data sheet'!B68</f>
        <v>2656.5</v>
      </c>
      <c r="C5" s="87">
        <f>'Merge data sheet'!C68</f>
        <v>3967.9</v>
      </c>
      <c r="D5" s="87">
        <f>'Merge data sheet'!D68</f>
        <v>4179.5</v>
      </c>
      <c r="E5" s="87">
        <f>'Merge data sheet'!E68</f>
        <v>2631.2</v>
      </c>
      <c r="F5" s="87">
        <f>'Merge data sheet'!F68</f>
        <v>0</v>
      </c>
    </row>
    <row r="6" spans="1:9" x14ac:dyDescent="0.3">
      <c r="A6" s="4" t="s">
        <v>427</v>
      </c>
      <c r="B6" s="87">
        <f>'Merge data sheet'!B69</f>
        <v>9700.7000000000007</v>
      </c>
      <c r="C6" s="87">
        <f>'Merge data sheet'!C69</f>
        <v>20879.900000000001</v>
      </c>
      <c r="D6" s="87">
        <f>'Merge data sheet'!D69</f>
        <v>22732.3</v>
      </c>
      <c r="E6" s="87">
        <f>'Merge data sheet'!E69</f>
        <v>24622.6</v>
      </c>
      <c r="F6" s="87">
        <f>'Merge data sheet'!F69</f>
        <v>26286.9</v>
      </c>
    </row>
    <row r="7" spans="1:9" x14ac:dyDescent="0.3">
      <c r="A7" s="4" t="s">
        <v>428</v>
      </c>
      <c r="B7" s="87">
        <f>'Merge data sheet'!B72</f>
        <v>253.1</v>
      </c>
      <c r="C7" s="87">
        <f>'Merge data sheet'!C72</f>
        <v>2227.5</v>
      </c>
      <c r="D7" s="87">
        <f>'Merge data sheet'!D72</f>
        <v>2217.8000000000002</v>
      </c>
      <c r="E7" s="87">
        <f>'Merge data sheet'!E72</f>
        <v>4259.3999999999996</v>
      </c>
      <c r="F7" s="87">
        <f>'Merge data sheet'!F72</f>
        <v>8465.5</v>
      </c>
    </row>
    <row r="8" spans="1:9" x14ac:dyDescent="0.3">
      <c r="A8" s="86" t="s">
        <v>154</v>
      </c>
      <c r="B8" s="4">
        <f>B7+B6+B5</f>
        <v>12610.3</v>
      </c>
      <c r="C8" s="4">
        <f>C7+C6+C5</f>
        <v>27075.3</v>
      </c>
      <c r="D8" s="4">
        <f>D7+D6+D5</f>
        <v>29129.599999999999</v>
      </c>
      <c r="E8" s="4">
        <f>E7+E6+E5</f>
        <v>31513.200000000001</v>
      </c>
      <c r="F8" s="4">
        <f>F7+F6+F5</f>
        <v>34752.400000000001</v>
      </c>
    </row>
    <row r="9" spans="1:9" x14ac:dyDescent="0.3">
      <c r="A9" s="86" t="s">
        <v>156</v>
      </c>
      <c r="B9" s="4">
        <f>B3-B8</f>
        <v>3058.4</v>
      </c>
      <c r="C9" s="4">
        <f>C3-C8</f>
        <v>6107.7</v>
      </c>
      <c r="D9" s="4">
        <f>D3-D8</f>
        <v>6387.4</v>
      </c>
      <c r="E9" s="4">
        <f>E3-E8</f>
        <v>6494.9</v>
      </c>
      <c r="F9" s="4">
        <f>F3-F8</f>
        <v>7555.2</v>
      </c>
    </row>
    <row r="10" spans="1:9" x14ac:dyDescent="0.3">
      <c r="A10" s="4" t="s">
        <v>429</v>
      </c>
      <c r="B10" s="87">
        <f>'Merge data sheet'!B71</f>
        <v>354.9</v>
      </c>
      <c r="C10" s="87">
        <f>'Merge data sheet'!C71</f>
        <v>722.7</v>
      </c>
      <c r="D10" s="87">
        <f>'Merge data sheet'!D71</f>
        <v>818.9</v>
      </c>
      <c r="E10" s="87">
        <f>'Merge data sheet'!E71</f>
        <v>991.5</v>
      </c>
      <c r="F10" s="87">
        <f>'Merge data sheet'!F71</f>
        <v>1054.0999999999999</v>
      </c>
    </row>
    <row r="11" spans="1:9" x14ac:dyDescent="0.3">
      <c r="A11" s="86" t="s">
        <v>430</v>
      </c>
      <c r="B11" s="4">
        <f>B9-B10</f>
        <v>2703.5</v>
      </c>
      <c r="C11" s="4">
        <f>C9-C10</f>
        <v>5385</v>
      </c>
      <c r="D11" s="4">
        <f>D9-D10</f>
        <v>5568.5</v>
      </c>
      <c r="E11" s="4">
        <f>E9-E10</f>
        <v>5503.4</v>
      </c>
      <c r="F11" s="4">
        <f>F9-F10</f>
        <v>6501.1</v>
      </c>
    </row>
    <row r="12" spans="1:9" x14ac:dyDescent="0.3">
      <c r="A12" s="4" t="s">
        <v>431</v>
      </c>
      <c r="B12" s="87">
        <f>'Merge data sheet'!B65</f>
        <v>466.7</v>
      </c>
      <c r="C12" s="87">
        <f>'Merge data sheet'!C65</f>
        <v>556.9</v>
      </c>
      <c r="D12" s="87">
        <f>'Merge data sheet'!D65</f>
        <v>701.9</v>
      </c>
      <c r="E12" s="87">
        <f>'Merge data sheet'!E65</f>
        <v>989.7</v>
      </c>
      <c r="F12" s="87">
        <f>'Merge data sheet'!F65</f>
        <v>1094.4000000000001</v>
      </c>
    </row>
    <row r="13" spans="1:9" x14ac:dyDescent="0.3">
      <c r="A13" s="4" t="s">
        <v>432</v>
      </c>
      <c r="B13" s="87">
        <f>'Merge data sheet'!B70</f>
        <v>72.8</v>
      </c>
      <c r="C13" s="87">
        <f>'Merge data sheet'!C70</f>
        <v>150.4</v>
      </c>
      <c r="D13" s="87">
        <f>'Merge data sheet'!D70</f>
        <v>221.7</v>
      </c>
      <c r="E13" s="87">
        <f>'Merge data sheet'!E70</f>
        <v>278.89999999999998</v>
      </c>
      <c r="F13" s="87">
        <f>'Merge data sheet'!F70</f>
        <v>276.3</v>
      </c>
    </row>
    <row r="14" spans="1:9" x14ac:dyDescent="0.3">
      <c r="A14" s="86" t="s">
        <v>433</v>
      </c>
      <c r="B14" s="4">
        <f>B11+B12-B13</f>
        <v>3097.4</v>
      </c>
      <c r="C14" s="4">
        <f>C11+C12-C13</f>
        <v>5791.5</v>
      </c>
      <c r="D14" s="4">
        <f>D11+D12-D13</f>
        <v>6048.7</v>
      </c>
      <c r="E14" s="4">
        <f>E11+E12-E13</f>
        <v>6214.2</v>
      </c>
      <c r="F14" s="4">
        <f>F11+F12-F13</f>
        <v>7319.2</v>
      </c>
    </row>
    <row r="15" spans="1:9" x14ac:dyDescent="0.3">
      <c r="A15" s="4" t="s">
        <v>434</v>
      </c>
      <c r="B15" s="87">
        <f>'Merge data sheet'!B80</f>
        <v>798.9</v>
      </c>
      <c r="C15" s="87">
        <f>'Merge data sheet'!C80</f>
        <v>1381.2</v>
      </c>
      <c r="D15" s="87">
        <f>'Merge data sheet'!D80</f>
        <v>1464.1</v>
      </c>
      <c r="E15" s="87">
        <f>'Merge data sheet'!E80</f>
        <v>1612.2</v>
      </c>
      <c r="F15" s="87">
        <f>'Merge data sheet'!F80</f>
        <v>1808.4</v>
      </c>
    </row>
    <row r="16" spans="1:9" x14ac:dyDescent="0.3">
      <c r="A16" s="86" t="s">
        <v>435</v>
      </c>
      <c r="B16" s="89">
        <f>B15/B14</f>
        <v>0.25792600245367098</v>
      </c>
      <c r="C16" s="89">
        <f>C15/C14</f>
        <v>0.238487438487439</v>
      </c>
      <c r="D16" s="89">
        <f>D15/D14</f>
        <v>0.24205201117595501</v>
      </c>
      <c r="E16" s="89">
        <f>E15/E14</f>
        <v>0.25943806121463803</v>
      </c>
      <c r="F16" s="89">
        <f>F15/F14</f>
        <v>0.24707618318942001</v>
      </c>
    </row>
    <row r="17" spans="1:6" x14ac:dyDescent="0.3">
      <c r="A17" s="4" t="s">
        <v>436</v>
      </c>
      <c r="B17" s="87">
        <f>'Merge data sheet'!B84</f>
        <v>-1.7</v>
      </c>
      <c r="C17" s="87">
        <f>'Merge data sheet'!C84</f>
        <v>-2</v>
      </c>
      <c r="D17" s="87">
        <f>'Merge data sheet'!D84</f>
        <v>-2.5</v>
      </c>
      <c r="E17" s="87">
        <f>'Merge data sheet'!E84</f>
        <v>-3.3</v>
      </c>
      <c r="F17" s="87">
        <f>'Merge data sheet'!F84</f>
        <v>35.4</v>
      </c>
    </row>
    <row r="18" spans="1:6" x14ac:dyDescent="0.3">
      <c r="A18" s="86" t="s">
        <v>437</v>
      </c>
      <c r="B18" s="4">
        <f>B14-B15-B17</f>
        <v>2300.1999999999998</v>
      </c>
      <c r="C18" s="4">
        <f>C14-C15-C17</f>
        <v>4412.3</v>
      </c>
      <c r="D18" s="4">
        <f>D14-D15-D17</f>
        <v>4587.1000000000004</v>
      </c>
      <c r="E18" s="4">
        <f>E14-E15-E17</f>
        <v>4605.3</v>
      </c>
      <c r="F18" s="4">
        <f>F14-F15-F17</f>
        <v>5475.4</v>
      </c>
    </row>
    <row r="20" spans="1:6" x14ac:dyDescent="0.3">
      <c r="A20" s="212" t="s">
        <v>438</v>
      </c>
      <c r="B20" s="212"/>
      <c r="C20" s="212"/>
    </row>
    <row r="21" spans="1:6" x14ac:dyDescent="0.3">
      <c r="A21" s="41" t="s">
        <v>439</v>
      </c>
      <c r="B21" s="7">
        <f>AVERAGE(C4:F4)</f>
        <v>0.34284626415671698</v>
      </c>
      <c r="C21" s="4"/>
    </row>
    <row r="22" spans="1:6" x14ac:dyDescent="0.3">
      <c r="A22" s="41" t="s">
        <v>440</v>
      </c>
      <c r="B22" s="7">
        <f>(F3/B3)^(1/5)-1</f>
        <v>0.21976757636333599</v>
      </c>
      <c r="C22" s="7">
        <f>_xlfn.RRI(5,B3,F3)</f>
        <v>0.21976757636333599</v>
      </c>
      <c r="D22" s="1" t="s">
        <v>441</v>
      </c>
    </row>
    <row r="24" spans="1:6" x14ac:dyDescent="0.3">
      <c r="A24" s="90" t="s">
        <v>442</v>
      </c>
    </row>
    <row r="25" spans="1:6" x14ac:dyDescent="0.3">
      <c r="A25" s="91" t="s">
        <v>156</v>
      </c>
      <c r="B25" s="7">
        <f>B9/B3</f>
        <v>0.195191687887317</v>
      </c>
      <c r="C25" s="7">
        <f>C9/C3</f>
        <v>0.18406111563149799</v>
      </c>
      <c r="D25" s="7">
        <f>D9/D3</f>
        <v>0.17984063969366801</v>
      </c>
      <c r="E25" s="7">
        <f>E9/E3</f>
        <v>0.170881996206072</v>
      </c>
      <c r="F25" s="7">
        <f>F9/F3</f>
        <v>0.17857784416984199</v>
      </c>
    </row>
    <row r="26" spans="1:6" x14ac:dyDescent="0.3">
      <c r="A26" s="91" t="s">
        <v>157</v>
      </c>
      <c r="B26" s="7">
        <f>B11/B3</f>
        <v>0.17254143611148301</v>
      </c>
      <c r="C26" s="7">
        <f>C11/C3</f>
        <v>0.16228189132989801</v>
      </c>
      <c r="D26" s="7">
        <f>D11/D3</f>
        <v>0.156784075231579</v>
      </c>
      <c r="E26" s="7">
        <f>E11/E3</f>
        <v>0.14479545149586501</v>
      </c>
      <c r="F26" s="7">
        <f>F11/F3</f>
        <v>0.15366269890043399</v>
      </c>
    </row>
    <row r="27" spans="1:6" x14ac:dyDescent="0.3">
      <c r="A27" s="91" t="s">
        <v>433</v>
      </c>
      <c r="B27" s="7">
        <f>B14/B3</f>
        <v>0.19768072654400201</v>
      </c>
      <c r="C27" s="7">
        <f>C14/C3</f>
        <v>0.17453213995118</v>
      </c>
      <c r="D27" s="7">
        <f>D14/D3</f>
        <v>0.17030436129177601</v>
      </c>
      <c r="E27" s="7">
        <f>E14/E3</f>
        <v>0.16349672832896101</v>
      </c>
      <c r="F27" s="7">
        <f>F14/F3</f>
        <v>0.17299965018105501</v>
      </c>
    </row>
    <row r="28" spans="1:6" x14ac:dyDescent="0.3">
      <c r="A28" s="91" t="s">
        <v>443</v>
      </c>
      <c r="B28" s="7">
        <f>B18/B3</f>
        <v>0.14680222354120001</v>
      </c>
      <c r="C28" s="7">
        <f>C18/C3</f>
        <v>0.13296868878642701</v>
      </c>
      <c r="D28" s="7">
        <f>D18/D3</f>
        <v>0.12915223695695</v>
      </c>
      <c r="E28" s="7">
        <f>E18/E3</f>
        <v>0.121166277714487</v>
      </c>
      <c r="F28" s="7">
        <f>F18/F3</f>
        <v>0.12941882782289699</v>
      </c>
    </row>
    <row r="29" spans="1:6" x14ac:dyDescent="0.3">
      <c r="A29" s="71"/>
    </row>
    <row r="30" spans="1:6" x14ac:dyDescent="0.3">
      <c r="A30" s="90" t="s">
        <v>435</v>
      </c>
    </row>
    <row r="31" spans="1:6" x14ac:dyDescent="0.3">
      <c r="A31" s="91" t="s">
        <v>444</v>
      </c>
      <c r="B31" s="7">
        <f>B15/B14</f>
        <v>0.25792600245367098</v>
      </c>
      <c r="C31" s="7">
        <f>C15/C14</f>
        <v>0.238487438487439</v>
      </c>
      <c r="D31" s="7">
        <f>D15/D14</f>
        <v>0.24205201117595501</v>
      </c>
      <c r="E31" s="7">
        <f>E15/E14</f>
        <v>0.25943806121463803</v>
      </c>
      <c r="F31" s="7">
        <f>F15/F14</f>
        <v>0.24707618318942001</v>
      </c>
    </row>
    <row r="32" spans="1:6" x14ac:dyDescent="0.3">
      <c r="A32" s="91" t="s">
        <v>445</v>
      </c>
      <c r="B32" s="92">
        <v>0.25</v>
      </c>
      <c r="C32" s="92">
        <v>0.25</v>
      </c>
      <c r="D32" s="92">
        <v>0.25</v>
      </c>
      <c r="E32" s="92">
        <v>0.25</v>
      </c>
      <c r="F32" s="92">
        <v>0.25</v>
      </c>
    </row>
    <row r="33" spans="1:6" x14ac:dyDescent="0.3">
      <c r="A33" s="71"/>
    </row>
    <row r="34" spans="1:6" x14ac:dyDescent="0.3">
      <c r="A34" s="90" t="s">
        <v>446</v>
      </c>
    </row>
    <row r="35" spans="1:6" x14ac:dyDescent="0.3">
      <c r="A35" s="91" t="s">
        <v>447</v>
      </c>
      <c r="B35" s="4">
        <f>B11*(1-B32)</f>
        <v>2027.625</v>
      </c>
      <c r="C35" s="4">
        <f>C11*(1-C32)</f>
        <v>4038.75</v>
      </c>
      <c r="D35" s="4">
        <f>D11*(1-D32)</f>
        <v>4176.375</v>
      </c>
      <c r="E35" s="4">
        <f>E11*(1-E32)</f>
        <v>4127.55</v>
      </c>
      <c r="F35" s="4">
        <f>F11*(1-F32)</f>
        <v>4875.8249999999998</v>
      </c>
    </row>
    <row r="36" spans="1:6" x14ac:dyDescent="0.3">
      <c r="A36" s="91" t="s">
        <v>448</v>
      </c>
      <c r="B36" s="87">
        <f>'Merge data sheet'!B11</f>
        <v>8814.6</v>
      </c>
      <c r="C36" s="87">
        <f>'Merge data sheet'!C11</f>
        <v>16592.099999999999</v>
      </c>
      <c r="D36" s="87">
        <f>'Merge data sheet'!D11</f>
        <v>20017.099999999999</v>
      </c>
      <c r="E36" s="87">
        <f>'Merge data sheet'!E11</f>
        <v>22698.2</v>
      </c>
      <c r="F36" s="87">
        <f>'Merge data sheet'!F11</f>
        <v>24025</v>
      </c>
    </row>
    <row r="37" spans="1:6" x14ac:dyDescent="0.3">
      <c r="A37" s="91" t="s">
        <v>449</v>
      </c>
      <c r="B37" s="4">
        <f>'Merge data sheet'!B21+'Merge data sheet'!B15</f>
        <v>835.5</v>
      </c>
      <c r="C37" s="4">
        <f>'Merge data sheet'!C21+'Merge data sheet'!C15</f>
        <v>125.3</v>
      </c>
      <c r="D37" s="4">
        <f>'Merge data sheet'!D21+'Merge data sheet'!D15</f>
        <v>40.700000000000003</v>
      </c>
      <c r="E37" s="4">
        <f>'Merge data sheet'!E21+'Merge data sheet'!E15</f>
        <v>2.2999999999999998</v>
      </c>
      <c r="F37" s="4">
        <f>'Merge data sheet'!F21+'Merge data sheet'!F15</f>
        <v>0</v>
      </c>
    </row>
    <row r="38" spans="1:6" x14ac:dyDescent="0.3">
      <c r="A38" s="91" t="s">
        <v>450</v>
      </c>
      <c r="B38" s="87">
        <f>'Merge data sheet'!B43</f>
        <v>777.3</v>
      </c>
      <c r="C38" s="87">
        <f>'Merge data sheet'!C43</f>
        <v>2932</v>
      </c>
      <c r="D38" s="87">
        <f>'Merge data sheet'!D43</f>
        <v>2816</v>
      </c>
      <c r="E38" s="87">
        <f>'Merge data sheet'!E43</f>
        <v>3588.2</v>
      </c>
      <c r="F38" s="87">
        <f>'Merge data sheet'!F43</f>
        <v>2812.4</v>
      </c>
    </row>
    <row r="39" spans="1:6" x14ac:dyDescent="0.3">
      <c r="A39" s="91" t="s">
        <v>451</v>
      </c>
      <c r="B39" s="4">
        <f>B36+B37+B38</f>
        <v>10427.4</v>
      </c>
      <c r="C39" s="4">
        <f>C36+C37+C38</f>
        <v>19649.400000000001</v>
      </c>
      <c r="D39" s="4">
        <f>D36+D37+D38</f>
        <v>22873.8</v>
      </c>
      <c r="E39" s="4">
        <f>E36+E37+E38</f>
        <v>26288.7</v>
      </c>
      <c r="F39" s="4">
        <f>F36+F37+F38</f>
        <v>26837.4</v>
      </c>
    </row>
    <row r="40" spans="1:6" x14ac:dyDescent="0.3">
      <c r="A40" s="71"/>
    </row>
    <row r="41" spans="1:6" x14ac:dyDescent="0.3">
      <c r="A41" s="91" t="s">
        <v>452</v>
      </c>
      <c r="B41" s="7">
        <f>B11/B39</f>
        <v>0.25926884937760097</v>
      </c>
      <c r="C41" s="7">
        <f>C11/C39</f>
        <v>0.27405416959296502</v>
      </c>
      <c r="D41" s="7">
        <f>D11/D39</f>
        <v>0.24344446484624299</v>
      </c>
      <c r="E41" s="7">
        <f>E11/E39</f>
        <v>0.20934469943359699</v>
      </c>
      <c r="F41" s="7">
        <f>F11/F39</f>
        <v>0.24224030643802999</v>
      </c>
    </row>
    <row r="42" spans="1:6" x14ac:dyDescent="0.3">
      <c r="A42" s="91" t="s">
        <v>453</v>
      </c>
      <c r="B42" s="7">
        <f>B35/B39</f>
        <v>0.19445163703320101</v>
      </c>
      <c r="C42" s="7">
        <f>C35/C39</f>
        <v>0.20554062719472299</v>
      </c>
      <c r="D42" s="7">
        <f>D35/D39</f>
        <v>0.18258334863468301</v>
      </c>
      <c r="E42" s="7">
        <f>E35/E39</f>
        <v>0.15700852457519801</v>
      </c>
      <c r="F42" s="7">
        <f>F35/F39</f>
        <v>0.181680229828523</v>
      </c>
    </row>
    <row r="43" spans="1:6" x14ac:dyDescent="0.3">
      <c r="A43" s="76" t="s">
        <v>454</v>
      </c>
    </row>
    <row r="44" spans="1:6" x14ac:dyDescent="0.3">
      <c r="A44" s="93"/>
      <c r="B44" s="94"/>
      <c r="C44" s="94"/>
      <c r="D44" s="94"/>
      <c r="E44" s="94"/>
      <c r="F44" s="94"/>
    </row>
    <row r="45" spans="1:6" x14ac:dyDescent="0.3">
      <c r="A45" s="93"/>
      <c r="B45" s="94"/>
      <c r="C45" s="94"/>
      <c r="D45" s="94"/>
      <c r="E45" s="94"/>
      <c r="F45" s="94"/>
    </row>
    <row r="46" spans="1:6" x14ac:dyDescent="0.3">
      <c r="A46" s="95" t="s">
        <v>455</v>
      </c>
      <c r="B46" s="96"/>
      <c r="C46" s="97">
        <f>FCFF!B12*'Assumptions (Historical FS)'!F42</f>
        <v>4.0507542230255197E-2</v>
      </c>
      <c r="D46" s="94"/>
      <c r="E46" s="94"/>
      <c r="F46" s="94"/>
    </row>
  </sheetData>
  <mergeCells count="2">
    <mergeCell ref="A1:F1"/>
    <mergeCell ref="A20:C20"/>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E5FA3"/>
  </sheetPr>
  <dimension ref="A1:J102"/>
  <sheetViews>
    <sheetView workbookViewId="0">
      <selection activeCell="A93" sqref="A93:F95"/>
    </sheetView>
  </sheetViews>
  <sheetFormatPr defaultColWidth="8.6640625" defaultRowHeight="14.4" x14ac:dyDescent="0.3"/>
  <cols>
    <col min="1" max="1" width="53.5546875" style="1" customWidth="1"/>
  </cols>
  <sheetData>
    <row r="1" spans="1:10" x14ac:dyDescent="0.3">
      <c r="A1" s="232" t="s">
        <v>273</v>
      </c>
      <c r="B1" s="232"/>
      <c r="C1" s="232"/>
      <c r="D1" s="232"/>
      <c r="E1" s="232"/>
      <c r="F1" s="232"/>
    </row>
    <row r="2" spans="1:10" x14ac:dyDescent="0.3">
      <c r="A2" s="259" t="s">
        <v>175</v>
      </c>
      <c r="B2" s="260">
        <v>44621</v>
      </c>
      <c r="C2" s="261" t="s">
        <v>270</v>
      </c>
      <c r="D2" s="261" t="s">
        <v>177</v>
      </c>
      <c r="E2" s="261" t="s">
        <v>176</v>
      </c>
      <c r="F2" s="261" t="s">
        <v>271</v>
      </c>
    </row>
    <row r="3" spans="1:10" x14ac:dyDescent="0.3">
      <c r="A3" s="237" t="s">
        <v>179</v>
      </c>
      <c r="B3" s="237" t="s">
        <v>180</v>
      </c>
      <c r="C3" s="237" t="s">
        <v>180</v>
      </c>
      <c r="D3" s="237" t="s">
        <v>180</v>
      </c>
      <c r="E3" s="237" t="s">
        <v>180</v>
      </c>
      <c r="F3" s="237" t="s">
        <v>180</v>
      </c>
    </row>
    <row r="4" spans="1:10" x14ac:dyDescent="0.3">
      <c r="A4" s="238" t="s">
        <v>181</v>
      </c>
      <c r="B4" s="236"/>
      <c r="C4" s="239"/>
      <c r="D4" s="239"/>
      <c r="E4" s="239"/>
      <c r="F4" s="236"/>
    </row>
    <row r="5" spans="1:10" x14ac:dyDescent="0.3">
      <c r="A5" s="237" t="s">
        <v>182</v>
      </c>
      <c r="B5" s="236"/>
      <c r="C5" s="239"/>
      <c r="D5" s="239"/>
      <c r="E5" s="239"/>
      <c r="F5" s="236"/>
    </row>
    <row r="6" spans="1:10" x14ac:dyDescent="0.3">
      <c r="A6" s="240" t="s">
        <v>183</v>
      </c>
      <c r="B6" s="241">
        <f>'Consolidated Balance sheet'!E6</f>
        <v>17.5</v>
      </c>
      <c r="C6" s="241">
        <f>'Consolidated Balance sheet'!F6</f>
        <v>29.6</v>
      </c>
      <c r="D6" s="241">
        <f>'Consolidated Balance sheet'!G6</f>
        <v>29.6</v>
      </c>
      <c r="E6" s="241">
        <f>'Consolidated Balance sheet'!H6</f>
        <v>29.6</v>
      </c>
      <c r="F6" s="241">
        <f>'Consolidated Balance sheet'!I6</f>
        <v>29.6</v>
      </c>
    </row>
    <row r="7" spans="1:10" x14ac:dyDescent="0.3">
      <c r="A7" s="242" t="s">
        <v>184</v>
      </c>
      <c r="B7" s="241">
        <f>'Consolidated Balance sheet'!E7</f>
        <v>17.5</v>
      </c>
      <c r="C7" s="241">
        <f>'Consolidated Balance sheet'!F7</f>
        <v>29.6</v>
      </c>
      <c r="D7" s="241">
        <f>'Consolidated Balance sheet'!G7</f>
        <v>29.6</v>
      </c>
      <c r="E7" s="241">
        <f>'Consolidated Balance sheet'!H7</f>
        <v>29.6</v>
      </c>
      <c r="F7" s="241">
        <f>'Consolidated Balance sheet'!I7</f>
        <v>29.6</v>
      </c>
    </row>
    <row r="8" spans="1:10" x14ac:dyDescent="0.3">
      <c r="A8" s="240" t="s">
        <v>185</v>
      </c>
      <c r="B8" s="241">
        <f>'Consolidated Balance sheet'!E8</f>
        <v>8797.1</v>
      </c>
      <c r="C8" s="241">
        <f>'Consolidated Balance sheet'!F8</f>
        <v>16078.6</v>
      </c>
      <c r="D8" s="241">
        <f>'Consolidated Balance sheet'!G8</f>
        <v>19503.599999999999</v>
      </c>
      <c r="E8" s="241">
        <f>'Consolidated Balance sheet'!H8</f>
        <v>22434.9</v>
      </c>
      <c r="F8" s="241">
        <f>'Consolidated Balance sheet'!I8</f>
        <v>23995.4</v>
      </c>
    </row>
    <row r="9" spans="1:10" x14ac:dyDescent="0.3">
      <c r="A9" s="242" t="s">
        <v>186</v>
      </c>
      <c r="B9" s="241">
        <f>'Consolidated Balance sheet'!E9</f>
        <v>8797.1</v>
      </c>
      <c r="C9" s="241">
        <f>'Consolidated Balance sheet'!F9</f>
        <v>16078.6</v>
      </c>
      <c r="D9" s="241">
        <f>'Consolidated Balance sheet'!G9</f>
        <v>19503.599999999999</v>
      </c>
      <c r="E9" s="241">
        <f>'Consolidated Balance sheet'!H9</f>
        <v>22434.9</v>
      </c>
      <c r="F9" s="241">
        <f>'Consolidated Balance sheet'!I9</f>
        <v>23995.4</v>
      </c>
    </row>
    <row r="10" spans="1:10" x14ac:dyDescent="0.3">
      <c r="A10" s="240" t="s">
        <v>187</v>
      </c>
      <c r="B10" s="241">
        <f>'Consolidated Balance sheet'!E10</f>
        <v>0</v>
      </c>
      <c r="C10" s="241">
        <f>'Consolidated Balance sheet'!F10</f>
        <v>483.9</v>
      </c>
      <c r="D10" s="241">
        <f>'Consolidated Balance sheet'!G10</f>
        <v>483.9</v>
      </c>
      <c r="E10" s="241">
        <f>'Consolidated Balance sheet'!H10</f>
        <v>233.7</v>
      </c>
      <c r="F10" s="241">
        <f>'Consolidated Balance sheet'!I10</f>
        <v>0</v>
      </c>
    </row>
    <row r="11" spans="1:10" x14ac:dyDescent="0.3">
      <c r="A11" s="242" t="s">
        <v>188</v>
      </c>
      <c r="B11" s="241">
        <f>'Consolidated Balance sheet'!E11</f>
        <v>8814.6</v>
      </c>
      <c r="C11" s="241">
        <f>'Consolidated Balance sheet'!F11</f>
        <v>16592.099999999999</v>
      </c>
      <c r="D11" s="241">
        <f>'Consolidated Balance sheet'!G11</f>
        <v>20017.099999999999</v>
      </c>
      <c r="E11" s="241">
        <f>'Consolidated Balance sheet'!H11</f>
        <v>22698.2</v>
      </c>
      <c r="F11" s="241">
        <f>'Consolidated Balance sheet'!I11</f>
        <v>24025</v>
      </c>
    </row>
    <row r="12" spans="1:10" x14ac:dyDescent="0.3">
      <c r="A12" s="240" t="s">
        <v>189</v>
      </c>
      <c r="B12" s="241">
        <f>'Consolidated Balance sheet'!E12</f>
        <v>0</v>
      </c>
      <c r="C12" s="241">
        <f>'Consolidated Balance sheet'!F12</f>
        <v>0</v>
      </c>
      <c r="D12" s="241">
        <f>'Consolidated Balance sheet'!G12</f>
        <v>0.1</v>
      </c>
      <c r="E12" s="241">
        <f>'Consolidated Balance sheet'!H12</f>
        <v>0.1</v>
      </c>
      <c r="F12" s="241">
        <f>'Consolidated Balance sheet'!I12</f>
        <v>0</v>
      </c>
    </row>
    <row r="13" spans="1:10" x14ac:dyDescent="0.3">
      <c r="A13" s="243" t="s">
        <v>171</v>
      </c>
      <c r="B13" s="241">
        <f>'Consolidated Balance sheet'!E13</f>
        <v>5.7</v>
      </c>
      <c r="C13" s="241">
        <f>'Consolidated Balance sheet'!F13</f>
        <v>7.1</v>
      </c>
      <c r="D13" s="241">
        <f>'Consolidated Balance sheet'!G13</f>
        <v>9.1999999999999993</v>
      </c>
      <c r="E13" s="241">
        <f>'Consolidated Balance sheet'!H13</f>
        <v>13.2</v>
      </c>
      <c r="F13" s="241">
        <f>'Consolidated Balance sheet'!I13</f>
        <v>82.7</v>
      </c>
      <c r="J13" s="1" t="s">
        <v>456</v>
      </c>
    </row>
    <row r="14" spans="1:10" x14ac:dyDescent="0.3">
      <c r="A14" s="244" t="s">
        <v>190</v>
      </c>
      <c r="B14" s="241">
        <f>'Consolidated Balance sheet'!E14</f>
        <v>0</v>
      </c>
      <c r="C14" s="241">
        <f>'Consolidated Balance sheet'!F14</f>
        <v>0</v>
      </c>
      <c r="D14" s="241">
        <f>'Consolidated Balance sheet'!G14</f>
        <v>0</v>
      </c>
      <c r="E14" s="241">
        <f>'Consolidated Balance sheet'!H14</f>
        <v>0</v>
      </c>
      <c r="F14" s="241">
        <f>'Consolidated Balance sheet'!I14</f>
        <v>0</v>
      </c>
    </row>
    <row r="15" spans="1:10" x14ac:dyDescent="0.3">
      <c r="A15" s="243" t="s">
        <v>275</v>
      </c>
      <c r="B15" s="241">
        <f>'Consolidated Balance sheet'!E15</f>
        <v>667.5</v>
      </c>
      <c r="C15" s="241">
        <f>'Consolidated Balance sheet'!F15</f>
        <v>0</v>
      </c>
      <c r="D15" s="241">
        <f>'Consolidated Balance sheet'!G15</f>
        <v>0</v>
      </c>
      <c r="E15" s="241">
        <f>'Consolidated Balance sheet'!H15</f>
        <v>0</v>
      </c>
      <c r="F15" s="241">
        <f>'Consolidated Balance sheet'!I15</f>
        <v>0</v>
      </c>
    </row>
    <row r="16" spans="1:10" x14ac:dyDescent="0.3">
      <c r="A16" s="240" t="s">
        <v>276</v>
      </c>
      <c r="B16" s="241">
        <f>'Consolidated Balance sheet'!E16</f>
        <v>10.5</v>
      </c>
      <c r="C16" s="241">
        <f>'Consolidated Balance sheet'!F16</f>
        <v>14.7</v>
      </c>
      <c r="D16" s="241">
        <f>'Consolidated Balance sheet'!G16</f>
        <v>18.7</v>
      </c>
      <c r="E16" s="241">
        <f>'Consolidated Balance sheet'!H16</f>
        <v>31.9</v>
      </c>
      <c r="F16" s="241">
        <f>'Consolidated Balance sheet'!I16</f>
        <v>47.5</v>
      </c>
    </row>
    <row r="17" spans="1:6" x14ac:dyDescent="0.3">
      <c r="A17" s="243" t="s">
        <v>191</v>
      </c>
      <c r="B17" s="241">
        <f>'Consolidated Balance sheet'!E17</f>
        <v>52.7</v>
      </c>
      <c r="C17" s="241">
        <f>'Consolidated Balance sheet'!F17</f>
        <v>1364.6</v>
      </c>
      <c r="D17" s="241">
        <f>'Consolidated Balance sheet'!G17</f>
        <v>1759</v>
      </c>
      <c r="E17" s="241">
        <f>'Consolidated Balance sheet'!H17</f>
        <v>1901</v>
      </c>
      <c r="F17" s="241">
        <f>'Consolidated Balance sheet'!I17</f>
        <v>3235.6</v>
      </c>
    </row>
    <row r="18" spans="1:6" x14ac:dyDescent="0.3">
      <c r="A18" s="240" t="s">
        <v>192</v>
      </c>
      <c r="B18" s="241">
        <f>'Consolidated Balance sheet'!E18</f>
        <v>0</v>
      </c>
      <c r="C18" s="241">
        <f>'Consolidated Balance sheet'!F18</f>
        <v>35</v>
      </c>
      <c r="D18" s="241">
        <f>'Consolidated Balance sheet'!G18</f>
        <v>15.7</v>
      </c>
      <c r="E18" s="241">
        <f>'Consolidated Balance sheet'!H18</f>
        <v>19.7</v>
      </c>
      <c r="F18" s="241">
        <f>'Consolidated Balance sheet'!I18</f>
        <v>21.5</v>
      </c>
    </row>
    <row r="19" spans="1:6" x14ac:dyDescent="0.3">
      <c r="A19" s="242" t="s">
        <v>193</v>
      </c>
      <c r="B19" s="241">
        <f>'Consolidated Balance sheet'!E19</f>
        <v>730.7</v>
      </c>
      <c r="C19" s="241">
        <f>'Consolidated Balance sheet'!F19</f>
        <v>1414.3</v>
      </c>
      <c r="D19" s="241">
        <f>'Consolidated Balance sheet'!G19</f>
        <v>1793.4</v>
      </c>
      <c r="E19" s="241">
        <f>'Consolidated Balance sheet'!H19</f>
        <v>1952.6</v>
      </c>
      <c r="F19" s="241">
        <f>'Consolidated Balance sheet'!I19</f>
        <v>3304.6</v>
      </c>
    </row>
    <row r="20" spans="1:6" x14ac:dyDescent="0.3">
      <c r="A20" s="244" t="s">
        <v>194</v>
      </c>
      <c r="B20" s="241">
        <f>'Consolidated Balance sheet'!E20</f>
        <v>0</v>
      </c>
      <c r="C20" s="241">
        <f>'Consolidated Balance sheet'!F20</f>
        <v>0</v>
      </c>
      <c r="D20" s="241">
        <f>'Consolidated Balance sheet'!G20</f>
        <v>0</v>
      </c>
      <c r="E20" s="241">
        <f>'Consolidated Balance sheet'!H20</f>
        <v>0</v>
      </c>
      <c r="F20" s="241">
        <f>'Consolidated Balance sheet'!I20</f>
        <v>0</v>
      </c>
    </row>
    <row r="21" spans="1:6" x14ac:dyDescent="0.3">
      <c r="A21" s="243" t="s">
        <v>277</v>
      </c>
      <c r="B21" s="241">
        <f>'Consolidated Balance sheet'!E21</f>
        <v>168</v>
      </c>
      <c r="C21" s="241">
        <f>'Consolidated Balance sheet'!F21</f>
        <v>125.3</v>
      </c>
      <c r="D21" s="241">
        <f>'Consolidated Balance sheet'!G21</f>
        <v>40.700000000000003</v>
      </c>
      <c r="E21" s="241">
        <f>'Consolidated Balance sheet'!H21</f>
        <v>2.2999999999999998</v>
      </c>
      <c r="F21" s="241">
        <f>'Consolidated Balance sheet'!I21</f>
        <v>0</v>
      </c>
    </row>
    <row r="22" spans="1:6" x14ac:dyDescent="0.3">
      <c r="A22" s="240" t="s">
        <v>195</v>
      </c>
      <c r="B22" s="241">
        <f>'Consolidated Balance sheet'!E22</f>
        <v>802.8</v>
      </c>
      <c r="C22" s="241">
        <f>'Consolidated Balance sheet'!F22</f>
        <v>1293.8</v>
      </c>
      <c r="D22" s="241">
        <f>'Consolidated Balance sheet'!G22</f>
        <v>1493.9</v>
      </c>
      <c r="E22" s="241">
        <f>'Consolidated Balance sheet'!H22</f>
        <v>1549.9</v>
      </c>
      <c r="F22" s="241">
        <f>'Consolidated Balance sheet'!I22</f>
        <v>2061</v>
      </c>
    </row>
    <row r="23" spans="1:6" x14ac:dyDescent="0.3">
      <c r="A23" s="243" t="s">
        <v>196</v>
      </c>
      <c r="B23" s="241">
        <f>'Consolidated Balance sheet'!E23</f>
        <v>1560.1</v>
      </c>
      <c r="C23" s="241">
        <f>'Consolidated Balance sheet'!F23</f>
        <v>3250.1</v>
      </c>
      <c r="D23" s="241">
        <f>'Consolidated Balance sheet'!G23</f>
        <v>3360</v>
      </c>
      <c r="E23" s="241">
        <f>'Consolidated Balance sheet'!H23</f>
        <v>3444.6</v>
      </c>
      <c r="F23" s="241">
        <f>'Consolidated Balance sheet'!I23</f>
        <v>6548.6</v>
      </c>
    </row>
    <row r="24" spans="1:6" x14ac:dyDescent="0.3">
      <c r="A24" s="240" t="s">
        <v>197</v>
      </c>
      <c r="B24" s="241">
        <f>'Consolidated Balance sheet'!E24</f>
        <v>387.4</v>
      </c>
      <c r="C24" s="241">
        <f>'Consolidated Balance sheet'!F24</f>
        <v>813.4</v>
      </c>
      <c r="D24" s="241">
        <f>'Consolidated Balance sheet'!G24</f>
        <v>848.6</v>
      </c>
      <c r="E24" s="241">
        <f>'Consolidated Balance sheet'!H24</f>
        <v>969.1</v>
      </c>
      <c r="F24" s="241">
        <f>'Consolidated Balance sheet'!I24</f>
        <v>1174.0999999999999</v>
      </c>
    </row>
    <row r="25" spans="1:6" x14ac:dyDescent="0.3">
      <c r="A25" s="242" t="s">
        <v>198</v>
      </c>
      <c r="B25" s="241">
        <f>'Consolidated Balance sheet'!E25</f>
        <v>2918.3</v>
      </c>
      <c r="C25" s="241">
        <f>'Consolidated Balance sheet'!F25</f>
        <v>5482.6</v>
      </c>
      <c r="D25" s="241">
        <f>'Consolidated Balance sheet'!G25</f>
        <v>5743.2</v>
      </c>
      <c r="E25" s="241">
        <f>'Consolidated Balance sheet'!H25</f>
        <v>5965.9</v>
      </c>
      <c r="F25" s="241">
        <f>'Consolidated Balance sheet'!I25</f>
        <v>9783.7000000000007</v>
      </c>
    </row>
    <row r="26" spans="1:6" x14ac:dyDescent="0.3">
      <c r="A26" s="242" t="s">
        <v>199</v>
      </c>
      <c r="B26" s="241">
        <f>'Consolidated Balance sheet'!E26</f>
        <v>12469.3</v>
      </c>
      <c r="C26" s="241">
        <f>'Consolidated Balance sheet'!F26</f>
        <v>23496.1</v>
      </c>
      <c r="D26" s="241">
        <f>'Consolidated Balance sheet'!G26</f>
        <v>27563</v>
      </c>
      <c r="E26" s="241">
        <f>'Consolidated Balance sheet'!H26</f>
        <v>30630</v>
      </c>
      <c r="F26" s="241">
        <f>'Consolidated Balance sheet'!I26</f>
        <v>37196</v>
      </c>
    </row>
    <row r="27" spans="1:6" x14ac:dyDescent="0.3">
      <c r="A27" s="245" t="s">
        <v>200</v>
      </c>
      <c r="B27" s="241">
        <f>'Consolidated Balance sheet'!E27</f>
        <v>0</v>
      </c>
      <c r="C27" s="241">
        <f>'Consolidated Balance sheet'!F27</f>
        <v>0</v>
      </c>
      <c r="D27" s="241">
        <f>'Consolidated Balance sheet'!G27</f>
        <v>0</v>
      </c>
      <c r="E27" s="241">
        <f>'Consolidated Balance sheet'!H27</f>
        <v>0</v>
      </c>
      <c r="F27" s="241">
        <f>'Consolidated Balance sheet'!I27</f>
        <v>0</v>
      </c>
    </row>
    <row r="28" spans="1:6" x14ac:dyDescent="0.3">
      <c r="A28" s="244" t="s">
        <v>201</v>
      </c>
      <c r="B28" s="241">
        <f>'Consolidated Balance sheet'!E28</f>
        <v>0</v>
      </c>
      <c r="C28" s="241">
        <f>'Consolidated Balance sheet'!F28</f>
        <v>0</v>
      </c>
      <c r="D28" s="241">
        <f>'Consolidated Balance sheet'!G28</f>
        <v>0</v>
      </c>
      <c r="E28" s="241">
        <f>'Consolidated Balance sheet'!H28</f>
        <v>0</v>
      </c>
      <c r="F28" s="241">
        <f>'Consolidated Balance sheet'!I28</f>
        <v>0</v>
      </c>
    </row>
    <row r="29" spans="1:6" x14ac:dyDescent="0.3">
      <c r="A29" s="243" t="s">
        <v>202</v>
      </c>
      <c r="B29" s="241">
        <f>'Consolidated Balance sheet'!E29</f>
        <v>1135.9000000000001</v>
      </c>
      <c r="C29" s="241">
        <f>'Consolidated Balance sheet'!F29</f>
        <v>2223.6</v>
      </c>
      <c r="D29" s="241">
        <f>'Consolidated Balance sheet'!G29</f>
        <v>3556.8</v>
      </c>
      <c r="E29" s="241">
        <f>'Consolidated Balance sheet'!H29</f>
        <v>3963.1</v>
      </c>
      <c r="F29" s="241">
        <f>'Consolidated Balance sheet'!I29</f>
        <v>4175.6000000000004</v>
      </c>
    </row>
    <row r="30" spans="1:6" x14ac:dyDescent="0.3">
      <c r="A30" s="240" t="s">
        <v>203</v>
      </c>
      <c r="B30" s="241">
        <f>'Consolidated Balance sheet'!E30</f>
        <v>271.8</v>
      </c>
      <c r="C30" s="241">
        <f>'Consolidated Balance sheet'!F30</f>
        <v>266.3</v>
      </c>
      <c r="D30" s="241">
        <f>'Consolidated Balance sheet'!G30</f>
        <v>231.3</v>
      </c>
      <c r="E30" s="241">
        <f>'Consolidated Balance sheet'!H30</f>
        <v>118</v>
      </c>
      <c r="F30" s="241">
        <f>'Consolidated Balance sheet'!I30</f>
        <v>162.9</v>
      </c>
    </row>
    <row r="31" spans="1:6" x14ac:dyDescent="0.3">
      <c r="A31" s="243" t="s">
        <v>204</v>
      </c>
      <c r="B31" s="241">
        <f>'Consolidated Balance sheet'!E31</f>
        <v>437.4</v>
      </c>
      <c r="C31" s="241">
        <f>'Consolidated Balance sheet'!F31</f>
        <v>812.6</v>
      </c>
      <c r="D31" s="241">
        <f>'Consolidated Balance sheet'!G31</f>
        <v>466.9</v>
      </c>
      <c r="E31" s="241">
        <f>'Consolidated Balance sheet'!H31</f>
        <v>581.79999999999995</v>
      </c>
      <c r="F31" s="241">
        <f>'Consolidated Balance sheet'!I31</f>
        <v>917.1</v>
      </c>
    </row>
    <row r="32" spans="1:6" x14ac:dyDescent="0.3">
      <c r="A32" s="240" t="s">
        <v>205</v>
      </c>
      <c r="B32" s="241">
        <f>'Consolidated Balance sheet'!E32</f>
        <v>43.9</v>
      </c>
      <c r="C32" s="241">
        <f>'Consolidated Balance sheet'!F32</f>
        <v>89.7</v>
      </c>
      <c r="D32" s="241">
        <f>'Consolidated Balance sheet'!G32</f>
        <v>83.8</v>
      </c>
      <c r="E32" s="241">
        <f>'Consolidated Balance sheet'!H32</f>
        <v>99.6</v>
      </c>
      <c r="F32" s="241">
        <f>'Consolidated Balance sheet'!I32</f>
        <v>0</v>
      </c>
    </row>
    <row r="33" spans="1:6" x14ac:dyDescent="0.3">
      <c r="A33" s="242" t="s">
        <v>206</v>
      </c>
      <c r="B33" s="241">
        <f>'Consolidated Balance sheet'!E33</f>
        <v>1889</v>
      </c>
      <c r="C33" s="241">
        <f>'Consolidated Balance sheet'!F33</f>
        <v>3392.2</v>
      </c>
      <c r="D33" s="241">
        <f>'Consolidated Balance sheet'!G33</f>
        <v>4338.8</v>
      </c>
      <c r="E33" s="241">
        <f>'Consolidated Balance sheet'!H33</f>
        <v>4762.5</v>
      </c>
      <c r="F33" s="241">
        <f>'Consolidated Balance sheet'!I33</f>
        <v>5255.6</v>
      </c>
    </row>
    <row r="34" spans="1:6" x14ac:dyDescent="0.3">
      <c r="A34" s="240" t="s">
        <v>207</v>
      </c>
      <c r="B34" s="241">
        <f>'Consolidated Balance sheet'!E34</f>
        <v>345.4</v>
      </c>
      <c r="C34" s="241">
        <f>'Consolidated Balance sheet'!F34</f>
        <v>716.5</v>
      </c>
      <c r="D34" s="241">
        <f>'Consolidated Balance sheet'!G34</f>
        <v>1990.2</v>
      </c>
      <c r="E34" s="241">
        <f>'Consolidated Balance sheet'!H34</f>
        <v>2470.6</v>
      </c>
      <c r="F34" s="241">
        <f>'Consolidated Balance sheet'!I34</f>
        <v>532.20000000000005</v>
      </c>
    </row>
    <row r="35" spans="1:6" x14ac:dyDescent="0.3">
      <c r="A35" s="243" t="s">
        <v>208</v>
      </c>
      <c r="B35" s="241">
        <f>'Consolidated Balance sheet'!E35</f>
        <v>54.9</v>
      </c>
      <c r="C35" s="241">
        <f>'Consolidated Balance sheet'!F35</f>
        <v>380.9</v>
      </c>
      <c r="D35" s="241">
        <f>'Consolidated Balance sheet'!G35</f>
        <v>225</v>
      </c>
      <c r="E35" s="241">
        <f>'Consolidated Balance sheet'!H35</f>
        <v>222</v>
      </c>
      <c r="F35" s="241">
        <f>'Consolidated Balance sheet'!I35</f>
        <v>951.8</v>
      </c>
    </row>
    <row r="36" spans="1:6" x14ac:dyDescent="0.3">
      <c r="A36" s="240" t="s">
        <v>209</v>
      </c>
      <c r="B36" s="241">
        <f>'Consolidated Balance sheet'!E36</f>
        <v>0</v>
      </c>
      <c r="C36" s="241">
        <f>'Consolidated Balance sheet'!F36</f>
        <v>0</v>
      </c>
      <c r="D36" s="241">
        <f>'Consolidated Balance sheet'!G36</f>
        <v>0</v>
      </c>
      <c r="E36" s="241">
        <f>'Consolidated Balance sheet'!H36</f>
        <v>0</v>
      </c>
      <c r="F36" s="241">
        <f>'Consolidated Balance sheet'!I36</f>
        <v>0</v>
      </c>
    </row>
    <row r="37" spans="1:6" x14ac:dyDescent="0.3">
      <c r="A37" s="243" t="s">
        <v>210</v>
      </c>
      <c r="B37" s="241">
        <f>'Consolidated Balance sheet'!E37</f>
        <v>624.4</v>
      </c>
      <c r="C37" s="241">
        <f>'Consolidated Balance sheet'!F37</f>
        <v>631.5</v>
      </c>
      <c r="D37" s="241">
        <f>'Consolidated Balance sheet'!G37</f>
        <v>969.9</v>
      </c>
      <c r="E37" s="241">
        <f>'Consolidated Balance sheet'!H37</f>
        <v>1033.4000000000001</v>
      </c>
      <c r="F37" s="241">
        <f>'Consolidated Balance sheet'!I37</f>
        <v>1466.9</v>
      </c>
    </row>
    <row r="38" spans="1:6" x14ac:dyDescent="0.3">
      <c r="A38" s="242" t="s">
        <v>211</v>
      </c>
      <c r="B38" s="241">
        <f>'Consolidated Balance sheet'!E38</f>
        <v>3603.7</v>
      </c>
      <c r="C38" s="241">
        <f>'Consolidated Balance sheet'!F38</f>
        <v>6310.3</v>
      </c>
      <c r="D38" s="241">
        <f>'Consolidated Balance sheet'!G38</f>
        <v>8716.6</v>
      </c>
      <c r="E38" s="241">
        <f>'Consolidated Balance sheet'!H38</f>
        <v>9692.1</v>
      </c>
      <c r="F38" s="241">
        <f>'Consolidated Balance sheet'!I38</f>
        <v>9498.7999999999993</v>
      </c>
    </row>
    <row r="39" spans="1:6" x14ac:dyDescent="0.3">
      <c r="A39" s="244" t="s">
        <v>212</v>
      </c>
      <c r="B39" s="241">
        <f>'Consolidated Balance sheet'!E39</f>
        <v>0</v>
      </c>
      <c r="C39" s="241">
        <f>'Consolidated Balance sheet'!F39</f>
        <v>0</v>
      </c>
      <c r="D39" s="241">
        <f>'Consolidated Balance sheet'!G39</f>
        <v>0</v>
      </c>
      <c r="E39" s="241">
        <f>'Consolidated Balance sheet'!H39</f>
        <v>0</v>
      </c>
      <c r="F39" s="241">
        <f>'Consolidated Balance sheet'!I39</f>
        <v>0</v>
      </c>
    </row>
    <row r="40" spans="1:6" x14ac:dyDescent="0.3">
      <c r="A40" s="240" t="s">
        <v>213</v>
      </c>
      <c r="B40" s="241">
        <f>'Consolidated Balance sheet'!E40</f>
        <v>3136.6</v>
      </c>
      <c r="C40" s="241">
        <f>'Consolidated Balance sheet'!F40</f>
        <v>4741.8</v>
      </c>
      <c r="D40" s="241">
        <f>'Consolidated Balance sheet'!G40</f>
        <v>6753.4</v>
      </c>
      <c r="E40" s="241">
        <f>'Consolidated Balance sheet'!H40</f>
        <v>7374</v>
      </c>
      <c r="F40" s="241">
        <f>'Consolidated Balance sheet'!I40</f>
        <v>12035.5</v>
      </c>
    </row>
    <row r="41" spans="1:6" x14ac:dyDescent="0.3">
      <c r="A41" s="243" t="s">
        <v>214</v>
      </c>
      <c r="B41" s="241">
        <f>'Consolidated Balance sheet'!E41</f>
        <v>0</v>
      </c>
      <c r="C41" s="241">
        <f>'Consolidated Balance sheet'!F41</f>
        <v>3.3</v>
      </c>
      <c r="D41" s="241">
        <f>'Consolidated Balance sheet'!G41</f>
        <v>3</v>
      </c>
      <c r="E41" s="241">
        <f>'Consolidated Balance sheet'!H41</f>
        <v>2.8</v>
      </c>
      <c r="F41" s="241">
        <f>'Consolidated Balance sheet'!I41</f>
        <v>3.3</v>
      </c>
    </row>
    <row r="42" spans="1:6" x14ac:dyDescent="0.3">
      <c r="A42" s="240" t="s">
        <v>215</v>
      </c>
      <c r="B42" s="241">
        <f>'Consolidated Balance sheet'!E42</f>
        <v>2833.5</v>
      </c>
      <c r="C42" s="241">
        <f>'Consolidated Balance sheet'!F42</f>
        <v>5623.4</v>
      </c>
      <c r="D42" s="241">
        <f>'Consolidated Balance sheet'!G42</f>
        <v>5706</v>
      </c>
      <c r="E42" s="241">
        <f>'Consolidated Balance sheet'!H42</f>
        <v>5867.6</v>
      </c>
      <c r="F42" s="241">
        <f>'Consolidated Balance sheet'!I42</f>
        <v>7424.8</v>
      </c>
    </row>
    <row r="43" spans="1:6" x14ac:dyDescent="0.3">
      <c r="A43" s="243" t="s">
        <v>216</v>
      </c>
      <c r="B43" s="241">
        <f>'Consolidated Balance sheet'!E43</f>
        <v>777.3</v>
      </c>
      <c r="C43" s="241">
        <f>'Consolidated Balance sheet'!F43</f>
        <v>2932</v>
      </c>
      <c r="D43" s="241">
        <f>'Consolidated Balance sheet'!G43</f>
        <v>2816</v>
      </c>
      <c r="E43" s="241">
        <f>'Consolidated Balance sheet'!H43</f>
        <v>3588.2</v>
      </c>
      <c r="F43" s="241">
        <f>'Consolidated Balance sheet'!I43</f>
        <v>2812.4</v>
      </c>
    </row>
    <row r="44" spans="1:6" x14ac:dyDescent="0.3">
      <c r="A44" s="240" t="s">
        <v>217</v>
      </c>
      <c r="B44" s="241">
        <f>'Consolidated Balance sheet'!E44</f>
        <v>0</v>
      </c>
      <c r="C44" s="241">
        <f>'Consolidated Balance sheet'!F44</f>
        <v>0</v>
      </c>
      <c r="D44" s="241">
        <f>'Consolidated Balance sheet'!G44</f>
        <v>0</v>
      </c>
      <c r="E44" s="241">
        <f>'Consolidated Balance sheet'!H44</f>
        <v>0</v>
      </c>
      <c r="F44" s="241">
        <f>'Consolidated Balance sheet'!I44</f>
        <v>0</v>
      </c>
    </row>
    <row r="45" spans="1:6" x14ac:dyDescent="0.3">
      <c r="A45" s="243" t="s">
        <v>218</v>
      </c>
      <c r="B45" s="241">
        <f>'Consolidated Balance sheet'!E45</f>
        <v>2118.1999999999998</v>
      </c>
      <c r="C45" s="241">
        <f>'Consolidated Balance sheet'!F45</f>
        <v>3885.3</v>
      </c>
      <c r="D45" s="241">
        <f>'Consolidated Balance sheet'!G45</f>
        <v>3568</v>
      </c>
      <c r="E45" s="241">
        <f>'Consolidated Balance sheet'!H45</f>
        <v>4105.3</v>
      </c>
      <c r="F45" s="241">
        <f>'Consolidated Balance sheet'!I45</f>
        <v>5421.2</v>
      </c>
    </row>
    <row r="46" spans="1:6" x14ac:dyDescent="0.3">
      <c r="A46" s="242" t="s">
        <v>219</v>
      </c>
      <c r="B46" s="241">
        <f>'Consolidated Balance sheet'!E46</f>
        <v>8865.6</v>
      </c>
      <c r="C46" s="241">
        <f>'Consolidated Balance sheet'!F46</f>
        <v>17185.8</v>
      </c>
      <c r="D46" s="241">
        <f>'Consolidated Balance sheet'!G46</f>
        <v>18846.400000000001</v>
      </c>
      <c r="E46" s="241">
        <f>'Consolidated Balance sheet'!H46</f>
        <v>20937.900000000001</v>
      </c>
      <c r="F46" s="241">
        <f>'Consolidated Balance sheet'!I46</f>
        <v>27697.200000000001</v>
      </c>
    </row>
    <row r="47" spans="1:6" x14ac:dyDescent="0.3">
      <c r="A47" s="242" t="s">
        <v>220</v>
      </c>
      <c r="B47" s="241">
        <f>'Consolidated Balance sheet'!E47</f>
        <v>12469.3</v>
      </c>
      <c r="C47" s="241">
        <f>'Consolidated Balance sheet'!F47</f>
        <v>23496.1</v>
      </c>
      <c r="D47" s="241">
        <f>'Consolidated Balance sheet'!G47</f>
        <v>27563</v>
      </c>
      <c r="E47" s="241">
        <f>'Consolidated Balance sheet'!H47</f>
        <v>30630</v>
      </c>
      <c r="F47" s="241">
        <f>'Consolidated Balance sheet'!I47</f>
        <v>37196</v>
      </c>
    </row>
    <row r="48" spans="1:6" x14ac:dyDescent="0.3">
      <c r="A48" s="245" t="s">
        <v>221</v>
      </c>
      <c r="B48" s="241">
        <f>'Consolidated Balance sheet'!E48</f>
        <v>0</v>
      </c>
      <c r="C48" s="241">
        <f>'Consolidated Balance sheet'!F48</f>
        <v>0</v>
      </c>
      <c r="D48" s="241">
        <f>'Consolidated Balance sheet'!G48</f>
        <v>0</v>
      </c>
      <c r="E48" s="241">
        <f>'Consolidated Balance sheet'!H48</f>
        <v>0</v>
      </c>
      <c r="F48" s="241">
        <f>'Consolidated Balance sheet'!I48</f>
        <v>0</v>
      </c>
    </row>
    <row r="49" spans="1:6" x14ac:dyDescent="0.3">
      <c r="A49" s="244" t="s">
        <v>222</v>
      </c>
      <c r="B49" s="241">
        <f>'Consolidated Balance sheet'!E49</f>
        <v>0</v>
      </c>
      <c r="C49" s="241">
        <f>'Consolidated Balance sheet'!F49</f>
        <v>0</v>
      </c>
      <c r="D49" s="241">
        <f>'Consolidated Balance sheet'!G49</f>
        <v>0</v>
      </c>
      <c r="E49" s="241">
        <f>'Consolidated Balance sheet'!H49</f>
        <v>0</v>
      </c>
      <c r="F49" s="241">
        <f>'Consolidated Balance sheet'!I49</f>
        <v>0</v>
      </c>
    </row>
    <row r="50" spans="1:6" x14ac:dyDescent="0.3">
      <c r="A50" s="240" t="s">
        <v>223</v>
      </c>
      <c r="B50" s="241">
        <f>'Consolidated Balance sheet'!E50</f>
        <v>708.7</v>
      </c>
      <c r="C50" s="241">
        <f>'Consolidated Balance sheet'!F50</f>
        <v>517.9</v>
      </c>
      <c r="D50" s="241">
        <f>'Consolidated Balance sheet'!G50</f>
        <v>1218.4000000000001</v>
      </c>
      <c r="E50" s="241">
        <f>'Consolidated Balance sheet'!H50</f>
        <v>2746.4</v>
      </c>
      <c r="F50" s="241">
        <f>'Consolidated Balance sheet'!I50</f>
        <v>0</v>
      </c>
    </row>
    <row r="51" spans="1:6" x14ac:dyDescent="0.3">
      <c r="A51" s="244" t="s">
        <v>232</v>
      </c>
      <c r="B51" s="241">
        <f>'Consolidated Balance sheet'!E51</f>
        <v>0</v>
      </c>
      <c r="C51" s="241">
        <f>'Consolidated Balance sheet'!F51</f>
        <v>0</v>
      </c>
      <c r="D51" s="241">
        <f>'Consolidated Balance sheet'!G51</f>
        <v>0</v>
      </c>
      <c r="E51" s="241">
        <f>'Consolidated Balance sheet'!H51</f>
        <v>0</v>
      </c>
      <c r="F51" s="241">
        <f>'Consolidated Balance sheet'!I51</f>
        <v>0</v>
      </c>
    </row>
    <row r="52" spans="1:6" x14ac:dyDescent="0.3">
      <c r="A52" s="244" t="s">
        <v>234</v>
      </c>
      <c r="B52" s="241">
        <f>'Consolidated Balance sheet'!E52</f>
        <v>0</v>
      </c>
      <c r="C52" s="241">
        <f>'Consolidated Balance sheet'!F52</f>
        <v>0</v>
      </c>
      <c r="D52" s="241">
        <f>'Consolidated Balance sheet'!G52</f>
        <v>0</v>
      </c>
      <c r="E52" s="241">
        <f>'Consolidated Balance sheet'!H52</f>
        <v>0</v>
      </c>
      <c r="F52" s="241">
        <f>'Consolidated Balance sheet'!I52</f>
        <v>0</v>
      </c>
    </row>
    <row r="53" spans="1:6" x14ac:dyDescent="0.3">
      <c r="A53" s="243" t="s">
        <v>235</v>
      </c>
      <c r="B53" s="241">
        <f>'Consolidated Balance sheet'!E53</f>
        <v>0</v>
      </c>
      <c r="C53" s="241">
        <f>'Consolidated Balance sheet'!F53</f>
        <v>574.1</v>
      </c>
      <c r="D53" s="241">
        <f>'Consolidated Balance sheet'!G53</f>
        <v>1801.2</v>
      </c>
      <c r="E53" s="241">
        <f>'Consolidated Balance sheet'!H53</f>
        <v>2193.8000000000002</v>
      </c>
      <c r="F53" s="241">
        <f>'Consolidated Balance sheet'!I53</f>
        <v>0</v>
      </c>
    </row>
    <row r="54" spans="1:6" x14ac:dyDescent="0.3">
      <c r="A54" s="240" t="s">
        <v>236</v>
      </c>
      <c r="B54" s="241">
        <f>'Consolidated Balance sheet'!E54</f>
        <v>142.30000000000001</v>
      </c>
      <c r="C54" s="241">
        <f>'Consolidated Balance sheet'!F54</f>
        <v>132.5</v>
      </c>
      <c r="D54" s="241">
        <f>'Consolidated Balance sheet'!G54</f>
        <v>228.6</v>
      </c>
      <c r="E54" s="241">
        <f>'Consolidated Balance sheet'!H54</f>
        <v>348.5</v>
      </c>
      <c r="F54" s="241">
        <f>'Consolidated Balance sheet'!I54</f>
        <v>0</v>
      </c>
    </row>
    <row r="55" spans="1:6" x14ac:dyDescent="0.3">
      <c r="A55" s="244" t="s">
        <v>237</v>
      </c>
      <c r="B55" s="241">
        <f>'Consolidated Balance sheet'!E55</f>
        <v>0</v>
      </c>
      <c r="C55" s="241">
        <f>'Consolidated Balance sheet'!F55</f>
        <v>0</v>
      </c>
      <c r="D55" s="241">
        <f>'Consolidated Balance sheet'!G55</f>
        <v>0</v>
      </c>
      <c r="E55" s="241">
        <f>'Consolidated Balance sheet'!H55</f>
        <v>0</v>
      </c>
      <c r="F55" s="241">
        <f>'Consolidated Balance sheet'!I55</f>
        <v>0</v>
      </c>
    </row>
    <row r="56" spans="1:6" x14ac:dyDescent="0.3">
      <c r="A56" s="240" t="s">
        <v>238</v>
      </c>
      <c r="B56" s="241">
        <f>'Consolidated Balance sheet'!E56</f>
        <v>2856.6</v>
      </c>
      <c r="C56" s="241">
        <f>'Consolidated Balance sheet'!F56</f>
        <v>3858.2</v>
      </c>
      <c r="D56" s="241">
        <f>'Consolidated Balance sheet'!G56</f>
        <v>6295.1</v>
      </c>
      <c r="E56" s="241">
        <f>'Consolidated Balance sheet'!H56</f>
        <v>6815.1</v>
      </c>
      <c r="F56" s="241">
        <f>'Consolidated Balance sheet'!I56</f>
        <v>0</v>
      </c>
    </row>
    <row r="57" spans="1:6" x14ac:dyDescent="0.3">
      <c r="A57" s="243" t="s">
        <v>239</v>
      </c>
      <c r="B57" s="241">
        <f>'Consolidated Balance sheet'!E57</f>
        <v>280</v>
      </c>
      <c r="C57" s="241">
        <f>'Consolidated Balance sheet'!F57</f>
        <v>884.6</v>
      </c>
      <c r="D57" s="241">
        <f>'Consolidated Balance sheet'!G57</f>
        <v>421</v>
      </c>
      <c r="E57" s="241">
        <f>'Consolidated Balance sheet'!H57</f>
        <v>516.70000000000005</v>
      </c>
      <c r="F57" s="241">
        <f>'Consolidated Balance sheet'!I57</f>
        <v>0</v>
      </c>
    </row>
    <row r="58" spans="1:6" x14ac:dyDescent="0.3">
      <c r="A58" s="232" t="s">
        <v>267</v>
      </c>
      <c r="B58" s="232"/>
      <c r="C58" s="232"/>
      <c r="D58" s="232"/>
      <c r="E58" s="232"/>
      <c r="F58" s="232"/>
    </row>
    <row r="59" spans="1:6" x14ac:dyDescent="0.3">
      <c r="A59" s="259" t="s">
        <v>175</v>
      </c>
      <c r="B59" s="261" t="s">
        <v>269</v>
      </c>
      <c r="C59" s="261" t="s">
        <v>270</v>
      </c>
      <c r="D59" s="261" t="s">
        <v>177</v>
      </c>
      <c r="E59" s="261" t="s">
        <v>176</v>
      </c>
      <c r="F59" s="261" t="s">
        <v>271</v>
      </c>
    </row>
    <row r="60" spans="1:6" x14ac:dyDescent="0.3">
      <c r="A60" s="261" t="s">
        <v>179</v>
      </c>
      <c r="B60" s="261" t="s">
        <v>180</v>
      </c>
      <c r="C60" s="261" t="s">
        <v>180</v>
      </c>
      <c r="D60" s="261" t="s">
        <v>180</v>
      </c>
      <c r="E60" s="261" t="s">
        <v>180</v>
      </c>
      <c r="F60" s="261" t="s">
        <v>180</v>
      </c>
    </row>
    <row r="61" spans="1:6" x14ac:dyDescent="0.3">
      <c r="A61" s="253" t="s">
        <v>241</v>
      </c>
      <c r="B61" s="254"/>
      <c r="C61" s="255"/>
      <c r="D61" s="255"/>
      <c r="E61" s="255"/>
      <c r="F61" s="254"/>
    </row>
    <row r="62" spans="1:6" x14ac:dyDescent="0.3">
      <c r="A62" s="248" t="s">
        <v>242</v>
      </c>
      <c r="B62" s="249">
        <f>'Consolidated P&amp;L'!F5</f>
        <v>15668.7</v>
      </c>
      <c r="C62" s="249">
        <f>'Consolidated P&amp;L'!G5</f>
        <v>33183</v>
      </c>
      <c r="D62" s="249">
        <f>'Consolidated P&amp;L'!H5</f>
        <v>35517</v>
      </c>
      <c r="E62" s="249">
        <f>'Consolidated P&amp;L'!I5</f>
        <v>38008.1</v>
      </c>
      <c r="F62" s="249">
        <f>'Consolidated P&amp;L'!J5</f>
        <v>42307.6</v>
      </c>
    </row>
    <row r="63" spans="1:6" x14ac:dyDescent="0.3">
      <c r="A63" s="250" t="s">
        <v>243</v>
      </c>
      <c r="B63" s="249">
        <f>'Consolidated P&amp;L'!F6</f>
        <v>15668.7</v>
      </c>
      <c r="C63" s="249">
        <f>'Consolidated P&amp;L'!G6</f>
        <v>33183</v>
      </c>
      <c r="D63" s="249">
        <f>'Consolidated P&amp;L'!H6</f>
        <v>35517</v>
      </c>
      <c r="E63" s="249">
        <f>'Consolidated P&amp;L'!I6</f>
        <v>38008.1</v>
      </c>
      <c r="F63" s="249">
        <f>'Consolidated P&amp;L'!J6</f>
        <v>42307.6</v>
      </c>
    </row>
    <row r="64" spans="1:6" x14ac:dyDescent="0.3">
      <c r="A64" s="251" t="s">
        <v>244</v>
      </c>
      <c r="B64" s="249">
        <f>'Consolidated P&amp;L'!F7</f>
        <v>15668.7</v>
      </c>
      <c r="C64" s="249">
        <f>'Consolidated P&amp;L'!G7</f>
        <v>33183</v>
      </c>
      <c r="D64" s="249">
        <f>'Consolidated P&amp;L'!H7</f>
        <v>35517</v>
      </c>
      <c r="E64" s="249">
        <f>'Consolidated P&amp;L'!I7</f>
        <v>38008.1</v>
      </c>
      <c r="F64" s="249">
        <f>'Consolidated P&amp;L'!J7</f>
        <v>42307.6</v>
      </c>
    </row>
    <row r="65" spans="1:6" x14ac:dyDescent="0.3">
      <c r="A65" s="250" t="s">
        <v>147</v>
      </c>
      <c r="B65" s="249">
        <f>'Consolidated P&amp;L'!F8</f>
        <v>466.7</v>
      </c>
      <c r="C65" s="249">
        <f>'Consolidated P&amp;L'!G8</f>
        <v>556.9</v>
      </c>
      <c r="D65" s="249">
        <f>'Consolidated P&amp;L'!H8</f>
        <v>701.9</v>
      </c>
      <c r="E65" s="249">
        <f>'Consolidated P&amp;L'!I8</f>
        <v>989.7</v>
      </c>
      <c r="F65" s="249">
        <f>'Consolidated P&amp;L'!J8</f>
        <v>1094.4000000000001</v>
      </c>
    </row>
    <row r="66" spans="1:6" x14ac:dyDescent="0.3">
      <c r="A66" s="251" t="s">
        <v>245</v>
      </c>
      <c r="B66" s="249">
        <f>'Consolidated P&amp;L'!F9</f>
        <v>16135.4</v>
      </c>
      <c r="C66" s="249">
        <f>'Consolidated P&amp;L'!G9</f>
        <v>33739.9</v>
      </c>
      <c r="D66" s="249">
        <f>'Consolidated P&amp;L'!H9</f>
        <v>36218.9</v>
      </c>
      <c r="E66" s="249">
        <f>'Consolidated P&amp;L'!I9</f>
        <v>38997.800000000003</v>
      </c>
      <c r="F66" s="249">
        <f>'Consolidated P&amp;L'!J9</f>
        <v>43402</v>
      </c>
    </row>
    <row r="67" spans="1:6" x14ac:dyDescent="0.3">
      <c r="A67" s="246" t="s">
        <v>246</v>
      </c>
      <c r="B67" s="249">
        <f>'Consolidated P&amp;L'!F10</f>
        <v>0</v>
      </c>
      <c r="C67" s="249">
        <f>'Consolidated P&amp;L'!G10</f>
        <v>0</v>
      </c>
      <c r="D67" s="249">
        <f>'Consolidated P&amp;L'!H10</f>
        <v>0</v>
      </c>
      <c r="E67" s="249">
        <f>'Consolidated P&amp;L'!I10</f>
        <v>0</v>
      </c>
      <c r="F67" s="249">
        <f>'Consolidated P&amp;L'!J10</f>
        <v>0</v>
      </c>
    </row>
    <row r="68" spans="1:6" x14ac:dyDescent="0.3">
      <c r="A68" s="248" t="s">
        <v>247</v>
      </c>
      <c r="B68" s="249">
        <f>'Consolidated P&amp;L'!F11</f>
        <v>2656.5</v>
      </c>
      <c r="C68" s="249">
        <f>'Consolidated P&amp;L'!G11</f>
        <v>3967.9</v>
      </c>
      <c r="D68" s="249">
        <f>'Consolidated P&amp;L'!H11</f>
        <v>4179.5</v>
      </c>
      <c r="E68" s="249">
        <f>'Consolidated P&amp;L'!I11</f>
        <v>2631.2</v>
      </c>
      <c r="F68" s="249">
        <f>'Consolidated P&amp;L'!J11</f>
        <v>0</v>
      </c>
    </row>
    <row r="69" spans="1:6" x14ac:dyDescent="0.3">
      <c r="A69" s="250" t="s">
        <v>248</v>
      </c>
      <c r="B69" s="249">
        <f>'Consolidated P&amp;L'!F12</f>
        <v>9700.7000000000007</v>
      </c>
      <c r="C69" s="249">
        <f>'Consolidated P&amp;L'!G12</f>
        <v>20879.900000000001</v>
      </c>
      <c r="D69" s="249">
        <f>'Consolidated P&amp;L'!H12</f>
        <v>22732.3</v>
      </c>
      <c r="E69" s="249">
        <f>'Consolidated P&amp;L'!I12</f>
        <v>24622.6</v>
      </c>
      <c r="F69" s="249">
        <f>'Consolidated P&amp;L'!J12</f>
        <v>26286.9</v>
      </c>
    </row>
    <row r="70" spans="1:6" x14ac:dyDescent="0.3">
      <c r="A70" s="248" t="s">
        <v>153</v>
      </c>
      <c r="B70" s="249">
        <f>'Consolidated P&amp;L'!F13</f>
        <v>72.8</v>
      </c>
      <c r="C70" s="249">
        <f>'Consolidated P&amp;L'!G13</f>
        <v>150.4</v>
      </c>
      <c r="D70" s="249">
        <f>'Consolidated P&amp;L'!H13</f>
        <v>221.7</v>
      </c>
      <c r="E70" s="249">
        <f>'Consolidated P&amp;L'!I13</f>
        <v>278.89999999999998</v>
      </c>
      <c r="F70" s="249">
        <f>'Consolidated P&amp;L'!J13</f>
        <v>276.3</v>
      </c>
    </row>
    <row r="71" spans="1:6" x14ac:dyDescent="0.3">
      <c r="A71" s="250" t="s">
        <v>249</v>
      </c>
      <c r="B71" s="249">
        <f>'Consolidated P&amp;L'!F14</f>
        <v>354.9</v>
      </c>
      <c r="C71" s="249">
        <f>'Consolidated P&amp;L'!G14</f>
        <v>722.7</v>
      </c>
      <c r="D71" s="249">
        <f>'Consolidated P&amp;L'!H14</f>
        <v>818.9</v>
      </c>
      <c r="E71" s="249">
        <f>'Consolidated P&amp;L'!I14</f>
        <v>991.5</v>
      </c>
      <c r="F71" s="249">
        <f>'Consolidated P&amp;L'!J14</f>
        <v>1054.0999999999999</v>
      </c>
    </row>
    <row r="72" spans="1:6" x14ac:dyDescent="0.3">
      <c r="A72" s="248" t="s">
        <v>151</v>
      </c>
      <c r="B72" s="249">
        <f>'Consolidated P&amp;L'!F15</f>
        <v>253.1</v>
      </c>
      <c r="C72" s="249">
        <f>'Consolidated P&amp;L'!G15</f>
        <v>2227.5</v>
      </c>
      <c r="D72" s="249">
        <f>'Consolidated P&amp;L'!H15</f>
        <v>2217.8000000000002</v>
      </c>
      <c r="E72" s="249">
        <f>'Consolidated P&amp;L'!I15</f>
        <v>4259.3999999999996</v>
      </c>
      <c r="F72" s="249">
        <f>'Consolidated P&amp;L'!J15</f>
        <v>8465.5</v>
      </c>
    </row>
    <row r="73" spans="1:6" x14ac:dyDescent="0.3">
      <c r="A73" s="251" t="s">
        <v>154</v>
      </c>
      <c r="B73" s="249">
        <f>'Consolidated P&amp;L'!F16</f>
        <v>13038</v>
      </c>
      <c r="C73" s="249">
        <f>'Consolidated P&amp;L'!G16</f>
        <v>27948.400000000001</v>
      </c>
      <c r="D73" s="249">
        <f>'Consolidated P&amp;L'!H16</f>
        <v>30170.2</v>
      </c>
      <c r="E73" s="249">
        <f>'Consolidated P&amp;L'!I16</f>
        <v>32783.599999999999</v>
      </c>
      <c r="F73" s="249">
        <f>'Consolidated P&amp;L'!J16</f>
        <v>36082.800000000003</v>
      </c>
    </row>
    <row r="74" spans="1:6" x14ac:dyDescent="0.3">
      <c r="A74" s="251" t="s">
        <v>250</v>
      </c>
      <c r="B74" s="249">
        <f>'Consolidated P&amp;L'!F17</f>
        <v>3097.4</v>
      </c>
      <c r="C74" s="249">
        <f>'Consolidated P&amp;L'!G17</f>
        <v>5791.5</v>
      </c>
      <c r="D74" s="249">
        <f>'Consolidated P&amp;L'!H17</f>
        <v>6048.7</v>
      </c>
      <c r="E74" s="249">
        <f>'Consolidated P&amp;L'!I17</f>
        <v>6214.2</v>
      </c>
      <c r="F74" s="249">
        <f>'Consolidated P&amp;L'!J17</f>
        <v>7319.2</v>
      </c>
    </row>
    <row r="75" spans="1:6" x14ac:dyDescent="0.3">
      <c r="A75" s="247" t="s">
        <v>159</v>
      </c>
      <c r="B75" s="249">
        <f>'Consolidated P&amp;L'!F18</f>
        <v>0</v>
      </c>
      <c r="C75" s="249">
        <f>'Consolidated P&amp;L'!G18</f>
        <v>0</v>
      </c>
      <c r="D75" s="249">
        <f>'Consolidated P&amp;L'!H18</f>
        <v>0</v>
      </c>
      <c r="E75" s="249">
        <f>'Consolidated P&amp;L'!I18</f>
        <v>0</v>
      </c>
      <c r="F75" s="249">
        <f>'Consolidated P&amp;L'!J18</f>
        <v>-528.1</v>
      </c>
    </row>
    <row r="76" spans="1:6" x14ac:dyDescent="0.3">
      <c r="A76" s="251" t="s">
        <v>251</v>
      </c>
      <c r="B76" s="249">
        <f>'Consolidated P&amp;L'!F19</f>
        <v>3097.4</v>
      </c>
      <c r="C76" s="249">
        <f>'Consolidated P&amp;L'!G19</f>
        <v>5791.5</v>
      </c>
      <c r="D76" s="249">
        <f>'Consolidated P&amp;L'!H19</f>
        <v>6048.7</v>
      </c>
      <c r="E76" s="249">
        <f>'Consolidated P&amp;L'!I19</f>
        <v>6214.2</v>
      </c>
      <c r="F76" s="249">
        <f>'Consolidated P&amp;L'!J19</f>
        <v>6791.1</v>
      </c>
    </row>
    <row r="77" spans="1:6" x14ac:dyDescent="0.3">
      <c r="A77" s="252" t="s">
        <v>252</v>
      </c>
      <c r="B77" s="249">
        <f>'Consolidated P&amp;L'!F20</f>
        <v>0</v>
      </c>
      <c r="C77" s="249">
        <f>'Consolidated P&amp;L'!G20</f>
        <v>0</v>
      </c>
      <c r="D77" s="249">
        <f>'Consolidated P&amp;L'!H20</f>
        <v>0</v>
      </c>
      <c r="E77" s="249">
        <f>'Consolidated P&amp;L'!I20</f>
        <v>0</v>
      </c>
      <c r="F77" s="249">
        <f>'Consolidated P&amp;L'!J20</f>
        <v>0</v>
      </c>
    </row>
    <row r="78" spans="1:6" x14ac:dyDescent="0.3">
      <c r="A78" s="250" t="s">
        <v>253</v>
      </c>
      <c r="B78" s="249">
        <f>'Consolidated P&amp;L'!F21</f>
        <v>818.1</v>
      </c>
      <c r="C78" s="249">
        <f>'Consolidated P&amp;L'!G21</f>
        <v>1439.1</v>
      </c>
      <c r="D78" s="249">
        <f>'Consolidated P&amp;L'!H21</f>
        <v>1460</v>
      </c>
      <c r="E78" s="249">
        <f>'Consolidated P&amp;L'!I21</f>
        <v>1578.4</v>
      </c>
      <c r="F78" s="249">
        <f>'Consolidated P&amp;L'!J21</f>
        <v>1808.4</v>
      </c>
    </row>
    <row r="79" spans="1:6" x14ac:dyDescent="0.3">
      <c r="A79" s="248" t="s">
        <v>254</v>
      </c>
      <c r="B79" s="249">
        <f>'Consolidated P&amp;L'!F22</f>
        <v>-19.2</v>
      </c>
      <c r="C79" s="249">
        <f>'Consolidated P&amp;L'!G22</f>
        <v>-57.9</v>
      </c>
      <c r="D79" s="249">
        <f>'Consolidated P&amp;L'!H22</f>
        <v>4.0999999999999996</v>
      </c>
      <c r="E79" s="249">
        <f>'Consolidated P&amp;L'!I22</f>
        <v>33.799999999999997</v>
      </c>
      <c r="F79" s="249">
        <f>'Consolidated P&amp;L'!J22</f>
        <v>0</v>
      </c>
    </row>
    <row r="80" spans="1:6" x14ac:dyDescent="0.3">
      <c r="A80" s="251" t="s">
        <v>255</v>
      </c>
      <c r="B80" s="249">
        <f>'Consolidated P&amp;L'!F23</f>
        <v>798.9</v>
      </c>
      <c r="C80" s="249">
        <f>'Consolidated P&amp;L'!G23</f>
        <v>1381.2</v>
      </c>
      <c r="D80" s="249">
        <f>'Consolidated P&amp;L'!H23</f>
        <v>1464.1</v>
      </c>
      <c r="E80" s="249">
        <f>'Consolidated P&amp;L'!I23</f>
        <v>1612.2</v>
      </c>
      <c r="F80" s="249">
        <f>'Consolidated P&amp;L'!J23</f>
        <v>1808.4</v>
      </c>
    </row>
    <row r="81" spans="1:6" x14ac:dyDescent="0.3">
      <c r="A81" s="251" t="s">
        <v>256</v>
      </c>
      <c r="B81" s="249">
        <f>'Consolidated P&amp;L'!F24</f>
        <v>2298.5</v>
      </c>
      <c r="C81" s="249">
        <f>'Consolidated P&amp;L'!G24</f>
        <v>4410.3</v>
      </c>
      <c r="D81" s="249">
        <f>'Consolidated P&amp;L'!H24</f>
        <v>4584.6000000000004</v>
      </c>
      <c r="E81" s="249">
        <f>'Consolidated P&amp;L'!I24</f>
        <v>4602</v>
      </c>
      <c r="F81" s="249">
        <f>'Consolidated P&amp;L'!J24</f>
        <v>4982.7</v>
      </c>
    </row>
    <row r="82" spans="1:6" x14ac:dyDescent="0.3">
      <c r="A82" s="251" t="s">
        <v>257</v>
      </c>
      <c r="B82" s="249">
        <f>'Consolidated P&amp;L'!F25</f>
        <v>2298.5</v>
      </c>
      <c r="C82" s="249">
        <f>'Consolidated P&amp;L'!G25</f>
        <v>4410.3</v>
      </c>
      <c r="D82" s="249">
        <f>'Consolidated P&amp;L'!H25</f>
        <v>4584.6000000000004</v>
      </c>
      <c r="E82" s="249">
        <f>'Consolidated P&amp;L'!I25</f>
        <v>4602</v>
      </c>
      <c r="F82" s="249">
        <f>'Consolidated P&amp;L'!J25</f>
        <v>4982.7</v>
      </c>
    </row>
    <row r="83" spans="1:6" x14ac:dyDescent="0.3">
      <c r="A83" s="251" t="s">
        <v>258</v>
      </c>
      <c r="B83" s="249">
        <f>'Consolidated P&amp;L'!F26</f>
        <v>2298.5</v>
      </c>
      <c r="C83" s="249">
        <f>'Consolidated P&amp;L'!G26</f>
        <v>4410.3</v>
      </c>
      <c r="D83" s="249">
        <f>'Consolidated P&amp;L'!H26</f>
        <v>4584.6000000000004</v>
      </c>
      <c r="E83" s="249">
        <f>'Consolidated P&amp;L'!I26</f>
        <v>4602</v>
      </c>
      <c r="F83" s="249">
        <f>'Consolidated P&amp;L'!J26</f>
        <v>4982.7</v>
      </c>
    </row>
    <row r="84" spans="1:6" x14ac:dyDescent="0.3">
      <c r="A84" s="250" t="s">
        <v>171</v>
      </c>
      <c r="B84" s="249">
        <f>'Consolidated P&amp;L'!F27</f>
        <v>-1.7</v>
      </c>
      <c r="C84" s="249">
        <f>'Consolidated P&amp;L'!G27</f>
        <v>-2</v>
      </c>
      <c r="D84" s="249">
        <f>'Consolidated P&amp;L'!H27</f>
        <v>-2.5</v>
      </c>
      <c r="E84" s="249">
        <f>'Consolidated P&amp;L'!I27</f>
        <v>-3.3</v>
      </c>
      <c r="F84" s="249">
        <f>'Consolidated P&amp;L'!J27</f>
        <v>35.4</v>
      </c>
    </row>
    <row r="85" spans="1:6" x14ac:dyDescent="0.3">
      <c r="A85" s="251" t="s">
        <v>272</v>
      </c>
      <c r="B85" s="249">
        <f>'Consolidated P&amp;L'!F28</f>
        <v>2296.8000000000002</v>
      </c>
      <c r="C85" s="249">
        <f>'Consolidated P&amp;L'!G28</f>
        <v>4408.3</v>
      </c>
      <c r="D85" s="249">
        <f>'Consolidated P&amp;L'!H28</f>
        <v>4582.1000000000004</v>
      </c>
      <c r="E85" s="249">
        <f>'Consolidated P&amp;L'!I28</f>
        <v>4598.7</v>
      </c>
      <c r="F85" s="249">
        <f>'Consolidated P&amp;L'!J28</f>
        <v>5018.1000000000004</v>
      </c>
    </row>
    <row r="86" spans="1:6" x14ac:dyDescent="0.3">
      <c r="A86" s="246" t="s">
        <v>221</v>
      </c>
      <c r="B86" s="249">
        <f>'Consolidated P&amp;L'!F29</f>
        <v>0</v>
      </c>
      <c r="C86" s="249">
        <f>'Consolidated P&amp;L'!G29</f>
        <v>0</v>
      </c>
      <c r="D86" s="249">
        <f>'Consolidated P&amp;L'!H29</f>
        <v>0</v>
      </c>
      <c r="E86" s="249">
        <f>'Consolidated P&amp;L'!I29</f>
        <v>0</v>
      </c>
      <c r="F86" s="249">
        <f>'Consolidated P&amp;L'!J29</f>
        <v>0</v>
      </c>
    </row>
    <row r="87" spans="1:6" x14ac:dyDescent="0.3">
      <c r="A87" s="252" t="s">
        <v>259</v>
      </c>
      <c r="B87" s="249">
        <f>'Consolidated P&amp;L'!F30</f>
        <v>0</v>
      </c>
      <c r="C87" s="249">
        <f>'Consolidated P&amp;L'!G30</f>
        <v>0</v>
      </c>
      <c r="D87" s="249">
        <f>'Consolidated P&amp;L'!H30</f>
        <v>0</v>
      </c>
      <c r="E87" s="249">
        <f>'Consolidated P&amp;L'!I30</f>
        <v>0</v>
      </c>
      <c r="F87" s="249">
        <f>'Consolidated P&amp;L'!J30</f>
        <v>0</v>
      </c>
    </row>
    <row r="88" spans="1:6" x14ac:dyDescent="0.3">
      <c r="A88" s="250" t="s">
        <v>260</v>
      </c>
      <c r="B88" s="249">
        <f>'Consolidated P&amp;L'!F31</f>
        <v>131</v>
      </c>
      <c r="C88" s="249">
        <f>'Consolidated P&amp;L'!G31</f>
        <v>149</v>
      </c>
      <c r="D88" s="249">
        <f>'Consolidated P&amp;L'!H31</f>
        <v>155</v>
      </c>
      <c r="E88" s="249">
        <f>'Consolidated P&amp;L'!I31</f>
        <v>155</v>
      </c>
      <c r="F88" s="249">
        <f>'Consolidated P&amp;L'!J31</f>
        <v>169</v>
      </c>
    </row>
    <row r="89" spans="1:6" x14ac:dyDescent="0.3">
      <c r="A89" s="248" t="s">
        <v>261</v>
      </c>
      <c r="B89" s="249">
        <f>'Consolidated P&amp;L'!F32</f>
        <v>131</v>
      </c>
      <c r="C89" s="249">
        <f>'Consolidated P&amp;L'!G32</f>
        <v>149</v>
      </c>
      <c r="D89" s="249">
        <f>'Consolidated P&amp;L'!H32</f>
        <v>155</v>
      </c>
      <c r="E89" s="249">
        <f>'Consolidated P&amp;L'!I32</f>
        <v>155</v>
      </c>
      <c r="F89" s="249">
        <f>'Consolidated P&amp;L'!J32</f>
        <v>0</v>
      </c>
    </row>
    <row r="90" spans="1:6" x14ac:dyDescent="0.3">
      <c r="A90" s="252" t="s">
        <v>264</v>
      </c>
      <c r="B90" s="249">
        <f>'Consolidated P&amp;L'!F33</f>
        <v>0</v>
      </c>
      <c r="C90" s="249">
        <f>'Consolidated P&amp;L'!G33</f>
        <v>0</v>
      </c>
      <c r="D90" s="249">
        <f>'Consolidated P&amp;L'!H33</f>
        <v>0</v>
      </c>
      <c r="E90" s="249">
        <f>'Consolidated P&amp;L'!I33</f>
        <v>0</v>
      </c>
      <c r="F90" s="249">
        <f>'Consolidated P&amp;L'!J33</f>
        <v>0</v>
      </c>
    </row>
    <row r="91" spans="1:6" x14ac:dyDescent="0.3">
      <c r="A91" s="248" t="s">
        <v>265</v>
      </c>
      <c r="B91" s="249">
        <f>'Consolidated P&amp;L'!F34</f>
        <v>874.9</v>
      </c>
      <c r="C91" s="249">
        <f>'Consolidated P&amp;L'!G34</f>
        <v>1562.7</v>
      </c>
      <c r="D91" s="249">
        <f>'Consolidated P&amp;L'!H34</f>
        <v>1775.3</v>
      </c>
      <c r="E91" s="249">
        <f>'Consolidated P&amp;L'!I34</f>
        <v>1924.6</v>
      </c>
      <c r="F91" s="249">
        <f>'Consolidated P&amp;L'!J34</f>
        <v>0</v>
      </c>
    </row>
    <row r="93" spans="1:6" x14ac:dyDescent="0.3">
      <c r="A93" s="232" t="s">
        <v>457</v>
      </c>
      <c r="B93" s="232"/>
      <c r="C93" s="232"/>
      <c r="D93" s="232"/>
      <c r="E93" s="232"/>
      <c r="F93" s="232"/>
    </row>
    <row r="94" spans="1:6" x14ac:dyDescent="0.3">
      <c r="A94" s="262" t="s">
        <v>175</v>
      </c>
      <c r="B94" s="263" t="s">
        <v>269</v>
      </c>
      <c r="C94" s="263" t="s">
        <v>270</v>
      </c>
      <c r="D94" s="263" t="s">
        <v>177</v>
      </c>
      <c r="E94" s="263" t="s">
        <v>176</v>
      </c>
      <c r="F94" s="263" t="s">
        <v>271</v>
      </c>
    </row>
    <row r="95" spans="1:6" x14ac:dyDescent="0.3">
      <c r="A95" s="264"/>
      <c r="B95" s="263" t="s">
        <v>180</v>
      </c>
      <c r="C95" s="263" t="s">
        <v>180</v>
      </c>
      <c r="D95" s="263" t="s">
        <v>180</v>
      </c>
      <c r="E95" s="263" t="s">
        <v>180</v>
      </c>
      <c r="F95" s="263" t="s">
        <v>180</v>
      </c>
    </row>
    <row r="96" spans="1:6" x14ac:dyDescent="0.3">
      <c r="A96" s="256" t="s">
        <v>458</v>
      </c>
      <c r="B96" s="85">
        <v>2298.5</v>
      </c>
      <c r="C96" s="85">
        <v>4410.3</v>
      </c>
      <c r="D96" s="85">
        <v>4584.6000000000004</v>
      </c>
      <c r="E96" s="85">
        <v>4602</v>
      </c>
      <c r="F96" s="85">
        <v>6791.1</v>
      </c>
    </row>
    <row r="97" spans="1:6" x14ac:dyDescent="0.3">
      <c r="A97" s="258" t="s">
        <v>459</v>
      </c>
      <c r="B97" s="85">
        <v>1652</v>
      </c>
      <c r="C97" s="85">
        <v>3094.6</v>
      </c>
      <c r="D97" s="85">
        <v>5669.5</v>
      </c>
      <c r="E97" s="85">
        <v>4545.8</v>
      </c>
      <c r="F97" s="85">
        <v>4798.8</v>
      </c>
    </row>
    <row r="98" spans="1:6" x14ac:dyDescent="0.3">
      <c r="A98" s="257" t="s">
        <v>460</v>
      </c>
      <c r="B98" s="85">
        <v>-959.4</v>
      </c>
      <c r="C98" s="85">
        <v>-330.9</v>
      </c>
      <c r="D98" s="85">
        <v>-3912.1</v>
      </c>
      <c r="E98" s="85">
        <v>-1738.2</v>
      </c>
      <c r="F98" s="85">
        <v>-1767.9</v>
      </c>
    </row>
    <row r="99" spans="1:6" x14ac:dyDescent="0.3">
      <c r="A99" s="256" t="s">
        <v>461</v>
      </c>
      <c r="B99" s="85">
        <v>-1045.8</v>
      </c>
      <c r="C99" s="85">
        <v>-1931.7</v>
      </c>
      <c r="D99" s="85">
        <v>-2268.8000000000002</v>
      </c>
      <c r="E99" s="85">
        <v>-2574.4</v>
      </c>
      <c r="F99" s="85">
        <v>-2926.4</v>
      </c>
    </row>
    <row r="100" spans="1:6" x14ac:dyDescent="0.3">
      <c r="A100" s="258" t="s">
        <v>462</v>
      </c>
      <c r="B100" s="85">
        <v>-364.5</v>
      </c>
      <c r="C100" s="85">
        <v>891.5</v>
      </c>
      <c r="D100" s="85">
        <v>-517.70000000000005</v>
      </c>
      <c r="E100" s="85">
        <v>242.3</v>
      </c>
      <c r="F100" s="85">
        <v>268.8</v>
      </c>
    </row>
    <row r="101" spans="1:6" x14ac:dyDescent="0.3">
      <c r="A101" s="257" t="s">
        <v>463</v>
      </c>
      <c r="B101" s="85">
        <v>759.4</v>
      </c>
      <c r="C101" s="85">
        <v>1446.2</v>
      </c>
      <c r="D101" s="85">
        <v>2337.6999999999998</v>
      </c>
      <c r="E101" s="85">
        <v>1820</v>
      </c>
      <c r="F101" s="85">
        <v>2062.3000000000002</v>
      </c>
    </row>
    <row r="102" spans="1:6" x14ac:dyDescent="0.3">
      <c r="A102" s="256" t="s">
        <v>464</v>
      </c>
      <c r="B102" s="85">
        <v>394.9</v>
      </c>
      <c r="C102" s="85">
        <v>2337.6999999999998</v>
      </c>
      <c r="D102" s="85">
        <v>1820</v>
      </c>
      <c r="E102" s="85">
        <v>2062.3000000000002</v>
      </c>
      <c r="F102" s="85">
        <v>2331.1</v>
      </c>
    </row>
  </sheetData>
  <mergeCells count="3">
    <mergeCell ref="A1:F1"/>
    <mergeCell ref="A58:F58"/>
    <mergeCell ref="A93:F93"/>
  </mergeCells>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5"/>
  <sheetViews>
    <sheetView showGridLines="0" workbookViewId="0">
      <selection activeCell="E21" sqref="E21"/>
    </sheetView>
  </sheetViews>
  <sheetFormatPr defaultColWidth="8.6640625" defaultRowHeight="14.4" x14ac:dyDescent="0.3"/>
  <cols>
    <col min="1" max="1" width="21.33203125" style="1" customWidth="1"/>
    <col min="2" max="2" width="11.44140625" style="1" customWidth="1"/>
    <col min="4" max="4" width="12.88671875" style="1" customWidth="1"/>
    <col min="5" max="5" width="11.33203125" style="1" customWidth="1"/>
    <col min="6" max="6" width="9.44140625" style="1" customWidth="1"/>
    <col min="7" max="7" width="9" style="1" customWidth="1"/>
    <col min="8" max="9" width="8.77734375" style="1" customWidth="1"/>
    <col min="12" max="12" width="12.109375" style="1" customWidth="1"/>
    <col min="15" max="15" width="12" style="1" customWidth="1"/>
    <col min="16" max="17" width="10.6640625" style="1" customWidth="1"/>
  </cols>
  <sheetData>
    <row r="1" spans="1:17" ht="15" customHeight="1" x14ac:dyDescent="0.3">
      <c r="A1" s="231" t="s">
        <v>465</v>
      </c>
      <c r="B1" s="231"/>
      <c r="C1" s="231"/>
      <c r="D1" s="231"/>
      <c r="E1" s="231"/>
      <c r="F1" s="231"/>
      <c r="G1" s="231"/>
      <c r="H1" s="231"/>
      <c r="I1" s="231"/>
      <c r="J1" s="231"/>
      <c r="K1" s="231"/>
      <c r="L1" s="231"/>
      <c r="M1" s="231"/>
    </row>
    <row r="2" spans="1:17" x14ac:dyDescent="0.3">
      <c r="A2" s="52"/>
      <c r="B2" s="52"/>
      <c r="C2" s="52"/>
      <c r="D2" s="52"/>
      <c r="E2" s="52"/>
      <c r="F2" s="52"/>
      <c r="G2" s="52"/>
      <c r="H2" s="52"/>
      <c r="I2" s="52"/>
      <c r="J2" s="52"/>
      <c r="K2" s="52"/>
      <c r="L2" s="52"/>
      <c r="M2" s="52"/>
    </row>
    <row r="3" spans="1:17" x14ac:dyDescent="0.3">
      <c r="A3" s="220" t="s">
        <v>24</v>
      </c>
      <c r="B3" s="221" t="s">
        <v>466</v>
      </c>
      <c r="C3" s="221"/>
      <c r="D3" s="221"/>
      <c r="E3" s="221"/>
      <c r="F3" s="221" t="s">
        <v>467</v>
      </c>
      <c r="G3" s="221"/>
      <c r="H3" s="221"/>
      <c r="I3" s="221"/>
      <c r="J3" s="222" t="s">
        <v>468</v>
      </c>
      <c r="K3" s="222"/>
      <c r="L3" s="222"/>
      <c r="M3" s="222"/>
    </row>
    <row r="4" spans="1:17" ht="24" customHeight="1" x14ac:dyDescent="0.3">
      <c r="A4" s="220"/>
      <c r="B4" s="223" t="s">
        <v>469</v>
      </c>
      <c r="C4" s="223" t="s">
        <v>470</v>
      </c>
      <c r="D4" s="223" t="s">
        <v>471</v>
      </c>
      <c r="E4" s="223" t="s">
        <v>472</v>
      </c>
      <c r="F4" s="223" t="s">
        <v>473</v>
      </c>
      <c r="G4" s="223" t="s">
        <v>474</v>
      </c>
      <c r="H4" s="223" t="s">
        <v>475</v>
      </c>
      <c r="I4" s="223" t="s">
        <v>476</v>
      </c>
      <c r="J4" s="224" t="s">
        <v>477</v>
      </c>
      <c r="K4" s="224" t="s">
        <v>478</v>
      </c>
      <c r="L4" s="224" t="s">
        <v>479</v>
      </c>
      <c r="M4" s="224" t="s">
        <v>480</v>
      </c>
    </row>
    <row r="5" spans="1:17" x14ac:dyDescent="0.3">
      <c r="A5" s="53" t="s">
        <v>296</v>
      </c>
      <c r="B5" s="54">
        <v>4167.8</v>
      </c>
      <c r="C5" s="54">
        <f>'Merge data sheet'!F6</f>
        <v>29.6</v>
      </c>
      <c r="D5" s="55">
        <v>124006</v>
      </c>
      <c r="E5" s="56">
        <f>D5+'Merge data sheet'!F21+'Merge data sheet'!F15-('Merge data sheet'!F43)</f>
        <v>121193.60000000001</v>
      </c>
      <c r="F5" s="57">
        <f>'Assumptions (Historical FS)'!F3</f>
        <v>42307.6</v>
      </c>
      <c r="G5" s="57">
        <f>'Assumptions (Historical FS)'!F9</f>
        <v>7555.2</v>
      </c>
      <c r="H5" s="57">
        <f>'Assumptions (Historical FS)'!F11</f>
        <v>6501.1</v>
      </c>
      <c r="I5" s="54">
        <f>'Consolidated P&amp;L'!J31</f>
        <v>169</v>
      </c>
      <c r="J5" s="58">
        <f t="shared" ref="J5:J10" si="0">B5/I5</f>
        <v>24.661538461538498</v>
      </c>
      <c r="K5" s="58">
        <f t="shared" ref="K5:K10" si="1">E5/F5</f>
        <v>2.8645822499976399</v>
      </c>
      <c r="L5" s="58">
        <f t="shared" ref="L5:L10" si="2">E5/G5</f>
        <v>16.0410842863194</v>
      </c>
      <c r="M5" s="58">
        <f t="shared" ref="M5:M10" si="3">E5/H5</f>
        <v>18.642014428327499</v>
      </c>
    </row>
    <row r="6" spans="1:17" x14ac:dyDescent="0.3">
      <c r="A6" s="59" t="s">
        <v>298</v>
      </c>
      <c r="B6" s="56">
        <v>2298</v>
      </c>
      <c r="C6" s="54">
        <v>362</v>
      </c>
      <c r="D6" s="55">
        <v>830496</v>
      </c>
      <c r="E6" s="54">
        <v>842432.1</v>
      </c>
      <c r="F6" s="57">
        <v>267021</v>
      </c>
      <c r="G6" s="57">
        <v>72274</v>
      </c>
      <c r="H6" s="57">
        <f>1227+65487</f>
        <v>66714</v>
      </c>
      <c r="I6" s="54">
        <v>136.61000000000001</v>
      </c>
      <c r="J6" s="58">
        <f t="shared" si="0"/>
        <v>16.8216089598126</v>
      </c>
      <c r="K6" s="58">
        <f t="shared" si="1"/>
        <v>3.1549282640691199</v>
      </c>
      <c r="L6" s="58">
        <f t="shared" si="2"/>
        <v>11.656087943105399</v>
      </c>
      <c r="M6" s="58">
        <f t="shared" si="3"/>
        <v>12.6275159636658</v>
      </c>
    </row>
    <row r="7" spans="1:17" x14ac:dyDescent="0.3">
      <c r="A7" s="59" t="s">
        <v>314</v>
      </c>
      <c r="B7" s="54">
        <v>1132.4000000000001</v>
      </c>
      <c r="C7" s="54">
        <v>2024</v>
      </c>
      <c r="D7" s="55">
        <v>458127</v>
      </c>
      <c r="E7" s="361">
        <v>498708.64</v>
      </c>
      <c r="F7" s="57">
        <v>166590</v>
      </c>
      <c r="G7" s="57">
        <v>42836</v>
      </c>
      <c r="H7" s="4">
        <f>37608+416</f>
        <v>38024</v>
      </c>
      <c r="I7" s="54">
        <v>64.52</v>
      </c>
      <c r="J7" s="58">
        <f t="shared" si="0"/>
        <v>17.5511469311841</v>
      </c>
      <c r="K7" s="58">
        <f t="shared" si="1"/>
        <v>2.99362890929828</v>
      </c>
      <c r="L7" s="58">
        <f t="shared" si="2"/>
        <v>11.642278457372299</v>
      </c>
      <c r="M7" s="58">
        <f t="shared" si="3"/>
        <v>13.1156280244056</v>
      </c>
    </row>
    <row r="8" spans="1:17" x14ac:dyDescent="0.3">
      <c r="A8" s="59" t="s">
        <v>315</v>
      </c>
      <c r="B8" s="54">
        <v>1147.5999999999999</v>
      </c>
      <c r="C8" s="54">
        <v>543</v>
      </c>
      <c r="D8" s="55">
        <v>311393</v>
      </c>
      <c r="E8" s="361">
        <v>340709.19</v>
      </c>
      <c r="F8" s="57">
        <v>130824</v>
      </c>
      <c r="G8" s="57">
        <v>27326</v>
      </c>
      <c r="H8" s="57">
        <f>22102+869</f>
        <v>22971</v>
      </c>
      <c r="I8" s="54">
        <v>61.33</v>
      </c>
      <c r="J8" s="58">
        <f t="shared" si="0"/>
        <v>18.7118865155715</v>
      </c>
      <c r="K8" s="58">
        <f t="shared" si="1"/>
        <v>2.6043324619335899</v>
      </c>
      <c r="L8" s="58">
        <f t="shared" si="2"/>
        <v>12.4683155236771</v>
      </c>
      <c r="M8" s="58">
        <f t="shared" si="3"/>
        <v>14.8321444429933</v>
      </c>
    </row>
    <row r="9" spans="1:17" ht="15" customHeight="1" x14ac:dyDescent="0.3">
      <c r="A9" s="59" t="s">
        <v>481</v>
      </c>
      <c r="B9" s="54">
        <v>190.8</v>
      </c>
      <c r="C9" s="54">
        <v>2097.6999999999998</v>
      </c>
      <c r="D9" s="55">
        <v>200054</v>
      </c>
      <c r="E9" s="361">
        <v>200184.02</v>
      </c>
      <c r="F9" s="362">
        <v>92624</v>
      </c>
      <c r="G9" s="362">
        <v>21684.9</v>
      </c>
      <c r="H9" s="4">
        <v>18774.2</v>
      </c>
      <c r="I9" s="363">
        <v>13</v>
      </c>
      <c r="J9" s="58">
        <f t="shared" si="0"/>
        <v>14.676923076923099</v>
      </c>
      <c r="K9" s="58">
        <f t="shared" si="1"/>
        <v>2.1612543185351498</v>
      </c>
      <c r="L9" s="58">
        <f t="shared" si="2"/>
        <v>9.23149380444457</v>
      </c>
      <c r="M9" s="58">
        <f t="shared" si="3"/>
        <v>10.662719050612001</v>
      </c>
      <c r="O9" s="57"/>
    </row>
    <row r="10" spans="1:17" x14ac:dyDescent="0.3">
      <c r="A10" s="60" t="s">
        <v>482</v>
      </c>
      <c r="B10" s="61">
        <v>1406.1</v>
      </c>
      <c r="C10" s="41">
        <v>442.8</v>
      </c>
      <c r="D10" s="55">
        <v>137615</v>
      </c>
      <c r="E10" s="364">
        <v>134008.26999999999</v>
      </c>
      <c r="F10" s="365">
        <v>56815.4</v>
      </c>
      <c r="G10" s="41">
        <v>8793.6</v>
      </c>
      <c r="H10" s="41">
        <v>6912</v>
      </c>
      <c r="I10" s="41">
        <v>54.28</v>
      </c>
      <c r="J10" s="58">
        <f t="shared" si="0"/>
        <v>25.904568901989698</v>
      </c>
      <c r="K10" s="58">
        <f t="shared" si="1"/>
        <v>2.3586610320441301</v>
      </c>
      <c r="L10" s="58">
        <f t="shared" si="2"/>
        <v>15.2392956240902</v>
      </c>
      <c r="M10" s="58">
        <f t="shared" si="3"/>
        <v>19.3877705439815</v>
      </c>
    </row>
    <row r="11" spans="1:17" x14ac:dyDescent="0.3">
      <c r="A11" s="53" t="s">
        <v>483</v>
      </c>
      <c r="B11" s="62">
        <f t="shared" ref="B11:M11" si="4">AVERAGE(B6:B10)</f>
        <v>1234.98</v>
      </c>
      <c r="C11" s="62">
        <f t="shared" si="4"/>
        <v>1093.9000000000001</v>
      </c>
      <c r="D11" s="62">
        <f t="shared" si="4"/>
        <v>387537</v>
      </c>
      <c r="E11" s="62">
        <f t="shared" si="4"/>
        <v>403208.44400000002</v>
      </c>
      <c r="F11" s="62">
        <f t="shared" si="4"/>
        <v>142774.88</v>
      </c>
      <c r="G11" s="62">
        <f t="shared" si="4"/>
        <v>34582.9</v>
      </c>
      <c r="H11" s="62">
        <f t="shared" si="4"/>
        <v>30679.040000000001</v>
      </c>
      <c r="I11" s="62">
        <f t="shared" si="4"/>
        <v>65.947999999999993</v>
      </c>
      <c r="J11" s="62">
        <f t="shared" si="4"/>
        <v>18.7332268770962</v>
      </c>
      <c r="K11" s="62">
        <f t="shared" si="4"/>
        <v>2.6545609971760502</v>
      </c>
      <c r="L11" s="62">
        <f t="shared" si="4"/>
        <v>12.0474942705379</v>
      </c>
      <c r="M11" s="62">
        <f t="shared" si="4"/>
        <v>14.125155605131701</v>
      </c>
    </row>
    <row r="12" spans="1:17" x14ac:dyDescent="0.3">
      <c r="A12" s="53" t="s">
        <v>484</v>
      </c>
      <c r="B12" s="62">
        <f t="shared" ref="B12:M12" si="5">MEDIAN(B6:B10)</f>
        <v>1147.5999999999999</v>
      </c>
      <c r="C12" s="62">
        <f t="shared" si="5"/>
        <v>543</v>
      </c>
      <c r="D12" s="62">
        <f t="shared" si="5"/>
        <v>311393</v>
      </c>
      <c r="E12" s="62">
        <f t="shared" si="5"/>
        <v>340709.19</v>
      </c>
      <c r="F12" s="62">
        <f t="shared" si="5"/>
        <v>130824</v>
      </c>
      <c r="G12" s="62">
        <f t="shared" si="5"/>
        <v>27326</v>
      </c>
      <c r="H12" s="62">
        <f t="shared" si="5"/>
        <v>22971</v>
      </c>
      <c r="I12" s="62">
        <f t="shared" si="5"/>
        <v>61.33</v>
      </c>
      <c r="J12" s="62">
        <f t="shared" si="5"/>
        <v>17.5511469311841</v>
      </c>
      <c r="K12" s="62">
        <f t="shared" si="5"/>
        <v>2.6043324619335899</v>
      </c>
      <c r="L12" s="62">
        <f t="shared" si="5"/>
        <v>11.656087943105399</v>
      </c>
      <c r="M12" s="62">
        <f t="shared" si="5"/>
        <v>13.1156280244056</v>
      </c>
      <c r="P12" s="63"/>
      <c r="Q12" s="64"/>
    </row>
    <row r="13" spans="1:17" x14ac:dyDescent="0.3">
      <c r="P13" s="65"/>
    </row>
    <row r="14" spans="1:17" x14ac:dyDescent="0.3">
      <c r="A14" s="225" t="s">
        <v>485</v>
      </c>
      <c r="B14" s="225"/>
      <c r="C14" s="225"/>
      <c r="D14" s="225"/>
      <c r="E14" s="225"/>
      <c r="F14" s="225"/>
      <c r="G14" s="225"/>
      <c r="H14" s="225"/>
      <c r="I14" s="225"/>
      <c r="J14" s="225"/>
      <c r="K14" s="225"/>
      <c r="L14" s="225"/>
      <c r="M14" s="225"/>
    </row>
    <row r="15" spans="1:17" ht="36" customHeight="1" x14ac:dyDescent="0.3">
      <c r="A15" s="226" t="s">
        <v>486</v>
      </c>
      <c r="B15" s="223" t="s">
        <v>487</v>
      </c>
      <c r="C15" s="223" t="s">
        <v>488</v>
      </c>
      <c r="D15" s="226" t="s">
        <v>489</v>
      </c>
      <c r="E15" s="224" t="s">
        <v>490</v>
      </c>
      <c r="F15" s="224" t="s">
        <v>491</v>
      </c>
      <c r="G15" s="224" t="s">
        <v>492</v>
      </c>
      <c r="H15" s="224" t="s">
        <v>493</v>
      </c>
      <c r="I15" s="227" t="s">
        <v>494</v>
      </c>
      <c r="J15" s="227" t="s">
        <v>495</v>
      </c>
      <c r="K15" s="226" t="s">
        <v>496</v>
      </c>
      <c r="L15" s="224" t="s">
        <v>497</v>
      </c>
      <c r="M15" s="224" t="s">
        <v>498</v>
      </c>
    </row>
    <row r="16" spans="1:17" x14ac:dyDescent="0.3">
      <c r="A16" s="53" t="s">
        <v>499</v>
      </c>
      <c r="B16" s="66">
        <f>K11</f>
        <v>2.6545609971760502</v>
      </c>
      <c r="C16" s="66">
        <f>K12</f>
        <v>2.6043324619335899</v>
      </c>
      <c r="D16" s="66">
        <f>K5</f>
        <v>2.8645822499976399</v>
      </c>
      <c r="E16" s="67">
        <f>B16*F5</f>
        <v>112308.10484412601</v>
      </c>
      <c r="F16" s="67">
        <f>C16*F5</f>
        <v>110183.056066502</v>
      </c>
      <c r="G16" s="67">
        <f>E16-(E5-D5)</f>
        <v>115120.504844126</v>
      </c>
      <c r="H16" s="67">
        <f>F16-(E5-D5)</f>
        <v>112995.456066502</v>
      </c>
      <c r="I16" s="68">
        <f>G16/C5</f>
        <v>3889.2062447339699</v>
      </c>
      <c r="J16" s="68">
        <f>H16/C5</f>
        <v>3817.41405630073</v>
      </c>
      <c r="K16" s="68">
        <f>B5</f>
        <v>4167.8</v>
      </c>
      <c r="L16" s="69">
        <f>(B5-I16)/I16</f>
        <v>7.1632548580638306E-2</v>
      </c>
      <c r="M16" s="69">
        <f>(B5-J16)/J16</f>
        <v>9.1786203574367897E-2</v>
      </c>
    </row>
    <row r="17" spans="1:17" x14ac:dyDescent="0.3">
      <c r="A17" s="53" t="s">
        <v>500</v>
      </c>
      <c r="B17" s="66">
        <f>L11</f>
        <v>12.0474942705379</v>
      </c>
      <c r="C17" s="66">
        <f>L12</f>
        <v>11.656087943105399</v>
      </c>
      <c r="D17" s="66">
        <f>L5</f>
        <v>16.0410842863194</v>
      </c>
      <c r="E17" s="67">
        <f>B17*G5</f>
        <v>91021.228712768105</v>
      </c>
      <c r="F17" s="67">
        <f>C17*G5</f>
        <v>88064.075627749902</v>
      </c>
      <c r="G17" s="67">
        <f>E17-(E5-D5)</f>
        <v>93833.628712768099</v>
      </c>
      <c r="H17" s="67">
        <f>F17-(E5-D5)</f>
        <v>90876.475627749896</v>
      </c>
      <c r="I17" s="68">
        <f>G17/C5</f>
        <v>3170.0550240799998</v>
      </c>
      <c r="J17" s="68">
        <f>H17/C5</f>
        <v>3070.1512036402</v>
      </c>
      <c r="K17" s="68">
        <f>K16</f>
        <v>4167.8</v>
      </c>
      <c r="L17" s="69">
        <f>(B5-I17)/I17</f>
        <v>0.31474058599647198</v>
      </c>
      <c r="M17" s="69">
        <f>(B5-J17)/J17</f>
        <v>0.357522715838343</v>
      </c>
    </row>
    <row r="18" spans="1:17" x14ac:dyDescent="0.3">
      <c r="A18" s="53" t="s">
        <v>501</v>
      </c>
      <c r="B18" s="66">
        <f>J11</f>
        <v>18.7332268770962</v>
      </c>
      <c r="C18" s="66">
        <f>J12</f>
        <v>17.5511469311841</v>
      </c>
      <c r="D18" s="66">
        <f>J5</f>
        <v>24.661538461538498</v>
      </c>
      <c r="E18" s="68">
        <f>B18*I5</f>
        <v>3165.9153422292602</v>
      </c>
      <c r="F18" s="68">
        <f>C18*I5</f>
        <v>2966.1438313701201</v>
      </c>
      <c r="G18" s="67">
        <f>E18*C5</f>
        <v>93711.094129985999</v>
      </c>
      <c r="H18" s="67">
        <f>F18*C5</f>
        <v>87797.857408555501</v>
      </c>
      <c r="I18" s="68">
        <f>E18</f>
        <v>3165.9153422292602</v>
      </c>
      <c r="J18" s="68">
        <f>F18</f>
        <v>2966.1438313701201</v>
      </c>
      <c r="K18" s="68">
        <f>K17</f>
        <v>4167.8</v>
      </c>
      <c r="L18" s="69">
        <f>(B5-I18)/I18</f>
        <v>0.316459712111339</v>
      </c>
      <c r="M18" s="69">
        <f>(B5-J18)/J18</f>
        <v>0.40512403880118503</v>
      </c>
    </row>
    <row r="19" spans="1:17" x14ac:dyDescent="0.3">
      <c r="A19" s="70"/>
      <c r="B19" s="71"/>
      <c r="C19" s="72"/>
      <c r="D19" s="71"/>
      <c r="E19" s="71"/>
      <c r="F19" s="71"/>
      <c r="G19" s="71"/>
      <c r="H19" s="71"/>
      <c r="I19" s="71"/>
      <c r="J19" s="71"/>
      <c r="K19" s="71"/>
      <c r="L19" s="71"/>
      <c r="M19" s="73"/>
      <c r="N19" s="71"/>
      <c r="O19" s="74"/>
      <c r="P19" s="74"/>
      <c r="Q19" s="74"/>
    </row>
    <row r="20" spans="1:17" x14ac:dyDescent="0.3">
      <c r="A20" s="70"/>
      <c r="B20" s="71"/>
      <c r="C20" s="72"/>
      <c r="D20" s="71"/>
      <c r="E20" s="71"/>
      <c r="F20" s="71"/>
      <c r="G20" s="71"/>
      <c r="H20" s="71"/>
      <c r="I20" s="71"/>
      <c r="J20" s="71"/>
      <c r="K20" s="71"/>
      <c r="L20" s="71"/>
      <c r="M20" s="73"/>
      <c r="N20" s="71"/>
      <c r="O20" s="228" t="s">
        <v>502</v>
      </c>
      <c r="P20" s="228" t="s">
        <v>479</v>
      </c>
      <c r="Q20" s="228" t="s">
        <v>503</v>
      </c>
    </row>
    <row r="21" spans="1:17" x14ac:dyDescent="0.3">
      <c r="A21" s="71" t="s">
        <v>504</v>
      </c>
      <c r="B21" s="71"/>
      <c r="C21" s="71"/>
      <c r="D21" s="71"/>
      <c r="E21" s="71"/>
      <c r="F21" s="71"/>
      <c r="G21" s="71"/>
      <c r="H21" s="71"/>
      <c r="I21" s="71"/>
      <c r="J21" s="71"/>
      <c r="K21" s="71"/>
      <c r="L21" s="71"/>
      <c r="M21" s="71"/>
      <c r="N21" s="71"/>
      <c r="O21" s="74">
        <f>MAX(K6:K10)</f>
        <v>3.1549282640691199</v>
      </c>
      <c r="P21" s="74">
        <f>MAX(L6:L10)</f>
        <v>15.2392956240902</v>
      </c>
      <c r="Q21" s="74">
        <f>MAX(J6:J10)</f>
        <v>25.904568901989698</v>
      </c>
    </row>
    <row r="22" spans="1:17" x14ac:dyDescent="0.3">
      <c r="A22" s="71" t="s">
        <v>505</v>
      </c>
      <c r="B22" s="71"/>
      <c r="C22" s="71"/>
      <c r="D22" s="71"/>
      <c r="E22" s="71"/>
      <c r="F22" s="71"/>
      <c r="G22" s="71"/>
      <c r="H22" s="71"/>
      <c r="I22" s="71"/>
      <c r="J22" s="71"/>
      <c r="K22" s="71"/>
      <c r="L22" s="71"/>
      <c r="M22" s="71"/>
      <c r="N22" s="71"/>
      <c r="O22" s="75">
        <f>QUARTILE(K6:K10,3)</f>
        <v>2.99362890929828</v>
      </c>
      <c r="P22" s="75">
        <f>QUARTILE(L6:L10,3)</f>
        <v>12.4683155236771</v>
      </c>
      <c r="Q22" s="75">
        <f>QUARTILE(J6:J10,3)</f>
        <v>18.7118865155715</v>
      </c>
    </row>
    <row r="23" spans="1:17" x14ac:dyDescent="0.3">
      <c r="A23" s="76" t="s">
        <v>506</v>
      </c>
      <c r="B23" s="71"/>
      <c r="C23" s="71"/>
      <c r="D23" s="71"/>
      <c r="E23" s="71"/>
      <c r="F23" s="71"/>
      <c r="G23" s="71"/>
      <c r="H23" s="71"/>
      <c r="I23" s="71"/>
      <c r="J23" s="71"/>
      <c r="K23" s="71"/>
      <c r="L23" s="71"/>
      <c r="M23" s="71"/>
      <c r="N23" s="71"/>
      <c r="O23" s="74">
        <f>AVERAGE(K6:K10)</f>
        <v>2.6545609971760502</v>
      </c>
      <c r="P23" s="74">
        <f>AVERAGE(L6:L10)</f>
        <v>12.0474942705379</v>
      </c>
      <c r="Q23" s="74">
        <f>AVERAGE(J6:J10)</f>
        <v>18.7332268770962</v>
      </c>
    </row>
    <row r="24" spans="1:17" x14ac:dyDescent="0.3">
      <c r="A24" s="76" t="s">
        <v>507</v>
      </c>
      <c r="B24" s="71"/>
      <c r="C24" s="71"/>
      <c r="D24" s="71"/>
      <c r="E24" s="71"/>
      <c r="F24" s="71"/>
      <c r="G24" s="71"/>
      <c r="H24" s="71"/>
      <c r="I24" s="71"/>
      <c r="J24" s="71"/>
      <c r="K24" s="71"/>
      <c r="L24" s="74"/>
      <c r="M24" s="71"/>
      <c r="N24" s="71"/>
      <c r="O24" s="74">
        <f>MEDIAN(K6:K10)</f>
        <v>2.6043324619335899</v>
      </c>
      <c r="P24" s="74">
        <f>MEDIAN(L6:L10)</f>
        <v>11.656087943105399</v>
      </c>
      <c r="Q24" s="74">
        <f>MEDIAN(J6:J10)</f>
        <v>17.5511469311841</v>
      </c>
    </row>
    <row r="25" spans="1:17" x14ac:dyDescent="0.3">
      <c r="A25" s="71" t="s">
        <v>508</v>
      </c>
      <c r="B25" s="71"/>
      <c r="C25" s="71"/>
      <c r="D25" s="71"/>
      <c r="E25" s="71"/>
      <c r="F25" s="71"/>
      <c r="G25" s="71"/>
      <c r="H25" s="71"/>
      <c r="I25" s="71"/>
      <c r="J25" s="71"/>
      <c r="K25" s="71"/>
      <c r="L25" s="71"/>
      <c r="M25" s="71"/>
      <c r="N25" s="71"/>
      <c r="O25" s="74">
        <f>QUARTILE(K6:K10,1)</f>
        <v>2.3586610320441301</v>
      </c>
      <c r="P25" s="74">
        <f>QUARTILE(L6:L10,1)</f>
        <v>11.642278457372299</v>
      </c>
      <c r="Q25" s="74">
        <f>QUARTILE(J6:J10,1)</f>
        <v>16.8216089598126</v>
      </c>
    </row>
    <row r="26" spans="1:17" x14ac:dyDescent="0.3">
      <c r="A26" s="71" t="s">
        <v>509</v>
      </c>
      <c r="B26" s="71"/>
      <c r="C26" s="71"/>
      <c r="D26" s="71"/>
      <c r="E26" s="71"/>
      <c r="F26" s="71"/>
      <c r="G26" s="71"/>
      <c r="H26" s="71"/>
      <c r="I26" s="71"/>
      <c r="J26" s="71"/>
      <c r="K26" s="71"/>
      <c r="L26" s="71"/>
      <c r="M26" s="71"/>
      <c r="N26" s="71"/>
      <c r="O26" s="74">
        <f>MIN(K6:K10)</f>
        <v>2.1612543185351498</v>
      </c>
      <c r="P26" s="74">
        <f>MIN(L6:L10)</f>
        <v>9.23149380444457</v>
      </c>
      <c r="Q26" s="74">
        <f>MIN(J6:J10)</f>
        <v>14.676923076923099</v>
      </c>
    </row>
    <row r="27" spans="1:17" x14ac:dyDescent="0.3">
      <c r="A27" s="71"/>
      <c r="B27" s="71"/>
      <c r="C27" s="71"/>
      <c r="D27" s="71"/>
      <c r="E27" s="71"/>
      <c r="F27" s="71"/>
      <c r="G27" s="71"/>
      <c r="H27" s="71"/>
      <c r="I27" s="71"/>
      <c r="J27" s="71"/>
      <c r="K27" s="71"/>
      <c r="L27" s="71"/>
      <c r="M27" s="71"/>
      <c r="N27" s="71"/>
      <c r="O27" s="71"/>
      <c r="P27" s="71"/>
      <c r="Q27" s="71"/>
    </row>
    <row r="28" spans="1:17" x14ac:dyDescent="0.3">
      <c r="A28" s="229" t="s">
        <v>510</v>
      </c>
      <c r="B28" s="229"/>
      <c r="C28" s="229"/>
      <c r="D28" s="230"/>
      <c r="E28" s="230"/>
      <c r="F28" s="230"/>
      <c r="G28" s="230"/>
      <c r="H28" s="230"/>
      <c r="I28" s="230"/>
      <c r="J28" s="230"/>
      <c r="K28" s="230"/>
      <c r="L28" s="230"/>
      <c r="M28" s="230"/>
      <c r="N28" s="230"/>
      <c r="O28" s="228" t="s">
        <v>502</v>
      </c>
      <c r="P28" s="228" t="s">
        <v>479</v>
      </c>
      <c r="Q28" s="228" t="s">
        <v>503</v>
      </c>
    </row>
    <row r="29" spans="1:17" x14ac:dyDescent="0.3">
      <c r="A29" s="71"/>
      <c r="B29" s="71"/>
      <c r="C29" s="71"/>
      <c r="D29" s="71"/>
      <c r="E29" s="71"/>
      <c r="F29" s="71"/>
      <c r="G29" s="71"/>
      <c r="H29" s="71"/>
      <c r="I29" s="71"/>
      <c r="J29" s="71"/>
      <c r="K29" s="71"/>
      <c r="L29" s="71"/>
      <c r="M29" s="71"/>
      <c r="N29" s="71"/>
      <c r="O29" s="228" t="s">
        <v>274</v>
      </c>
      <c r="P29" s="228"/>
      <c r="Q29" s="228"/>
    </row>
    <row r="30" spans="1:17" x14ac:dyDescent="0.3">
      <c r="A30" s="71" t="s">
        <v>511</v>
      </c>
      <c r="B30" s="71"/>
      <c r="C30" s="71"/>
      <c r="D30" s="71"/>
      <c r="E30" s="71"/>
      <c r="F30" s="71"/>
      <c r="G30" s="71"/>
      <c r="H30" s="71"/>
      <c r="I30" s="71"/>
      <c r="J30" s="71"/>
      <c r="K30" s="71"/>
      <c r="L30" s="71"/>
      <c r="M30" s="71"/>
      <c r="N30" s="71"/>
      <c r="O30" s="75">
        <f>O23*F5</f>
        <v>112308.10484412601</v>
      </c>
      <c r="P30" s="75">
        <f>P23*G5</f>
        <v>91021.228712768105</v>
      </c>
      <c r="Q30" s="75">
        <f>Q23*I5*C5</f>
        <v>93711.094129985999</v>
      </c>
    </row>
    <row r="31" spans="1:17" x14ac:dyDescent="0.3">
      <c r="A31" s="71" t="s">
        <v>512</v>
      </c>
      <c r="B31" s="71"/>
      <c r="C31" s="71"/>
      <c r="D31" s="71"/>
      <c r="E31" s="71"/>
      <c r="F31" s="71"/>
      <c r="G31" s="71"/>
      <c r="H31" s="71"/>
      <c r="I31" s="71"/>
      <c r="J31" s="71"/>
      <c r="K31" s="71"/>
      <c r="L31" s="71"/>
      <c r="M31" s="71"/>
      <c r="N31" s="71"/>
      <c r="O31" s="75">
        <f>E5-D5</f>
        <v>-2812.3999999999901</v>
      </c>
      <c r="P31" s="75">
        <f>E5-D5</f>
        <v>-2812.3999999999901</v>
      </c>
      <c r="Q31" s="75">
        <f>E5-D5</f>
        <v>-2812.3999999999901</v>
      </c>
    </row>
    <row r="32" spans="1:17" x14ac:dyDescent="0.3">
      <c r="A32" s="71" t="s">
        <v>513</v>
      </c>
      <c r="B32" s="71"/>
      <c r="C32" s="71"/>
      <c r="D32" s="71"/>
      <c r="E32" s="71"/>
      <c r="F32" s="71"/>
      <c r="G32" s="71"/>
      <c r="H32" s="71"/>
      <c r="I32" s="71"/>
      <c r="J32" s="71"/>
      <c r="K32" s="71"/>
      <c r="L32" s="71"/>
      <c r="M32" s="71"/>
      <c r="N32" s="71"/>
      <c r="O32" s="75">
        <f>O30-O31</f>
        <v>115120.504844126</v>
      </c>
      <c r="P32" s="75">
        <f>P30-P31</f>
        <v>93833.628712768099</v>
      </c>
      <c r="Q32" s="75">
        <f>Q30-Q31</f>
        <v>96523.494129985993</v>
      </c>
    </row>
    <row r="33" spans="1:17" x14ac:dyDescent="0.3">
      <c r="A33" s="71" t="s">
        <v>514</v>
      </c>
      <c r="B33" s="71"/>
      <c r="C33" s="71"/>
      <c r="D33" s="71"/>
      <c r="E33" s="71"/>
      <c r="F33" s="71"/>
      <c r="G33" s="71"/>
      <c r="H33" s="71"/>
      <c r="I33" s="71"/>
      <c r="J33" s="71"/>
      <c r="K33" s="71"/>
      <c r="L33" s="71"/>
      <c r="M33" s="71"/>
      <c r="N33" s="71"/>
      <c r="O33" s="75">
        <f>C5</f>
        <v>29.6</v>
      </c>
      <c r="P33" s="75">
        <f>C5</f>
        <v>29.6</v>
      </c>
      <c r="Q33" s="75">
        <f>C5</f>
        <v>29.6</v>
      </c>
    </row>
    <row r="34" spans="1:17" x14ac:dyDescent="0.3">
      <c r="A34" s="71"/>
      <c r="B34" s="71"/>
      <c r="C34" s="71"/>
      <c r="D34" s="71"/>
      <c r="E34" s="71"/>
      <c r="F34" s="71"/>
      <c r="G34" s="71"/>
      <c r="H34" s="71"/>
      <c r="I34" s="71"/>
      <c r="J34" s="71"/>
      <c r="K34" s="71"/>
      <c r="L34" s="71"/>
      <c r="M34" s="71"/>
      <c r="N34" s="71"/>
      <c r="O34" s="71"/>
      <c r="P34" s="71"/>
      <c r="Q34" s="71"/>
    </row>
    <row r="35" spans="1:17" ht="15" customHeight="1" x14ac:dyDescent="0.3">
      <c r="A35" s="77" t="s">
        <v>515</v>
      </c>
      <c r="B35" s="78"/>
      <c r="C35" s="78"/>
      <c r="D35" s="78"/>
      <c r="E35" s="78"/>
      <c r="F35" s="78"/>
      <c r="G35" s="78"/>
      <c r="H35" s="78"/>
      <c r="I35" s="78"/>
      <c r="J35" s="78"/>
      <c r="K35" s="78"/>
      <c r="L35" s="78"/>
      <c r="M35" s="78"/>
      <c r="N35" s="78"/>
      <c r="O35" s="77">
        <f>O32/O33</f>
        <v>3889.2062447339699</v>
      </c>
      <c r="P35" s="79">
        <f>P32/P33</f>
        <v>3170.0550240799998</v>
      </c>
      <c r="Q35" s="79">
        <f>Q23*I5</f>
        <v>3165.9153422292602</v>
      </c>
    </row>
  </sheetData>
  <mergeCells count="6">
    <mergeCell ref="A1:M1"/>
    <mergeCell ref="B3:E3"/>
    <mergeCell ref="F3:I3"/>
    <mergeCell ref="J3:M3"/>
    <mergeCell ref="A14:M14"/>
    <mergeCell ref="A3:A4"/>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9"/>
  <sheetViews>
    <sheetView workbookViewId="0">
      <selection activeCell="D23" sqref="D23"/>
    </sheetView>
  </sheetViews>
  <sheetFormatPr defaultColWidth="8.6640625" defaultRowHeight="14.4" x14ac:dyDescent="0.3"/>
  <cols>
    <col min="1" max="1" width="24.5546875" style="1" customWidth="1"/>
    <col min="2" max="3" width="9.88671875" style="1" customWidth="1"/>
    <col min="4" max="7" width="11.33203125" style="1" customWidth="1"/>
    <col min="8" max="12" width="12.33203125" style="1" customWidth="1"/>
    <col min="13" max="13" width="11.6640625" style="1" customWidth="1"/>
    <col min="14" max="14" width="8" style="1" customWidth="1"/>
    <col min="15" max="15" width="7" style="1" customWidth="1"/>
  </cols>
  <sheetData>
    <row r="1" spans="1:16" x14ac:dyDescent="0.3">
      <c r="A1" s="40" t="s">
        <v>516</v>
      </c>
      <c r="B1" s="41"/>
      <c r="C1" s="41"/>
      <c r="D1" s="41"/>
      <c r="E1" s="41"/>
      <c r="F1" s="41"/>
      <c r="G1" s="41"/>
      <c r="H1" s="41"/>
      <c r="I1" s="41"/>
      <c r="J1" s="41"/>
      <c r="K1" s="41"/>
      <c r="L1" s="41"/>
    </row>
    <row r="2" spans="1:16" x14ac:dyDescent="0.3">
      <c r="A2" s="42" t="s">
        <v>517</v>
      </c>
      <c r="B2" s="43" t="s">
        <v>518</v>
      </c>
      <c r="C2" s="43" t="s">
        <v>519</v>
      </c>
      <c r="D2" s="43" t="s">
        <v>520</v>
      </c>
      <c r="E2" s="43" t="s">
        <v>521</v>
      </c>
      <c r="F2" s="43" t="s">
        <v>522</v>
      </c>
      <c r="G2" s="43" t="s">
        <v>523</v>
      </c>
      <c r="H2" s="43" t="s">
        <v>524</v>
      </c>
      <c r="I2" s="43" t="s">
        <v>525</v>
      </c>
      <c r="J2" s="43" t="s">
        <v>526</v>
      </c>
      <c r="K2" s="43" t="s">
        <v>527</v>
      </c>
      <c r="L2" s="43" t="s">
        <v>528</v>
      </c>
    </row>
    <row r="3" spans="1:16" x14ac:dyDescent="0.3">
      <c r="A3" s="41" t="s">
        <v>529</v>
      </c>
      <c r="B3" s="44">
        <f>'Assumptions (Historical FS)'!F3</f>
        <v>42307.6</v>
      </c>
      <c r="C3" s="44">
        <f t="shared" ref="C3:L3" si="0">B3*(1+C4)</f>
        <v>51605.4387137495</v>
      </c>
      <c r="D3" s="44">
        <f t="shared" si="0"/>
        <v>62109.098533694203</v>
      </c>
      <c r="E3" s="44">
        <f t="shared" si="0"/>
        <v>73742.6367012384</v>
      </c>
      <c r="F3" s="44">
        <f t="shared" si="0"/>
        <v>86358.407837847597</v>
      </c>
      <c r="G3" s="44">
        <f t="shared" si="0"/>
        <v>99730.891012980806</v>
      </c>
      <c r="H3" s="44">
        <f t="shared" si="0"/>
        <v>113555.47969789201</v>
      </c>
      <c r="I3" s="44">
        <f t="shared" si="0"/>
        <v>127453.443119042</v>
      </c>
      <c r="J3" s="44">
        <f t="shared" si="0"/>
        <v>140983.83199592901</v>
      </c>
      <c r="K3" s="44">
        <f t="shared" si="0"/>
        <v>153662.470041369</v>
      </c>
      <c r="L3" s="44">
        <f t="shared" si="0"/>
        <v>164987.39408341801</v>
      </c>
      <c r="M3" s="45">
        <f>'Assumptions (Historical FS)'!B22</f>
        <v>0.21976757636333599</v>
      </c>
      <c r="P3" t="s">
        <v>530</v>
      </c>
    </row>
    <row r="4" spans="1:16" x14ac:dyDescent="0.3">
      <c r="A4" s="41" t="s">
        <v>531</v>
      </c>
      <c r="B4" s="46"/>
      <c r="C4" s="47">
        <f>M3</f>
        <v>0.21976757636333599</v>
      </c>
      <c r="D4" s="48">
        <f t="shared" ref="D4:L4" si="1">C4-$O$4</f>
        <v>0.20353784565629901</v>
      </c>
      <c r="E4" s="48">
        <f t="shared" si="1"/>
        <v>0.187308114949261</v>
      </c>
      <c r="F4" s="48">
        <f t="shared" si="1"/>
        <v>0.17107838424222399</v>
      </c>
      <c r="G4" s="48">
        <f t="shared" si="1"/>
        <v>0.15484865353518701</v>
      </c>
      <c r="H4" s="48">
        <f t="shared" si="1"/>
        <v>0.138618922828149</v>
      </c>
      <c r="I4" s="48">
        <f t="shared" si="1"/>
        <v>0.122389192121112</v>
      </c>
      <c r="J4" s="48">
        <f t="shared" si="1"/>
        <v>0.10615946141407499</v>
      </c>
      <c r="K4" s="48">
        <f t="shared" si="1"/>
        <v>8.9929730707037303E-2</v>
      </c>
      <c r="L4" s="48">
        <f t="shared" si="1"/>
        <v>7.3700000000000002E-2</v>
      </c>
      <c r="M4" s="45">
        <v>7.3700000000000002E-2</v>
      </c>
      <c r="N4" s="45">
        <f>M3-M4</f>
        <v>0.146067576363336</v>
      </c>
      <c r="O4" s="45">
        <f>N4/9</f>
        <v>1.6229730707037301E-2</v>
      </c>
      <c r="P4" s="49">
        <f>M4</f>
        <v>7.3700000000000002E-2</v>
      </c>
    </row>
    <row r="5" spans="1:16" x14ac:dyDescent="0.3">
      <c r="A5" s="41"/>
      <c r="B5" s="46"/>
      <c r="C5" s="47"/>
      <c r="D5" s="47"/>
      <c r="E5" s="47"/>
      <c r="F5" s="47"/>
      <c r="G5" s="47"/>
      <c r="H5" s="47"/>
      <c r="I5" s="47"/>
      <c r="J5" s="47"/>
      <c r="K5" s="47"/>
      <c r="L5" s="47"/>
    </row>
    <row r="6" spans="1:16" x14ac:dyDescent="0.3">
      <c r="A6" s="40" t="s">
        <v>532</v>
      </c>
      <c r="B6" s="43"/>
      <c r="C6" s="43"/>
      <c r="D6" s="43"/>
      <c r="E6" s="43"/>
      <c r="F6" s="43"/>
      <c r="G6" s="43"/>
      <c r="H6" s="43"/>
      <c r="I6" s="43"/>
      <c r="J6" s="43"/>
      <c r="K6" s="43"/>
      <c r="L6" s="43"/>
    </row>
    <row r="7" spans="1:16" x14ac:dyDescent="0.3">
      <c r="A7" s="42" t="s">
        <v>517</v>
      </c>
      <c r="B7" s="43" t="s">
        <v>518</v>
      </c>
      <c r="C7" s="43" t="s">
        <v>519</v>
      </c>
      <c r="D7" s="43" t="s">
        <v>520</v>
      </c>
      <c r="E7" s="43" t="s">
        <v>521</v>
      </c>
      <c r="F7" s="43" t="s">
        <v>522</v>
      </c>
      <c r="G7" s="43" t="s">
        <v>523</v>
      </c>
      <c r="H7" s="43" t="s">
        <v>524</v>
      </c>
      <c r="I7" s="43" t="s">
        <v>525</v>
      </c>
      <c r="J7" s="43" t="s">
        <v>526</v>
      </c>
      <c r="K7" s="43" t="s">
        <v>527</v>
      </c>
      <c r="L7" s="43" t="s">
        <v>528</v>
      </c>
      <c r="M7" s="50" t="s">
        <v>533</v>
      </c>
      <c r="N7" s="45">
        <f>'Assumptions (Historical FS)'!B21</f>
        <v>0.34284626415671698</v>
      </c>
    </row>
    <row r="8" spans="1:16" x14ac:dyDescent="0.3">
      <c r="A8" s="41" t="s">
        <v>529</v>
      </c>
      <c r="B8" s="44">
        <f>B3</f>
        <v>42307.6</v>
      </c>
      <c r="C8" s="44">
        <f>B8*(1+C9)</f>
        <v>56812.602605436703</v>
      </c>
      <c r="D8" s="44">
        <f t="shared" ref="D8:L8" si="2">C8*(1+D9)</f>
        <v>74591.602304811604</v>
      </c>
      <c r="E8" s="44">
        <f t="shared" si="2"/>
        <v>95703.709804079001</v>
      </c>
      <c r="F8" s="44">
        <f t="shared" si="2"/>
        <v>119929.270523111</v>
      </c>
      <c r="G8" s="44">
        <f t="shared" si="2"/>
        <v>146700.56616307201</v>
      </c>
      <c r="H8" s="44">
        <f t="shared" si="2"/>
        <v>175060.802037054</v>
      </c>
      <c r="I8" s="44">
        <f t="shared" si="2"/>
        <v>203668.43677003501</v>
      </c>
      <c r="J8" s="44">
        <f t="shared" si="2"/>
        <v>230860.26697849599</v>
      </c>
      <c r="K8" s="44">
        <f t="shared" si="2"/>
        <v>254778.577365865</v>
      </c>
      <c r="L8" s="44">
        <f t="shared" si="2"/>
        <v>273555.75851772999</v>
      </c>
      <c r="N8" s="45">
        <f>M4</f>
        <v>7.3700000000000002E-2</v>
      </c>
      <c r="O8" s="45">
        <f>N7-N8</f>
        <v>0.269146264156717</v>
      </c>
      <c r="P8" s="49">
        <f>O8/9</f>
        <v>2.99051404618575E-2</v>
      </c>
    </row>
    <row r="9" spans="1:16" x14ac:dyDescent="0.3">
      <c r="A9" s="41" t="s">
        <v>531</v>
      </c>
      <c r="B9" s="46"/>
      <c r="C9" s="47">
        <f>N7</f>
        <v>0.34284626415671698</v>
      </c>
      <c r="D9" s="47">
        <f>C9-$P$8</f>
        <v>0.31294112369485999</v>
      </c>
      <c r="E9" s="47">
        <f t="shared" ref="E9:L9" si="3">D9-$P$8</f>
        <v>0.283035983233002</v>
      </c>
      <c r="F9" s="47">
        <f t="shared" si="3"/>
        <v>0.253130842771145</v>
      </c>
      <c r="G9" s="47">
        <f t="shared" si="3"/>
        <v>0.22322570230928701</v>
      </c>
      <c r="H9" s="47">
        <f t="shared" si="3"/>
        <v>0.19332056184742999</v>
      </c>
      <c r="I9" s="47">
        <f t="shared" si="3"/>
        <v>0.163415421385572</v>
      </c>
      <c r="J9" s="47">
        <f t="shared" si="3"/>
        <v>0.133510280923715</v>
      </c>
      <c r="K9" s="47">
        <f t="shared" si="3"/>
        <v>0.103605140461857</v>
      </c>
      <c r="L9" s="47">
        <f t="shared" si="3"/>
        <v>7.3699999999999904E-2</v>
      </c>
    </row>
    <row r="10" spans="1:16" x14ac:dyDescent="0.3">
      <c r="A10" s="41"/>
      <c r="B10" s="46"/>
      <c r="C10" s="46"/>
      <c r="D10" s="46"/>
      <c r="E10" s="46"/>
      <c r="F10" s="46"/>
      <c r="G10" s="46"/>
      <c r="H10" s="46"/>
      <c r="I10" s="46"/>
      <c r="J10" s="46"/>
      <c r="K10" s="46"/>
      <c r="L10" s="46"/>
    </row>
    <row r="11" spans="1:16" x14ac:dyDescent="0.3">
      <c r="A11" s="40" t="s">
        <v>534</v>
      </c>
      <c r="B11" s="46"/>
      <c r="C11" s="46"/>
      <c r="D11" s="46"/>
      <c r="E11" s="46"/>
      <c r="F11" s="46"/>
      <c r="G11" s="46"/>
      <c r="H11" s="46"/>
      <c r="I11" s="46"/>
      <c r="J11" s="46"/>
      <c r="K11" s="46"/>
      <c r="L11" s="46"/>
    </row>
    <row r="12" spans="1:16" x14ac:dyDescent="0.3">
      <c r="A12" s="42" t="s">
        <v>517</v>
      </c>
      <c r="B12" s="43" t="s">
        <v>518</v>
      </c>
      <c r="C12" s="43" t="s">
        <v>519</v>
      </c>
      <c r="D12" s="43" t="s">
        <v>520</v>
      </c>
      <c r="E12" s="43" t="s">
        <v>521</v>
      </c>
      <c r="F12" s="43" t="s">
        <v>522</v>
      </c>
      <c r="G12" s="43" t="s">
        <v>523</v>
      </c>
      <c r="H12" s="43" t="s">
        <v>524</v>
      </c>
      <c r="I12" s="43" t="s">
        <v>525</v>
      </c>
      <c r="J12" s="43" t="s">
        <v>526</v>
      </c>
      <c r="K12" s="43" t="s">
        <v>527</v>
      </c>
      <c r="L12" s="43" t="s">
        <v>528</v>
      </c>
      <c r="N12" s="45">
        <f>'Assumptions (Historical FS)'!C46</f>
        <v>4.0507542230255197E-2</v>
      </c>
    </row>
    <row r="13" spans="1:16" x14ac:dyDescent="0.3">
      <c r="A13" s="41" t="s">
        <v>529</v>
      </c>
      <c r="B13" s="44">
        <f>B8</f>
        <v>42307.6</v>
      </c>
      <c r="C13" s="44">
        <f>B13*(1+C14)</f>
        <v>44021.376893660701</v>
      </c>
      <c r="D13" s="44">
        <f t="shared" ref="D13:L13" si="4">C13*(1+D14)</f>
        <v>45966.927754271201</v>
      </c>
      <c r="E13" s="44">
        <f t="shared" si="4"/>
        <v>48167.991756647702</v>
      </c>
      <c r="F13" s="44">
        <f t="shared" si="4"/>
        <v>50652.096727622004</v>
      </c>
      <c r="G13" s="44">
        <f t="shared" si="4"/>
        <v>53451.1187111252</v>
      </c>
      <c r="H13" s="44">
        <f t="shared" si="4"/>
        <v>56601.944382106398</v>
      </c>
      <c r="I13" s="44">
        <f t="shared" si="4"/>
        <v>60147.255133538099</v>
      </c>
      <c r="J13" s="44">
        <f t="shared" si="4"/>
        <v>64136.455564438496</v>
      </c>
      <c r="K13" s="44">
        <f t="shared" si="4"/>
        <v>68626.773829223894</v>
      </c>
      <c r="L13" s="44">
        <f t="shared" si="4"/>
        <v>73684.567060437694</v>
      </c>
      <c r="N13" s="45">
        <f>N8</f>
        <v>7.3700000000000002E-2</v>
      </c>
      <c r="O13" s="45">
        <f>N12-N13</f>
        <v>-3.3192457769744797E-2</v>
      </c>
      <c r="P13">
        <f>O13/9</f>
        <v>-3.68805086330498E-3</v>
      </c>
    </row>
    <row r="14" spans="1:16" x14ac:dyDescent="0.3">
      <c r="A14" s="41" t="s">
        <v>531</v>
      </c>
      <c r="B14" s="46"/>
      <c r="C14" s="47">
        <f>N12</f>
        <v>4.0507542230255197E-2</v>
      </c>
      <c r="D14" s="47">
        <f>C14-($P$13)</f>
        <v>4.41955930935602E-2</v>
      </c>
      <c r="E14" s="47">
        <f t="shared" ref="E14:L14" si="5">D14-($P$13)</f>
        <v>4.7883643956865202E-2</v>
      </c>
      <c r="F14" s="47">
        <f t="shared" si="5"/>
        <v>5.15716948201701E-2</v>
      </c>
      <c r="G14" s="47">
        <f t="shared" si="5"/>
        <v>5.5259745683475102E-2</v>
      </c>
      <c r="H14" s="47">
        <f t="shared" si="5"/>
        <v>5.8947796546780097E-2</v>
      </c>
      <c r="I14" s="47">
        <f t="shared" si="5"/>
        <v>6.2635847410085099E-2</v>
      </c>
      <c r="J14" s="47">
        <f t="shared" si="5"/>
        <v>6.6323898273389997E-2</v>
      </c>
      <c r="K14" s="47">
        <f t="shared" si="5"/>
        <v>7.0011949136695006E-2</v>
      </c>
      <c r="L14" s="47">
        <f t="shared" si="5"/>
        <v>7.3700000000000002E-2</v>
      </c>
      <c r="P14" s="49">
        <v>2.9399999999999999E-3</v>
      </c>
    </row>
    <row r="15" spans="1:16" x14ac:dyDescent="0.3">
      <c r="A15" s="41"/>
      <c r="B15" s="46"/>
      <c r="C15" s="46"/>
      <c r="D15" s="46"/>
      <c r="E15" s="46"/>
      <c r="F15" s="46"/>
      <c r="G15" s="46"/>
      <c r="H15" s="46"/>
      <c r="I15" s="46"/>
      <c r="J15" s="46"/>
      <c r="K15" s="46"/>
      <c r="L15" s="46"/>
    </row>
    <row r="16" spans="1:16" x14ac:dyDescent="0.3">
      <c r="A16" s="40" t="s">
        <v>535</v>
      </c>
      <c r="B16" s="51">
        <v>3</v>
      </c>
      <c r="C16" s="46"/>
      <c r="D16" s="46"/>
      <c r="E16" s="46"/>
      <c r="F16" s="46"/>
      <c r="G16" s="46"/>
      <c r="H16" s="46"/>
      <c r="I16" s="46"/>
      <c r="J16" s="46"/>
      <c r="K16" s="46"/>
      <c r="L16" s="46"/>
    </row>
    <row r="17" spans="1:12" x14ac:dyDescent="0.3">
      <c r="A17" s="42" t="s">
        <v>517</v>
      </c>
      <c r="B17" s="43"/>
      <c r="C17" s="43" t="s">
        <v>519</v>
      </c>
      <c r="D17" s="43" t="s">
        <v>520</v>
      </c>
      <c r="E17" s="43" t="s">
        <v>521</v>
      </c>
      <c r="F17" s="43" t="s">
        <v>522</v>
      </c>
      <c r="G17" s="43" t="s">
        <v>523</v>
      </c>
      <c r="H17" s="43" t="s">
        <v>524</v>
      </c>
      <c r="I17" s="43" t="s">
        <v>525</v>
      </c>
      <c r="J17" s="43" t="s">
        <v>526</v>
      </c>
      <c r="K17" s="43" t="s">
        <v>527</v>
      </c>
      <c r="L17" s="43" t="s">
        <v>528</v>
      </c>
    </row>
    <row r="18" spans="1:12" x14ac:dyDescent="0.3">
      <c r="A18" s="41" t="s">
        <v>529</v>
      </c>
      <c r="B18" s="44">
        <f>B13</f>
        <v>42307.6</v>
      </c>
      <c r="C18" s="44">
        <f>B18*(1+C19)</f>
        <v>44021.376893660701</v>
      </c>
      <c r="D18" s="44">
        <f t="shared" ref="D18:L18" si="6">C18*(1+D19)</f>
        <v>45966.927754271201</v>
      </c>
      <c r="E18" s="44">
        <f t="shared" si="6"/>
        <v>48167.991756647702</v>
      </c>
      <c r="F18" s="44">
        <f t="shared" si="6"/>
        <v>50652.096727622004</v>
      </c>
      <c r="G18" s="44">
        <f t="shared" si="6"/>
        <v>53451.1187111252</v>
      </c>
      <c r="H18" s="44">
        <f t="shared" si="6"/>
        <v>56601.944382106398</v>
      </c>
      <c r="I18" s="44">
        <f t="shared" si="6"/>
        <v>60147.255133538099</v>
      </c>
      <c r="J18" s="44">
        <f t="shared" si="6"/>
        <v>64136.455564438496</v>
      </c>
      <c r="K18" s="44">
        <f t="shared" si="6"/>
        <v>68626.773829223894</v>
      </c>
      <c r="L18" s="44">
        <f t="shared" si="6"/>
        <v>73684.567060437694</v>
      </c>
    </row>
    <row r="19" spans="1:12" x14ac:dyDescent="0.3">
      <c r="A19" s="41" t="s">
        <v>531</v>
      </c>
      <c r="B19" s="46"/>
      <c r="C19" s="47">
        <f>CHOOSE($B$16,C4,C9,C14)</f>
        <v>4.0507542230255197E-2</v>
      </c>
      <c r="D19" s="47">
        <f t="shared" ref="D19:L19" si="7">CHOOSE($B$16,D4,D9,D14)</f>
        <v>4.41955930935602E-2</v>
      </c>
      <c r="E19" s="47">
        <f t="shared" si="7"/>
        <v>4.7883643956865202E-2</v>
      </c>
      <c r="F19" s="47">
        <f t="shared" si="7"/>
        <v>5.15716948201701E-2</v>
      </c>
      <c r="G19" s="47">
        <f t="shared" si="7"/>
        <v>5.5259745683475102E-2</v>
      </c>
      <c r="H19" s="47">
        <f t="shared" si="7"/>
        <v>5.8947796546780097E-2</v>
      </c>
      <c r="I19" s="47">
        <f t="shared" si="7"/>
        <v>6.2635847410085099E-2</v>
      </c>
      <c r="J19" s="47">
        <f t="shared" si="7"/>
        <v>6.6323898273389997E-2</v>
      </c>
      <c r="K19" s="47">
        <f t="shared" si="7"/>
        <v>7.0011949136695006E-2</v>
      </c>
      <c r="L19" s="47">
        <f t="shared" si="7"/>
        <v>7.3700000000000002E-2</v>
      </c>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3:P14"/>
  <sheetViews>
    <sheetView workbookViewId="0">
      <selection activeCell="T7" sqref="T7"/>
    </sheetView>
  </sheetViews>
  <sheetFormatPr defaultColWidth="8.6640625" defaultRowHeight="14.4" x14ac:dyDescent="0.3"/>
  <cols>
    <col min="3" max="3" width="11.109375" style="1" customWidth="1"/>
    <col min="4" max="4" width="8.88671875" style="1" customWidth="1"/>
    <col min="5" max="5" width="9.77734375" style="1" customWidth="1"/>
    <col min="6" max="6" width="11.88671875" style="1" customWidth="1"/>
    <col min="8" max="8" width="11.109375" style="1" customWidth="1"/>
    <col min="9" max="9" width="6.109375" style="1" customWidth="1"/>
    <col min="10" max="10" width="10.5546875" style="1" customWidth="1"/>
    <col min="11" max="11" width="13.88671875" style="1" customWidth="1"/>
    <col min="13" max="13" width="11.109375" style="1" customWidth="1"/>
    <col min="14" max="14" width="6.109375" style="1" customWidth="1"/>
    <col min="15" max="15" width="9.21875" style="1" customWidth="1"/>
    <col min="16" max="16" width="11.88671875" style="1" customWidth="1"/>
  </cols>
  <sheetData>
    <row r="3" spans="3:16" x14ac:dyDescent="0.3">
      <c r="C3" s="218" t="s">
        <v>536</v>
      </c>
      <c r="D3" s="218"/>
      <c r="E3" s="218"/>
      <c r="F3" s="218"/>
      <c r="H3" s="218" t="s">
        <v>537</v>
      </c>
      <c r="I3" s="218"/>
      <c r="J3" s="218"/>
      <c r="K3" s="218"/>
      <c r="M3" s="218" t="s">
        <v>538</v>
      </c>
      <c r="N3" s="218"/>
      <c r="O3" s="218"/>
      <c r="P3" s="218"/>
    </row>
    <row r="4" spans="3:16" x14ac:dyDescent="0.3">
      <c r="C4" s="219" t="s">
        <v>539</v>
      </c>
      <c r="D4" s="219" t="s">
        <v>540</v>
      </c>
      <c r="E4" s="219" t="s">
        <v>529</v>
      </c>
      <c r="F4" s="219" t="s">
        <v>382</v>
      </c>
      <c r="H4" s="219" t="s">
        <v>539</v>
      </c>
      <c r="I4" s="219" t="s">
        <v>540</v>
      </c>
      <c r="J4" s="219" t="s">
        <v>156</v>
      </c>
      <c r="K4" s="219" t="s">
        <v>383</v>
      </c>
      <c r="M4" s="219" t="s">
        <v>539</v>
      </c>
      <c r="N4" s="219" t="s">
        <v>540</v>
      </c>
      <c r="O4" s="219" t="s">
        <v>541</v>
      </c>
      <c r="P4" s="219" t="s">
        <v>542</v>
      </c>
    </row>
    <row r="5" spans="3:16" x14ac:dyDescent="0.3">
      <c r="C5" s="33">
        <v>1</v>
      </c>
      <c r="D5" s="34">
        <f>'Merge data sheet'!B2</f>
        <v>44621</v>
      </c>
      <c r="E5" s="35">
        <f t="array" ref="E5:E9">TRANSPOSE('Merge data sheet'!B63:F63)</f>
        <v>15668.7</v>
      </c>
      <c r="F5" s="36"/>
      <c r="H5" s="33">
        <v>1</v>
      </c>
      <c r="I5" s="34">
        <f>'Merge data sheet'!B2</f>
        <v>44621</v>
      </c>
      <c r="J5" s="35">
        <f t="array" ref="J5:J9">TRANSPOSE('Assumptions (Historical FS)'!B9:F9)</f>
        <v>3058.4</v>
      </c>
      <c r="K5" s="36"/>
      <c r="M5" s="33">
        <v>1</v>
      </c>
      <c r="N5" s="34">
        <f>'Merge data sheet'!B2</f>
        <v>44621</v>
      </c>
      <c r="O5" s="35">
        <f t="array" ref="O5:O9">TRANSPOSE('Merge data sheet'!B88:F88)</f>
        <v>131</v>
      </c>
      <c r="P5" s="36"/>
    </row>
    <row r="6" spans="3:16" x14ac:dyDescent="0.3">
      <c r="C6" s="33">
        <f t="shared" ref="C6:C14" si="0">C5+1</f>
        <v>2</v>
      </c>
      <c r="D6" s="34">
        <f t="shared" ref="D6:D14" si="1">D5+365</f>
        <v>44986</v>
      </c>
      <c r="E6" s="35">
        <v>33183</v>
      </c>
      <c r="F6" s="36">
        <f t="shared" ref="F6:F14" si="2">(E6-E5)/E5</f>
        <v>1.1177889678148201</v>
      </c>
      <c r="H6" s="33">
        <f t="shared" ref="H6:H14" si="3">H5+1</f>
        <v>2</v>
      </c>
      <c r="I6" s="34">
        <f t="shared" ref="I6:I14" si="4">I5+365</f>
        <v>44986</v>
      </c>
      <c r="J6" s="35">
        <v>6107.7</v>
      </c>
      <c r="K6" s="36">
        <f t="shared" ref="K6:K14" si="5">(J6-J5)/J5</f>
        <v>0.99702458801987903</v>
      </c>
      <c r="M6" s="33">
        <f t="shared" ref="M6:M14" si="6">M5+1</f>
        <v>2</v>
      </c>
      <c r="N6" s="34">
        <f t="shared" ref="N6:N14" si="7">N5+365</f>
        <v>44986</v>
      </c>
      <c r="O6" s="35">
        <v>149</v>
      </c>
      <c r="P6" s="36">
        <f t="shared" ref="P6:P14" si="8">(O6-O5)/O5</f>
        <v>0.13740458015267201</v>
      </c>
    </row>
    <row r="7" spans="3:16" x14ac:dyDescent="0.3">
      <c r="C7" s="33">
        <f t="shared" si="0"/>
        <v>3</v>
      </c>
      <c r="D7" s="34">
        <f t="shared" si="1"/>
        <v>45351</v>
      </c>
      <c r="E7" s="35">
        <v>35517</v>
      </c>
      <c r="F7" s="36">
        <f t="shared" si="2"/>
        <v>7.0337220866106095E-2</v>
      </c>
      <c r="H7" s="33">
        <f t="shared" si="3"/>
        <v>3</v>
      </c>
      <c r="I7" s="34">
        <f t="shared" si="4"/>
        <v>45351</v>
      </c>
      <c r="J7" s="35">
        <v>6387.4</v>
      </c>
      <c r="K7" s="36">
        <f t="shared" si="5"/>
        <v>4.5794652651571698E-2</v>
      </c>
      <c r="M7" s="33">
        <f t="shared" si="6"/>
        <v>3</v>
      </c>
      <c r="N7" s="34">
        <f t="shared" si="7"/>
        <v>45351</v>
      </c>
      <c r="O7" s="35">
        <v>155</v>
      </c>
      <c r="P7" s="36">
        <f t="shared" si="8"/>
        <v>4.0268456375838903E-2</v>
      </c>
    </row>
    <row r="8" spans="3:16" x14ac:dyDescent="0.3">
      <c r="C8" s="33">
        <f t="shared" si="0"/>
        <v>4</v>
      </c>
      <c r="D8" s="34">
        <f t="shared" si="1"/>
        <v>45716</v>
      </c>
      <c r="E8" s="35">
        <v>38008.1</v>
      </c>
      <c r="F8" s="36">
        <f t="shared" si="2"/>
        <v>7.0138243657966601E-2</v>
      </c>
      <c r="H8" s="33">
        <f t="shared" si="3"/>
        <v>4</v>
      </c>
      <c r="I8" s="34">
        <f t="shared" si="4"/>
        <v>45716</v>
      </c>
      <c r="J8" s="35">
        <v>6494.9</v>
      </c>
      <c r="K8" s="36">
        <f t="shared" si="5"/>
        <v>1.68300090803764E-2</v>
      </c>
      <c r="M8" s="33">
        <f t="shared" si="6"/>
        <v>4</v>
      </c>
      <c r="N8" s="34">
        <f t="shared" si="7"/>
        <v>45716</v>
      </c>
      <c r="O8" s="35">
        <v>155</v>
      </c>
      <c r="P8" s="36">
        <f t="shared" si="8"/>
        <v>0</v>
      </c>
    </row>
    <row r="9" spans="3:16" x14ac:dyDescent="0.3">
      <c r="C9" s="33">
        <f t="shared" si="0"/>
        <v>5</v>
      </c>
      <c r="D9" s="34">
        <f t="shared" si="1"/>
        <v>46081</v>
      </c>
      <c r="E9" s="35">
        <v>42307.6</v>
      </c>
      <c r="F9" s="36">
        <f t="shared" si="2"/>
        <v>0.113120624287981</v>
      </c>
      <c r="H9" s="33">
        <f t="shared" si="3"/>
        <v>5</v>
      </c>
      <c r="I9" s="34">
        <f t="shared" si="4"/>
        <v>46081</v>
      </c>
      <c r="J9" s="37">
        <v>7555.2</v>
      </c>
      <c r="K9" s="36">
        <f t="shared" si="5"/>
        <v>0.16325116629971201</v>
      </c>
      <c r="M9" s="33">
        <f t="shared" si="6"/>
        <v>5</v>
      </c>
      <c r="N9" s="34">
        <f t="shared" si="7"/>
        <v>46081</v>
      </c>
      <c r="O9" s="37">
        <v>169</v>
      </c>
      <c r="P9" s="36">
        <f t="shared" si="8"/>
        <v>9.0322580645161299E-2</v>
      </c>
    </row>
    <row r="10" spans="3:16" x14ac:dyDescent="0.3">
      <c r="C10" s="33">
        <f t="shared" si="0"/>
        <v>6</v>
      </c>
      <c r="D10" s="38">
        <f t="shared" si="1"/>
        <v>46446</v>
      </c>
      <c r="E10" s="39">
        <f>FORECAST(C10,$E$5:$E$9,$C$5:$C$9)</f>
        <v>50367.75</v>
      </c>
      <c r="F10" s="36">
        <f t="shared" si="2"/>
        <v>0.19051305202847699</v>
      </c>
      <c r="H10" s="33">
        <f t="shared" si="3"/>
        <v>6</v>
      </c>
      <c r="I10" s="38">
        <f t="shared" si="4"/>
        <v>46446</v>
      </c>
      <c r="J10" s="39">
        <f>FORECAST(H10,$J$5:$J$9,$H$5:$H$9)</f>
        <v>8734.9599999999991</v>
      </c>
      <c r="K10" s="36">
        <f t="shared" si="5"/>
        <v>0.15615205421431599</v>
      </c>
      <c r="M10" s="33">
        <f t="shared" si="6"/>
        <v>6</v>
      </c>
      <c r="N10" s="38">
        <f t="shared" si="7"/>
        <v>46446</v>
      </c>
      <c r="O10" s="39">
        <f>FORECAST(M10,$O$5:$O$9,$M$5:$M$9)</f>
        <v>176.4</v>
      </c>
      <c r="P10" s="36">
        <f t="shared" si="8"/>
        <v>4.3786982248520699E-2</v>
      </c>
    </row>
    <row r="11" spans="3:16" x14ac:dyDescent="0.3">
      <c r="C11" s="33">
        <f t="shared" si="0"/>
        <v>7</v>
      </c>
      <c r="D11" s="38">
        <f t="shared" si="1"/>
        <v>46811</v>
      </c>
      <c r="E11" s="39">
        <f>FORECAST(C11,$E$5:$E$9,$C$5:$C$9)</f>
        <v>56178.04</v>
      </c>
      <c r="F11" s="36">
        <f t="shared" si="2"/>
        <v>0.115357346714912</v>
      </c>
      <c r="H11" s="33">
        <f t="shared" si="3"/>
        <v>7</v>
      </c>
      <c r="I11" s="38">
        <f t="shared" si="4"/>
        <v>46811</v>
      </c>
      <c r="J11" s="39">
        <f>FORECAST(H11,$J$5:$J$9,$H$5:$H$9)</f>
        <v>9673.0400000000009</v>
      </c>
      <c r="K11" s="36">
        <f t="shared" si="5"/>
        <v>0.10739373734968501</v>
      </c>
      <c r="M11" s="33">
        <f t="shared" si="6"/>
        <v>7</v>
      </c>
      <c r="N11" s="38">
        <f t="shared" si="7"/>
        <v>46811</v>
      </c>
      <c r="O11" s="39">
        <f>FORECAST(M11,$O$5:$O$9,$M$5:$M$9)</f>
        <v>184.6</v>
      </c>
      <c r="P11" s="36">
        <f t="shared" si="8"/>
        <v>4.6485260770975E-2</v>
      </c>
    </row>
    <row r="12" spans="3:16" x14ac:dyDescent="0.3">
      <c r="C12" s="33">
        <f t="shared" si="0"/>
        <v>8</v>
      </c>
      <c r="D12" s="38">
        <f t="shared" si="1"/>
        <v>47176</v>
      </c>
      <c r="E12" s="39">
        <f>FORECAST(C12,$E$5:$E$9,$C$5:$C$9)</f>
        <v>61988.33</v>
      </c>
      <c r="F12" s="36">
        <f t="shared" si="2"/>
        <v>0.103426356633304</v>
      </c>
      <c r="H12" s="33">
        <f t="shared" si="3"/>
        <v>8</v>
      </c>
      <c r="I12" s="38">
        <f t="shared" si="4"/>
        <v>47176</v>
      </c>
      <c r="J12" s="39">
        <f>FORECAST(H12,$J$5:$J$9,$H$5:$H$9)</f>
        <v>10611.12</v>
      </c>
      <c r="K12" s="36">
        <f t="shared" si="5"/>
        <v>9.6978819481776002E-2</v>
      </c>
      <c r="M12" s="33">
        <f t="shared" si="6"/>
        <v>8</v>
      </c>
      <c r="N12" s="38">
        <f t="shared" si="7"/>
        <v>47176</v>
      </c>
      <c r="O12" s="39">
        <f>FORECAST(M12,$O$5:$O$9,$M$5:$M$9)</f>
        <v>192.8</v>
      </c>
      <c r="P12" s="36">
        <f t="shared" si="8"/>
        <v>4.4420368364030398E-2</v>
      </c>
    </row>
    <row r="13" spans="3:16" x14ac:dyDescent="0.3">
      <c r="C13" s="33">
        <f t="shared" si="0"/>
        <v>9</v>
      </c>
      <c r="D13" s="38">
        <f t="shared" si="1"/>
        <v>47541</v>
      </c>
      <c r="E13" s="39">
        <f>FORECAST(C13,$E$5:$E$9,$C$5:$C$9)</f>
        <v>67798.62</v>
      </c>
      <c r="F13" s="36">
        <f t="shared" si="2"/>
        <v>9.3731997619552004E-2</v>
      </c>
      <c r="H13" s="33">
        <f t="shared" si="3"/>
        <v>9</v>
      </c>
      <c r="I13" s="38">
        <f t="shared" si="4"/>
        <v>47541</v>
      </c>
      <c r="J13" s="39">
        <f>FORECAST(H13,$J$5:$J$9,$H$5:$H$9)</f>
        <v>11549.2</v>
      </c>
      <c r="K13" s="36">
        <f t="shared" si="5"/>
        <v>8.84053709693228E-2</v>
      </c>
      <c r="M13" s="33">
        <f t="shared" si="6"/>
        <v>9</v>
      </c>
      <c r="N13" s="38">
        <f t="shared" si="7"/>
        <v>47541</v>
      </c>
      <c r="O13" s="39">
        <f>FORECAST(M13,$O$5:$O$9,$M$5:$M$9)</f>
        <v>201</v>
      </c>
      <c r="P13" s="36">
        <f t="shared" si="8"/>
        <v>4.2531120331950098E-2</v>
      </c>
    </row>
    <row r="14" spans="3:16" x14ac:dyDescent="0.3">
      <c r="C14" s="33">
        <f t="shared" si="0"/>
        <v>10</v>
      </c>
      <c r="D14" s="38">
        <f t="shared" si="1"/>
        <v>47906</v>
      </c>
      <c r="E14" s="39">
        <f>FORECAST(C14,$E$5:$E$9,$C$5:$C$9)</f>
        <v>73608.91</v>
      </c>
      <c r="F14" s="36">
        <f t="shared" si="2"/>
        <v>8.5699236946120597E-2</v>
      </c>
      <c r="H14" s="33">
        <f t="shared" si="3"/>
        <v>10</v>
      </c>
      <c r="I14" s="38">
        <f t="shared" si="4"/>
        <v>47906</v>
      </c>
      <c r="J14" s="39">
        <f>FORECAST(H14,$J$5:$J$9,$H$5:$H$9)</f>
        <v>12487.28</v>
      </c>
      <c r="K14" s="36">
        <f t="shared" si="5"/>
        <v>8.1224673570463798E-2</v>
      </c>
      <c r="M14" s="33">
        <f t="shared" si="6"/>
        <v>10</v>
      </c>
      <c r="N14" s="38">
        <f t="shared" si="7"/>
        <v>47906</v>
      </c>
      <c r="O14" s="39">
        <f>FORECAST(M14,$O$5:$O$9,$M$5:$M$9)</f>
        <v>209.2</v>
      </c>
      <c r="P14" s="36">
        <f t="shared" si="8"/>
        <v>4.0796019900497499E-2</v>
      </c>
    </row>
  </sheetData>
  <mergeCells count="3">
    <mergeCell ref="C3:F3"/>
    <mergeCell ref="H3:K3"/>
    <mergeCell ref="M3:P3"/>
  </mergeCells>
  <pageMargins left="0.7" right="0.7" top="0.75" bottom="0.75"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K27"/>
  <sheetViews>
    <sheetView showGridLines="0" tabSelected="1" workbookViewId="0">
      <selection activeCell="B2" sqref="B2:C2"/>
    </sheetView>
  </sheetViews>
  <sheetFormatPr defaultColWidth="8.6640625" defaultRowHeight="14.4" x14ac:dyDescent="0.3"/>
  <cols>
    <col min="2" max="2" width="33.6640625" style="1" customWidth="1"/>
    <col min="3" max="3" width="10" style="1" customWidth="1"/>
    <col min="4" max="4" width="21.77734375" style="1" customWidth="1"/>
    <col min="5" max="5" width="14.109375" style="1" customWidth="1"/>
    <col min="10" max="10" width="20.21875" style="1" customWidth="1"/>
  </cols>
  <sheetData>
    <row r="2" spans="2:11" x14ac:dyDescent="0.3">
      <c r="B2" s="217" t="s">
        <v>543</v>
      </c>
      <c r="C2" s="217"/>
      <c r="D2" s="2"/>
      <c r="E2" s="2"/>
      <c r="F2" s="2"/>
    </row>
    <row r="3" spans="2:11" x14ac:dyDescent="0.3">
      <c r="B3" s="3" t="s">
        <v>544</v>
      </c>
      <c r="C3" s="4">
        <f>'Merge data sheet'!F15+'Merge data sheet'!F21</f>
        <v>0</v>
      </c>
    </row>
    <row r="4" spans="2:11" x14ac:dyDescent="0.3">
      <c r="B4" s="3" t="s">
        <v>545</v>
      </c>
      <c r="C4" s="4">
        <f>'Merge data sheet'!F7*'Stock Analysis'!D24</f>
        <v>138004.07999999999</v>
      </c>
    </row>
    <row r="5" spans="2:11" x14ac:dyDescent="0.3">
      <c r="B5" s="5" t="s">
        <v>546</v>
      </c>
      <c r="C5" s="4">
        <f>C4+C3</f>
        <v>138004.07999999999</v>
      </c>
    </row>
    <row r="6" spans="2:11" x14ac:dyDescent="0.3">
      <c r="B6" s="6" t="s">
        <v>547</v>
      </c>
      <c r="C6" s="7">
        <f>C3/C5</f>
        <v>0</v>
      </c>
    </row>
    <row r="7" spans="2:11" x14ac:dyDescent="0.3">
      <c r="B7" s="6" t="s">
        <v>548</v>
      </c>
      <c r="C7" s="7">
        <f>C4/C5</f>
        <v>1</v>
      </c>
    </row>
    <row r="8" spans="2:11" x14ac:dyDescent="0.3">
      <c r="B8" s="8" t="s">
        <v>549</v>
      </c>
      <c r="C8" s="4">
        <f>C3/C4</f>
        <v>0</v>
      </c>
    </row>
    <row r="10" spans="2:11" x14ac:dyDescent="0.3">
      <c r="B10" s="216" t="s">
        <v>550</v>
      </c>
      <c r="C10" s="216"/>
    </row>
    <row r="11" spans="2:11" x14ac:dyDescent="0.3">
      <c r="B11" s="9" t="s">
        <v>551</v>
      </c>
      <c r="C11" s="10">
        <v>7.3700000000000002E-2</v>
      </c>
      <c r="E11" s="213" t="s">
        <v>552</v>
      </c>
      <c r="F11" s="213"/>
      <c r="G11" s="213"/>
      <c r="H11" s="213"/>
      <c r="I11" s="213"/>
      <c r="J11" s="213"/>
      <c r="K11" s="213"/>
    </row>
    <row r="12" spans="2:11" x14ac:dyDescent="0.3">
      <c r="B12" s="9" t="s">
        <v>553</v>
      </c>
      <c r="C12" s="11">
        <f>BETA!I3</f>
        <v>0.83831404136440602</v>
      </c>
    </row>
    <row r="13" spans="2:11" x14ac:dyDescent="0.3">
      <c r="B13" s="9" t="s">
        <v>554</v>
      </c>
      <c r="C13" s="10">
        <v>6.8500000000000005E-2</v>
      </c>
      <c r="E13" s="213" t="s">
        <v>555</v>
      </c>
      <c r="F13" s="213"/>
      <c r="G13" s="213"/>
      <c r="H13" s="213"/>
      <c r="I13" s="213"/>
      <c r="J13" s="213"/>
      <c r="K13" s="213"/>
    </row>
    <row r="14" spans="2:11" x14ac:dyDescent="0.3">
      <c r="B14" s="12" t="s">
        <v>556</v>
      </c>
      <c r="C14" s="13">
        <f>C11+C12*C13</f>
        <v>0.13112451183346183</v>
      </c>
    </row>
    <row r="16" spans="2:11" x14ac:dyDescent="0.3">
      <c r="B16" s="216" t="s">
        <v>557</v>
      </c>
      <c r="C16" s="216"/>
    </row>
    <row r="17" spans="2:10" x14ac:dyDescent="0.3">
      <c r="B17" s="14" t="s">
        <v>558</v>
      </c>
      <c r="C17" s="15">
        <f>'Merge data sheet'!F70</f>
        <v>276.3</v>
      </c>
    </row>
    <row r="18" spans="2:10" x14ac:dyDescent="0.3">
      <c r="B18" s="9" t="s">
        <v>559</v>
      </c>
      <c r="C18" s="16">
        <f>C3</f>
        <v>0</v>
      </c>
    </row>
    <row r="19" spans="2:10" x14ac:dyDescent="0.3">
      <c r="B19" s="9" t="s">
        <v>560</v>
      </c>
      <c r="C19" s="17">
        <f>IFERROR(C17/C18,0)</f>
        <v>0</v>
      </c>
    </row>
    <row r="20" spans="2:10" x14ac:dyDescent="0.3">
      <c r="B20" s="18" t="s">
        <v>435</v>
      </c>
      <c r="C20" s="19">
        <f>'Assumptions (Historical FS)'!F16</f>
        <v>0.24707618318942001</v>
      </c>
    </row>
    <row r="21" spans="2:10" x14ac:dyDescent="0.3">
      <c r="B21" s="20" t="s">
        <v>561</v>
      </c>
      <c r="C21" s="21">
        <f>C19*(1-C20)</f>
        <v>0</v>
      </c>
    </row>
    <row r="23" spans="2:10" ht="17.25" customHeight="1" x14ac:dyDescent="0.3">
      <c r="B23" s="214" t="s">
        <v>562</v>
      </c>
      <c r="C23" s="214"/>
      <c r="D23" s="214"/>
      <c r="E23" s="214"/>
    </row>
    <row r="24" spans="2:10" x14ac:dyDescent="0.3">
      <c r="B24" s="22" t="s">
        <v>563</v>
      </c>
      <c r="C24" s="23" t="s">
        <v>564</v>
      </c>
      <c r="D24" s="23" t="s">
        <v>565</v>
      </c>
      <c r="E24" s="24" t="s">
        <v>566</v>
      </c>
    </row>
    <row r="25" spans="2:10" x14ac:dyDescent="0.3">
      <c r="B25" s="25" t="s">
        <v>567</v>
      </c>
      <c r="C25" s="26">
        <f>C6</f>
        <v>0</v>
      </c>
      <c r="D25" s="27">
        <f>C21</f>
        <v>0</v>
      </c>
      <c r="E25" s="28">
        <f>D25*C25</f>
        <v>0</v>
      </c>
    </row>
    <row r="26" spans="2:10" x14ac:dyDescent="0.3">
      <c r="B26" s="25" t="s">
        <v>568</v>
      </c>
      <c r="C26" s="26">
        <f>C7</f>
        <v>1</v>
      </c>
      <c r="D26" s="27">
        <f>C14</f>
        <v>0.13112451183346183</v>
      </c>
      <c r="E26" s="28">
        <f>C26*D26</f>
        <v>0.13112451183346183</v>
      </c>
    </row>
    <row r="27" spans="2:10" ht="15" customHeight="1" x14ac:dyDescent="0.3">
      <c r="B27" s="215" t="s">
        <v>562</v>
      </c>
      <c r="C27" s="29">
        <f>SUM(C25:C26)</f>
        <v>1</v>
      </c>
      <c r="D27" s="30" t="s">
        <v>569</v>
      </c>
      <c r="E27" s="31">
        <f>E25+E26</f>
        <v>0.13112451183346183</v>
      </c>
      <c r="G27" s="1" t="s">
        <v>570</v>
      </c>
      <c r="J27" s="32"/>
    </row>
  </sheetData>
  <mergeCells count="6">
    <mergeCell ref="B23:E23"/>
    <mergeCell ref="B2:C2"/>
    <mergeCell ref="B10:C10"/>
    <mergeCell ref="E11:K11"/>
    <mergeCell ref="E13:K13"/>
    <mergeCell ref="B16:C1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 the Company</vt:lpstr>
      <vt:lpstr>Promoter</vt:lpstr>
      <vt:lpstr>Public</vt:lpstr>
      <vt:lpstr>Standalone Quarterly Results</vt:lpstr>
      <vt:lpstr>Consolidated Quarterly Results</vt:lpstr>
      <vt:lpstr>Standalone Balance sheet</vt:lpstr>
      <vt:lpstr>Standalone P&amp;L</vt:lpstr>
      <vt:lpstr>Consolidated P&amp;L</vt:lpstr>
      <vt:lpstr>Consolidated Balance sheet</vt:lpstr>
      <vt:lpstr>Fixed assets scheduled</vt:lpstr>
      <vt:lpstr>Change in working capital</vt:lpstr>
      <vt:lpstr>Peers</vt:lpstr>
      <vt:lpstr>Stock Analysis</vt:lpstr>
      <vt:lpstr>BETA</vt:lpstr>
      <vt:lpstr>Ratio Analysis</vt:lpstr>
      <vt:lpstr>FCFF</vt:lpstr>
      <vt:lpstr>Assumptions (Historical FS)</vt:lpstr>
      <vt:lpstr>Merge data sheet</vt:lpstr>
      <vt:lpstr>Relative valuation</vt:lpstr>
      <vt:lpstr>Growth Scenario</vt:lpstr>
      <vt:lpstr>Forecasting</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KUSHWAHA</dc:creator>
  <cp:lastModifiedBy>PRATHAM KUSHWAHA</cp:lastModifiedBy>
  <cp:revision>2</cp:revision>
  <dcterms:created xsi:type="dcterms:W3CDTF">2026-04-20T04:49:00Z</dcterms:created>
  <dcterms:modified xsi:type="dcterms:W3CDTF">2026-06-29T06:05:30Z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648C5FA702B7474381304295968A5314_12</vt:lpwstr>
  </property>
  <property fmtid="{D5CDD505-2E9C-101B-9397-08002B2CF9AE}" pid="3" name="KSOProductBuildVer">
    <vt:lpwstr>1033-12.1.0.26880</vt:lpwstr>
  </property>
  <property fmtid="{D5CDD505-2E9C-101B-9397-08002B2CF9AE}" pid="4" name="CalculationRule">
    <vt:i4>0</vt:i4>
  </property>
</Properties>
</file>