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408" windowWidth="14808" windowHeight="7716" activeTab="3"/>
  </bookViews>
  <sheets>
    <sheet name="Summary" sheetId="1" r:id="rId1"/>
    <sheet name="Spectrometer" sheetId="2" r:id="rId2"/>
    <sheet name="For Slopes" sheetId="3" r:id="rId3"/>
    <sheet name="forUpload" sheetId="4" r:id="rId4"/>
    <sheet name="forUpload (2)" sheetId="5" r:id="rId5"/>
    <sheet name="forUpload (with %)" sheetId="6" r:id="rId6"/>
    <sheet name="Sensitivities" sheetId="7" r:id="rId7"/>
    <sheet name="for uncertainty of slopes" sheetId="8" r:id="rId8"/>
    <sheet name="Uncertainty of normalized inten" sheetId="9" r:id="rId9"/>
  </sheets>
  <calcPr calcId="171027"/>
</workbook>
</file>

<file path=xl/calcChain.xml><?xml version="1.0" encoding="utf-8"?>
<calcChain xmlns="http://schemas.openxmlformats.org/spreadsheetml/2006/main">
  <c r="AE2" i="4" l="1"/>
  <c r="J7" i="9" l="1"/>
  <c r="C4" i="9"/>
  <c r="J4" i="9" s="1"/>
  <c r="C5" i="9"/>
  <c r="J5" i="9" s="1"/>
  <c r="C6" i="9"/>
  <c r="J6" i="9" s="1"/>
  <c r="C7" i="9"/>
  <c r="C8" i="9"/>
  <c r="J8" i="9" s="1"/>
  <c r="C9" i="9"/>
  <c r="J9" i="9" s="1"/>
  <c r="C3" i="9"/>
  <c r="J3" i="9" s="1"/>
  <c r="G11" i="9"/>
  <c r="F11" i="9"/>
  <c r="D11" i="9"/>
  <c r="M9" i="9"/>
  <c r="M7" i="9"/>
  <c r="M6" i="9"/>
  <c r="M5" i="9"/>
  <c r="M3" i="9"/>
  <c r="B59" i="8"/>
  <c r="B55" i="8"/>
  <c r="B56" i="8" s="1"/>
  <c r="I47" i="8"/>
  <c r="C11" i="9" l="1"/>
  <c r="C12" i="9" s="1"/>
  <c r="C15" i="9"/>
  <c r="M4" i="9"/>
  <c r="M11" i="9" s="1"/>
  <c r="M8" i="9"/>
  <c r="J11" i="9"/>
  <c r="O4" i="9" l="1"/>
  <c r="O8" i="9"/>
  <c r="O5" i="9"/>
  <c r="O9" i="9"/>
  <c r="O7" i="9"/>
  <c r="O6" i="9"/>
  <c r="O3" i="9"/>
  <c r="O11" i="9" l="1"/>
  <c r="Q86" i="8"/>
  <c r="Q87" i="8"/>
  <c r="Q88" i="8"/>
  <c r="Q89" i="8"/>
  <c r="Q90" i="8"/>
  <c r="Q93" i="8" s="1"/>
  <c r="Q94" i="8" s="1"/>
  <c r="Q91" i="8"/>
  <c r="Q85" i="8"/>
  <c r="X85" i="8" s="1"/>
  <c r="B86" i="8"/>
  <c r="I86" i="8" s="1"/>
  <c r="B87" i="8"/>
  <c r="I87" i="8" s="1"/>
  <c r="B88" i="8"/>
  <c r="I88" i="8" s="1"/>
  <c r="B89" i="8"/>
  <c r="B90" i="8"/>
  <c r="I90" i="8" s="1"/>
  <c r="B91" i="8"/>
  <c r="I91" i="8" s="1"/>
  <c r="B85" i="8"/>
  <c r="I85" i="8" s="1"/>
  <c r="U93" i="8"/>
  <c r="T93" i="8"/>
  <c r="R93" i="8"/>
  <c r="AA91" i="8"/>
  <c r="X91" i="8"/>
  <c r="AA90" i="8"/>
  <c r="X90" i="8"/>
  <c r="AA89" i="8"/>
  <c r="X89" i="8"/>
  <c r="AA88" i="8"/>
  <c r="X88" i="8"/>
  <c r="AA87" i="8"/>
  <c r="X87" i="8"/>
  <c r="AA86" i="8"/>
  <c r="X86" i="8"/>
  <c r="AA85" i="8"/>
  <c r="I89" i="8"/>
  <c r="F93" i="8"/>
  <c r="E93" i="8"/>
  <c r="C93" i="8"/>
  <c r="L90" i="8"/>
  <c r="L89" i="8"/>
  <c r="L88" i="8"/>
  <c r="L87" i="8"/>
  <c r="L86" i="8"/>
  <c r="L48" i="8"/>
  <c r="L49" i="8"/>
  <c r="L50" i="8"/>
  <c r="L51" i="8"/>
  <c r="L52" i="8"/>
  <c r="L53" i="8"/>
  <c r="L47" i="8"/>
  <c r="I48" i="8"/>
  <c r="I49" i="8"/>
  <c r="I50" i="8"/>
  <c r="I51" i="8"/>
  <c r="I52" i="8"/>
  <c r="I53" i="8"/>
  <c r="F55" i="8"/>
  <c r="C55" i="8"/>
  <c r="E55" i="8"/>
  <c r="C37" i="8"/>
  <c r="E35" i="8"/>
  <c r="E36" i="8" s="1"/>
  <c r="D35" i="8"/>
  <c r="C35" i="8"/>
  <c r="K24" i="8"/>
  <c r="J24" i="8"/>
  <c r="I24" i="8"/>
  <c r="H24" i="8"/>
  <c r="G24" i="8"/>
  <c r="F24" i="8"/>
  <c r="K23" i="8"/>
  <c r="J23" i="8"/>
  <c r="I23" i="8"/>
  <c r="H23" i="8"/>
  <c r="G23" i="8"/>
  <c r="F23" i="8"/>
  <c r="K22" i="8"/>
  <c r="J22" i="8"/>
  <c r="I22" i="8"/>
  <c r="H22" i="8"/>
  <c r="G22" i="8"/>
  <c r="F22" i="8"/>
  <c r="K21" i="8"/>
  <c r="J21" i="8"/>
  <c r="I21" i="8"/>
  <c r="H21" i="8"/>
  <c r="G21" i="8"/>
  <c r="F21" i="8"/>
  <c r="K20" i="8"/>
  <c r="J20" i="8"/>
  <c r="I20" i="8"/>
  <c r="H20" i="8"/>
  <c r="G20" i="8"/>
  <c r="F20" i="8"/>
  <c r="K19" i="8"/>
  <c r="J19" i="8"/>
  <c r="I19" i="8"/>
  <c r="H19" i="8"/>
  <c r="G19" i="8"/>
  <c r="F19" i="8"/>
  <c r="K18" i="8"/>
  <c r="J18" i="8"/>
  <c r="I18" i="8"/>
  <c r="H18" i="8"/>
  <c r="G18" i="8"/>
  <c r="F18" i="8"/>
  <c r="W11" i="8"/>
  <c r="S11" i="8"/>
  <c r="O11" i="8"/>
  <c r="K11" i="8"/>
  <c r="G11" i="8"/>
  <c r="C11" i="8"/>
  <c r="I55" i="8" l="1"/>
  <c r="Q97" i="8"/>
  <c r="X93" i="8" s="1"/>
  <c r="L91" i="8"/>
  <c r="I29" i="8"/>
  <c r="B93" i="8"/>
  <c r="B94" i="8" s="1"/>
  <c r="B97" i="8"/>
  <c r="I93" i="8" s="1"/>
  <c r="F28" i="8"/>
  <c r="J29" i="8"/>
  <c r="H28" i="8"/>
  <c r="L55" i="8"/>
  <c r="N52" i="8" s="1"/>
  <c r="AA93" i="8"/>
  <c r="AC85" i="8" s="1"/>
  <c r="L85" i="8"/>
  <c r="N49" i="8"/>
  <c r="N53" i="8"/>
  <c r="N50" i="8"/>
  <c r="G28" i="8"/>
  <c r="D31" i="8" s="1"/>
  <c r="K29" i="8"/>
  <c r="E31" i="8" s="1"/>
  <c r="L93" i="8"/>
  <c r="C31" i="8"/>
  <c r="C30" i="8"/>
  <c r="E30" i="8"/>
  <c r="D30" i="8"/>
  <c r="D36" i="3"/>
  <c r="B35" i="3"/>
  <c r="C35" i="3"/>
  <c r="D35" i="3"/>
  <c r="B37" i="3"/>
  <c r="N51" i="8" l="1"/>
  <c r="N48" i="8"/>
  <c r="N47" i="8"/>
  <c r="N55" i="8" s="1"/>
  <c r="N86" i="8"/>
  <c r="N90" i="8"/>
  <c r="N87" i="8"/>
  <c r="N91" i="8"/>
  <c r="N93" i="8" s="1"/>
  <c r="N88" i="8"/>
  <c r="N85" i="8"/>
  <c r="N89" i="8"/>
  <c r="AC90" i="8"/>
  <c r="AC88" i="8"/>
  <c r="AC86" i="8"/>
  <c r="AC91" i="8"/>
  <c r="AC89" i="8"/>
  <c r="AC93" i="8" s="1"/>
  <c r="AC87" i="8"/>
  <c r="B11" i="3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H13" i="6" l="1"/>
  <c r="AG13" i="6"/>
  <c r="AF13" i="6"/>
  <c r="AE13" i="6"/>
  <c r="AE2" i="6" s="1"/>
  <c r="AD13" i="6"/>
  <c r="AC13" i="6"/>
  <c r="AB13" i="6"/>
  <c r="AA13" i="6"/>
  <c r="AA2" i="6" s="1"/>
  <c r="Z13" i="6"/>
  <c r="Y13" i="6"/>
  <c r="X13" i="6"/>
  <c r="W13" i="6"/>
  <c r="W2" i="6" s="1"/>
  <c r="V13" i="6"/>
  <c r="U13" i="6"/>
  <c r="T13" i="6"/>
  <c r="S13" i="6"/>
  <c r="S2" i="6" s="1"/>
  <c r="R13" i="6"/>
  <c r="AH2" i="6"/>
  <c r="AG2" i="6"/>
  <c r="AF2" i="6"/>
  <c r="AD2" i="6"/>
  <c r="AC2" i="6"/>
  <c r="AB2" i="6"/>
  <c r="Z2" i="6"/>
  <c r="Y2" i="6"/>
  <c r="X2" i="6"/>
  <c r="V2" i="6"/>
  <c r="U2" i="6"/>
  <c r="T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K18" i="1" l="1"/>
  <c r="AC2" i="5"/>
  <c r="Y2" i="5"/>
  <c r="F18" i="3" l="1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E19" i="3"/>
  <c r="E20" i="3"/>
  <c r="E21" i="3"/>
  <c r="E22" i="3"/>
  <c r="E23" i="3"/>
  <c r="E24" i="3"/>
  <c r="E18" i="3"/>
  <c r="J24" i="3"/>
  <c r="J23" i="3"/>
  <c r="J22" i="3"/>
  <c r="J21" i="3"/>
  <c r="J20" i="3"/>
  <c r="J19" i="3"/>
  <c r="J18" i="3"/>
  <c r="J29" i="3" s="1"/>
  <c r="I24" i="3"/>
  <c r="I23" i="3"/>
  <c r="I22" i="3"/>
  <c r="I21" i="3"/>
  <c r="I20" i="3"/>
  <c r="I19" i="3"/>
  <c r="I18" i="3"/>
  <c r="I29" i="3" s="1"/>
  <c r="H19" i="3"/>
  <c r="H20" i="3"/>
  <c r="H21" i="3"/>
  <c r="H22" i="3"/>
  <c r="H23" i="3"/>
  <c r="H24" i="3"/>
  <c r="H18" i="3"/>
  <c r="H29" i="3" s="1"/>
  <c r="V11" i="3"/>
  <c r="R11" i="3"/>
  <c r="N11" i="3"/>
  <c r="J11" i="3"/>
  <c r="F11" i="3"/>
  <c r="G28" i="3" l="1"/>
  <c r="E28" i="3"/>
  <c r="F28" i="3"/>
  <c r="B30" i="3" l="1"/>
  <c r="B31" i="3"/>
  <c r="C30" i="3"/>
  <c r="C31" i="3"/>
  <c r="D30" i="3"/>
  <c r="D31" i="3"/>
</calcChain>
</file>

<file path=xl/sharedStrings.xml><?xml version="1.0" encoding="utf-8"?>
<sst xmlns="http://schemas.openxmlformats.org/spreadsheetml/2006/main" count="741" uniqueCount="164">
  <si>
    <t>TempMean</t>
  </si>
  <si>
    <t>TempStd</t>
  </si>
  <si>
    <t>TempMin</t>
  </si>
  <si>
    <t>TempMax</t>
  </si>
  <si>
    <t>PeakIntMean</t>
  </si>
  <si>
    <t>PeakIntStd</t>
  </si>
  <si>
    <t>PeakIntMin</t>
  </si>
  <si>
    <t>PeakIntMax</t>
  </si>
  <si>
    <t>IntegIntMean</t>
  </si>
  <si>
    <t>IntegIntStd</t>
  </si>
  <si>
    <t>IntegIntMin</t>
  </si>
  <si>
    <t>PeakWLMean</t>
  </si>
  <si>
    <t>PeakWLStd</t>
  </si>
  <si>
    <t>PeakWLMin</t>
  </si>
  <si>
    <t>PeakWLMax</t>
  </si>
  <si>
    <t>RatioMean</t>
  </si>
  <si>
    <t>RatioStd</t>
  </si>
  <si>
    <t>RatioMin</t>
  </si>
  <si>
    <t>RatioMax</t>
  </si>
  <si>
    <t>FWHMMean</t>
  </si>
  <si>
    <t>FWHMStd</t>
  </si>
  <si>
    <t>FWHMMin</t>
  </si>
  <si>
    <t>FWHMMax</t>
  </si>
  <si>
    <t>m</t>
  </si>
  <si>
    <t>b</t>
  </si>
  <si>
    <t>sY,PI</t>
  </si>
  <si>
    <t>sY,PWL</t>
  </si>
  <si>
    <t>sY,FWHM</t>
  </si>
  <si>
    <t>sXX,PI</t>
  </si>
  <si>
    <t>sXX,PWL</t>
  </si>
  <si>
    <t>sXX,FWHM</t>
  </si>
  <si>
    <t>sm</t>
  </si>
  <si>
    <t>sc</t>
  </si>
  <si>
    <t>sY</t>
  </si>
  <si>
    <t>sXX</t>
  </si>
  <si>
    <t>Spectrometer Uncertainties</t>
  </si>
  <si>
    <t>Wavelength Resolution</t>
  </si>
  <si>
    <t>bWL</t>
  </si>
  <si>
    <t>nm</t>
  </si>
  <si>
    <t>Bias</t>
  </si>
  <si>
    <t>Precision</t>
  </si>
  <si>
    <t>sWL</t>
  </si>
  <si>
    <t>Intensity Counts</t>
  </si>
  <si>
    <t>PT1000 Temp</t>
  </si>
  <si>
    <t>Time Spacing</t>
  </si>
  <si>
    <t>Background Noise</t>
  </si>
  <si>
    <t>Signal-to-noise at full (65000 Counts)</t>
  </si>
  <si>
    <t>PI_intercept</t>
  </si>
  <si>
    <t>PI_Slope</t>
  </si>
  <si>
    <t>PWL_intercept</t>
  </si>
  <si>
    <t>FWHM_intercept</t>
  </si>
  <si>
    <t>PWL_Slope</t>
  </si>
  <si>
    <t>FWHM_Slope</t>
  </si>
  <si>
    <t>D_Slope</t>
  </si>
  <si>
    <t>Motor Position</t>
  </si>
  <si>
    <t>PT Temp Fit</t>
  </si>
  <si>
    <t>Freq</t>
  </si>
  <si>
    <t>bI</t>
  </si>
  <si>
    <t>counts</t>
  </si>
  <si>
    <t>sI</t>
  </si>
  <si>
    <t>bT</t>
  </si>
  <si>
    <t>K</t>
  </si>
  <si>
    <t>sT</t>
  </si>
  <si>
    <t>bt</t>
  </si>
  <si>
    <t>sec</t>
  </si>
  <si>
    <t>st</t>
  </si>
  <si>
    <t>bNoise</t>
  </si>
  <si>
    <t>sNoise</t>
  </si>
  <si>
    <t>bSN</t>
  </si>
  <si>
    <t>sSN</t>
  </si>
  <si>
    <t>D_intercept (Dark Current)</t>
  </si>
  <si>
    <t>bPIb</t>
  </si>
  <si>
    <t>bPWLb</t>
  </si>
  <si>
    <t>bFWHMb</t>
  </si>
  <si>
    <t>sPIb</t>
  </si>
  <si>
    <t>SPWLb</t>
  </si>
  <si>
    <t>sFWHMb</t>
  </si>
  <si>
    <t>bPIm</t>
  </si>
  <si>
    <t>bPWLm</t>
  </si>
  <si>
    <t>bFWHMm</t>
  </si>
  <si>
    <t>bDb</t>
  </si>
  <si>
    <t>sDb</t>
  </si>
  <si>
    <t>bDm</t>
  </si>
  <si>
    <t>sPIm</t>
  </si>
  <si>
    <t>sPWLm</t>
  </si>
  <si>
    <t>SFWHMm</t>
  </si>
  <si>
    <t>sDm</t>
  </si>
  <si>
    <t>bZ</t>
  </si>
  <si>
    <t>sZ</t>
  </si>
  <si>
    <t>bTfit</t>
  </si>
  <si>
    <t>sTfit</t>
  </si>
  <si>
    <t>bFreq</t>
  </si>
  <si>
    <t>Hz</t>
  </si>
  <si>
    <t>sFreq</t>
  </si>
  <si>
    <t>sFWHMm</t>
  </si>
  <si>
    <t>sPWLb</t>
  </si>
  <si>
    <t>Nominal Value</t>
  </si>
  <si>
    <t>WL</t>
  </si>
  <si>
    <t>I</t>
  </si>
  <si>
    <t>T</t>
  </si>
  <si>
    <t>t</t>
  </si>
  <si>
    <t>Noise</t>
  </si>
  <si>
    <t>SN</t>
  </si>
  <si>
    <t>PIb</t>
  </si>
  <si>
    <t>PWLb</t>
  </si>
  <si>
    <t>FWHMb</t>
  </si>
  <si>
    <t>Db</t>
  </si>
  <si>
    <t>PIm</t>
  </si>
  <si>
    <t>PWLm</t>
  </si>
  <si>
    <t>FWHMm</t>
  </si>
  <si>
    <t>Dm</t>
  </si>
  <si>
    <t>Tfit</t>
  </si>
  <si>
    <t>zmax</t>
  </si>
  <si>
    <t>Percentage</t>
  </si>
  <si>
    <t>Began saving figures</t>
  </si>
  <si>
    <t>ST(p)</t>
  </si>
  <si>
    <t>error(%)</t>
  </si>
  <si>
    <t>Z</t>
  </si>
  <si>
    <t>Pim</t>
  </si>
  <si>
    <t>Pib</t>
  </si>
  <si>
    <t>S-N</t>
  </si>
  <si>
    <t>T0</t>
  </si>
  <si>
    <t>Averages</t>
  </si>
  <si>
    <t>X</t>
  </si>
  <si>
    <t>Y</t>
  </si>
  <si>
    <t>X_bar</t>
  </si>
  <si>
    <t>X1</t>
  </si>
  <si>
    <t>Y1</t>
  </si>
  <si>
    <t>Y2</t>
  </si>
  <si>
    <t>Y3</t>
  </si>
  <si>
    <t>Y4</t>
  </si>
  <si>
    <t>Y5</t>
  </si>
  <si>
    <t>Y6</t>
  </si>
  <si>
    <t>Y7</t>
  </si>
  <si>
    <t>X2</t>
  </si>
  <si>
    <t>X3</t>
  </si>
  <si>
    <t>X4</t>
  </si>
  <si>
    <t>X5</t>
  </si>
  <si>
    <t>X6</t>
  </si>
  <si>
    <t>X7</t>
  </si>
  <si>
    <t>S_Y_parts</t>
  </si>
  <si>
    <t>SY1</t>
  </si>
  <si>
    <t>SY2</t>
  </si>
  <si>
    <t>SY3</t>
  </si>
  <si>
    <t>SY4</t>
  </si>
  <si>
    <t>SY5</t>
  </si>
  <si>
    <t>SY6</t>
  </si>
  <si>
    <t>SY7</t>
  </si>
  <si>
    <t>m=</t>
  </si>
  <si>
    <t>c=</t>
  </si>
  <si>
    <t>SY</t>
  </si>
  <si>
    <t>N=</t>
  </si>
  <si>
    <t>S_XX_parts</t>
  </si>
  <si>
    <t>SXX1</t>
  </si>
  <si>
    <t>SXX2</t>
  </si>
  <si>
    <t>SXX3</t>
  </si>
  <si>
    <t>SXX4</t>
  </si>
  <si>
    <t>SXX5</t>
  </si>
  <si>
    <t>SXX6</t>
  </si>
  <si>
    <t>SXX7</t>
  </si>
  <si>
    <t>SXX</t>
  </si>
  <si>
    <t>X^2</t>
  </si>
  <si>
    <t>U_Y</t>
  </si>
  <si>
    <t>UNCORRELATED AND IGNORING X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</si>
</sst>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5" xfId="0" applyFill="1" applyBorder="1"/>
    <xf numFmtId="0" fontId="0" fillId="0" borderId="4" xfId="0" applyBorder="1"/>
    <xf numFmtId="0" fontId="0" fillId="2" borderId="0" xfId="0" applyFill="1" applyBorder="1"/>
    <xf numFmtId="0" fontId="0" fillId="6" borderId="0" xfId="0" applyFill="1"/>
    <xf numFmtId="0" fontId="1" fillId="0" borderId="0" xfId="0" applyFont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11" fontId="1" fillId="0" borderId="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" xfId="0" applyBorder="1"/>
    <xf numFmtId="0" fontId="1" fillId="0" borderId="9" xfId="0" quotePrefix="1" applyFont="1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Fill="1" applyBorder="1"/>
    <xf numFmtId="11" fontId="0" fillId="0" borderId="0" xfId="0" applyNumberFormat="1" applyBorder="1"/>
    <xf numFmtId="11" fontId="0" fillId="0" borderId="0" xfId="0" applyNumberFormat="1"/>
    <xf numFmtId="0" fontId="0" fillId="0" borderId="9" xfId="0" applyBorder="1"/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0" fillId="2" borderId="17" xfId="0" applyFill="1" applyBorder="1"/>
    <xf numFmtId="0" fontId="0" fillId="3" borderId="13" xfId="0" applyFill="1" applyBorder="1"/>
    <xf numFmtId="0" fontId="3" fillId="0" borderId="0" xfId="0" applyFont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3486439195099"/>
                  <c:y val="-0.32877916302128901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Slopes'!$B$18:$B$22</c:f>
              <c:numCache>
                <c:formatCode>General</c:formatCode>
                <c:ptCount val="5"/>
                <c:pt idx="0">
                  <c:v>26341.305044032837</c:v>
                </c:pt>
                <c:pt idx="1">
                  <c:v>22287.931676305328</c:v>
                </c:pt>
                <c:pt idx="2">
                  <c:v>20428.375607774586</c:v>
                </c:pt>
                <c:pt idx="3">
                  <c:v>18299.813063322508</c:v>
                </c:pt>
                <c:pt idx="4">
                  <c:v>18188.737988198067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F-4EBD-AB4B-5F7D86DCBF4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66819772528433"/>
                  <c:y val="-0.58119604841061534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Slopes'!$C$18:$C$22</c:f>
              <c:numCache>
                <c:formatCode>General</c:formatCode>
                <c:ptCount val="5"/>
                <c:pt idx="0">
                  <c:v>631.16225717171756</c:v>
                </c:pt>
                <c:pt idx="1">
                  <c:v>631.38462351515193</c:v>
                </c:pt>
                <c:pt idx="2">
                  <c:v>631.50144044444357</c:v>
                </c:pt>
                <c:pt idx="3">
                  <c:v>631.50558501010005</c:v>
                </c:pt>
                <c:pt idx="4">
                  <c:v>631.69245983838289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F-4EBD-AB4B-5F7D86DCBF4B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97353455818024"/>
                  <c:y val="-0.42841827063283755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Slopes'!$D$18:$D$22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F-4EBD-AB4B-5F7D86DC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5936"/>
        <c:axId val="244857856"/>
      </c:scatterChart>
      <c:valAx>
        <c:axId val="244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857856"/>
        <c:crosses val="autoZero"/>
        <c:crossBetween val="midCat"/>
      </c:valAx>
      <c:valAx>
        <c:axId val="2448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5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9335083114616"/>
          <c:y val="0.57774387576552932"/>
          <c:w val="0.25730664916885387"/>
          <c:h val="0.42225612423447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Slopes'!$D$18:$D$22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8-4C21-9D17-80F313F7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5552"/>
        <c:axId val="185977088"/>
      </c:scatterChart>
      <c:valAx>
        <c:axId val="1859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77088"/>
        <c:crosses val="autoZero"/>
        <c:crossBetween val="midCat"/>
      </c:valAx>
      <c:valAx>
        <c:axId val="185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7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3486439195099"/>
                  <c:y val="-0.32877916302128901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slopes'!$C$18:$C$22</c:f>
              <c:numCache>
                <c:formatCode>General</c:formatCode>
                <c:ptCount val="5"/>
                <c:pt idx="0">
                  <c:v>26341.305044032837</c:v>
                </c:pt>
                <c:pt idx="1">
                  <c:v>22287.931676305328</c:v>
                </c:pt>
                <c:pt idx="2">
                  <c:v>20428.375607774586</c:v>
                </c:pt>
                <c:pt idx="3">
                  <c:v>18299.813063322508</c:v>
                </c:pt>
                <c:pt idx="4">
                  <c:v>18188.737988198067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1-4449-A46C-526727CFFA3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66819772528433"/>
                  <c:y val="-0.58119604841061534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slopes'!$D$18:$D$22</c:f>
              <c:numCache>
                <c:formatCode>General</c:formatCode>
                <c:ptCount val="5"/>
                <c:pt idx="0">
                  <c:v>631.16225717171756</c:v>
                </c:pt>
                <c:pt idx="1">
                  <c:v>631.38462351515193</c:v>
                </c:pt>
                <c:pt idx="2">
                  <c:v>631.50144044444357</c:v>
                </c:pt>
                <c:pt idx="3">
                  <c:v>631.50558501010005</c:v>
                </c:pt>
                <c:pt idx="4">
                  <c:v>631.69245983838289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1-4449-A46C-526727CFFA38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97353455818024"/>
                  <c:y val="-0.42841827063283755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slopes'!$E$18:$E$22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1-4449-A46C-526727CF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68"/>
        <c:axId val="8953856"/>
      </c:scatterChart>
      <c:valAx>
        <c:axId val="8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3856"/>
        <c:crosses val="autoZero"/>
        <c:crossBetween val="midCat"/>
      </c:valAx>
      <c:valAx>
        <c:axId val="8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7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9335083114616"/>
          <c:y val="0.57774387576552932"/>
          <c:w val="0.25730664916885387"/>
          <c:h val="0.42225612423447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slopes'!$E$18:$E$22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B-4195-A918-3E3C353E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912"/>
        <c:axId val="8968448"/>
      </c:scatterChart>
      <c:valAx>
        <c:axId val="89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8448"/>
        <c:crosses val="autoZero"/>
        <c:crossBetween val="midCat"/>
      </c:valAx>
      <c:valAx>
        <c:axId val="8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'for uncertainty of slopes'!$Q$85:$Q$91</c:f>
              <c:numCache>
                <c:formatCode>General</c:formatCode>
                <c:ptCount val="7"/>
                <c:pt idx="0">
                  <c:v>26287.807922571727</c:v>
                </c:pt>
                <c:pt idx="1">
                  <c:v>22244.422564632827</c:v>
                </c:pt>
                <c:pt idx="2">
                  <c:v>20376.841410220961</c:v>
                </c:pt>
                <c:pt idx="3">
                  <c:v>18252.370557417449</c:v>
                </c:pt>
                <c:pt idx="4">
                  <c:v>18140.814845917434</c:v>
                </c:pt>
                <c:pt idx="5">
                  <c:v>16533.756578346794</c:v>
                </c:pt>
                <c:pt idx="6">
                  <c:v>15826.497708300147</c:v>
                </c:pt>
              </c:numCache>
            </c:numRef>
          </c:xVal>
          <c:yVal>
            <c:numRef>
              <c:f>'for uncertainty of slopes'!$E$47:$E$53</c:f>
              <c:numCache>
                <c:formatCode>General</c:formatCode>
                <c:ptCount val="7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  <c:pt idx="5">
                  <c:v>310.00103645766796</c:v>
                </c:pt>
                <c:pt idx="6">
                  <c:v>312.00323656569441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1BE-9899-FF109436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848"/>
        <c:axId val="9076736"/>
      </c:scatterChart>
      <c:valAx>
        <c:axId val="9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6736"/>
        <c:crosses val="autoZero"/>
        <c:crossBetween val="midCat"/>
      </c:valAx>
      <c:valAx>
        <c:axId val="90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'Uncertainty of normalized inten'!$C$3:$C$9</c:f>
              <c:numCache>
                <c:formatCode>General</c:formatCode>
                <c:ptCount val="7"/>
                <c:pt idx="0">
                  <c:v>1</c:v>
                </c:pt>
                <c:pt idx="1">
                  <c:v>0.84612101181198962</c:v>
                </c:pt>
                <c:pt idx="2">
                  <c:v>0.77552632922423403</c:v>
                </c:pt>
                <c:pt idx="3">
                  <c:v>0.69471930235544699</c:v>
                </c:pt>
                <c:pt idx="4">
                  <c:v>0.69050253804028616</c:v>
                </c:pt>
                <c:pt idx="5">
                  <c:v>0.62957011189017742</c:v>
                </c:pt>
                <c:pt idx="6">
                  <c:v>0.60205143736945066</c:v>
                </c:pt>
              </c:numCache>
            </c:numRef>
          </c:xVal>
          <c:yVal>
            <c:numRef>
              <c:f>'Uncertainty of normalized inten'!$F$3:$F$9</c:f>
              <c:numCache>
                <c:formatCode>General</c:formatCode>
                <c:ptCount val="7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  <c:pt idx="5">
                  <c:v>310.00103645766796</c:v>
                </c:pt>
                <c:pt idx="6">
                  <c:v>312.00323656569441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E-4365-AB6A-1EEB66C5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78560"/>
        <c:axId val="268134656"/>
      </c:scatterChart>
      <c:valAx>
        <c:axId val="2681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134656"/>
        <c:crosses val="autoZero"/>
        <c:crossBetween val="midCat"/>
      </c:valAx>
      <c:valAx>
        <c:axId val="2681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7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408915</xdr:colOff>
      <xdr:row>45</xdr:row>
      <xdr:rowOff>103691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5715" cy="86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15</xdr:row>
      <xdr:rowOff>90487</xdr:rowOff>
    </xdr:from>
    <xdr:to>
      <xdr:col>24</xdr:col>
      <xdr:colOff>447675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30</xdr:row>
      <xdr:rowOff>0</xdr:rowOff>
    </xdr:from>
    <xdr:to>
      <xdr:col>17</xdr:col>
      <xdr:colOff>171450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15</xdr:row>
      <xdr:rowOff>90487</xdr:rowOff>
    </xdr:from>
    <xdr:to>
      <xdr:col>25</xdr:col>
      <xdr:colOff>447675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31</xdr:row>
      <xdr:rowOff>28575</xdr:rowOff>
    </xdr:from>
    <xdr:to>
      <xdr:col>25</xdr:col>
      <xdr:colOff>485775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48</xdr:row>
      <xdr:rowOff>52387</xdr:rowOff>
    </xdr:from>
    <xdr:to>
      <xdr:col>23</xdr:col>
      <xdr:colOff>114300</xdr:colOff>
      <xdr:row>62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12</xdr:row>
      <xdr:rowOff>66675</xdr:rowOff>
    </xdr:from>
    <xdr:to>
      <xdr:col>19</xdr:col>
      <xdr:colOff>438150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21" sqref="B21"/>
    </sheetView>
  </sheetViews>
  <sheetFormatPr defaultColWidth="9.109375" defaultRowHeight="13.8" x14ac:dyDescent="0.25"/>
  <cols>
    <col min="1" max="1" width="29" style="12" customWidth="1"/>
    <col min="2" max="6" width="9.109375" style="12" customWidth="1"/>
    <col min="7" max="16384" width="9.109375" style="12"/>
  </cols>
  <sheetData>
    <row r="1" spans="1:12" x14ac:dyDescent="0.25">
      <c r="A1" s="39" t="s">
        <v>35</v>
      </c>
      <c r="B1" s="39"/>
      <c r="C1" s="39"/>
      <c r="D1" s="40" t="s">
        <v>39</v>
      </c>
      <c r="E1" s="41"/>
      <c r="F1" s="42"/>
      <c r="G1" s="40" t="s">
        <v>40</v>
      </c>
      <c r="H1" s="41"/>
      <c r="I1" s="42"/>
      <c r="J1" s="40" t="s">
        <v>96</v>
      </c>
      <c r="K1" s="41"/>
      <c r="L1" s="42"/>
    </row>
    <row r="2" spans="1:12" x14ac:dyDescent="0.25">
      <c r="A2" s="39"/>
      <c r="B2" s="39"/>
      <c r="C2" s="39"/>
      <c r="D2" s="43"/>
      <c r="E2" s="44"/>
      <c r="F2" s="45"/>
      <c r="G2" s="43"/>
      <c r="H2" s="44"/>
      <c r="I2" s="45"/>
      <c r="J2" s="43"/>
      <c r="K2" s="44"/>
      <c r="L2" s="45"/>
    </row>
    <row r="3" spans="1:12" x14ac:dyDescent="0.25">
      <c r="A3" s="12" t="s">
        <v>36</v>
      </c>
      <c r="B3" s="39"/>
      <c r="C3" s="46"/>
      <c r="D3" s="13" t="s">
        <v>37</v>
      </c>
      <c r="E3" s="14">
        <v>1.5</v>
      </c>
      <c r="F3" s="15" t="s">
        <v>38</v>
      </c>
      <c r="G3" s="13" t="s">
        <v>41</v>
      </c>
      <c r="H3" s="14">
        <v>0.19</v>
      </c>
      <c r="I3" s="15" t="s">
        <v>38</v>
      </c>
      <c r="J3" s="13" t="s">
        <v>97</v>
      </c>
      <c r="K3" s="14">
        <v>602</v>
      </c>
      <c r="L3" s="15" t="s">
        <v>38</v>
      </c>
    </row>
    <row r="4" spans="1:12" x14ac:dyDescent="0.25">
      <c r="A4" s="12" t="s">
        <v>42</v>
      </c>
      <c r="B4" s="39"/>
      <c r="C4" s="46"/>
      <c r="D4" s="13" t="s">
        <v>57</v>
      </c>
      <c r="E4" s="14">
        <v>0</v>
      </c>
      <c r="F4" s="15" t="s">
        <v>58</v>
      </c>
      <c r="G4" s="13" t="s">
        <v>59</v>
      </c>
      <c r="H4" s="14">
        <v>0.5</v>
      </c>
      <c r="I4" s="15" t="s">
        <v>58</v>
      </c>
      <c r="J4" s="13" t="s">
        <v>98</v>
      </c>
      <c r="K4" s="14">
        <v>19712</v>
      </c>
      <c r="L4" s="15" t="s">
        <v>58</v>
      </c>
    </row>
    <row r="5" spans="1:12" x14ac:dyDescent="0.25">
      <c r="A5" s="12" t="s">
        <v>43</v>
      </c>
      <c r="B5" s="39"/>
      <c r="C5" s="46"/>
      <c r="D5" s="13" t="s">
        <v>60</v>
      </c>
      <c r="E5" s="14">
        <v>0.05</v>
      </c>
      <c r="F5" s="15" t="s">
        <v>61</v>
      </c>
      <c r="G5" s="13" t="s">
        <v>62</v>
      </c>
      <c r="H5" s="14">
        <v>1E-3</v>
      </c>
      <c r="I5" s="15" t="s">
        <v>61</v>
      </c>
      <c r="J5" s="13" t="s">
        <v>99</v>
      </c>
      <c r="K5" s="14">
        <v>300</v>
      </c>
      <c r="L5" s="15" t="s">
        <v>61</v>
      </c>
    </row>
    <row r="6" spans="1:12" x14ac:dyDescent="0.25">
      <c r="A6" s="12" t="s">
        <v>44</v>
      </c>
      <c r="B6" s="39"/>
      <c r="C6" s="46"/>
      <c r="D6" s="13" t="s">
        <v>63</v>
      </c>
      <c r="E6" s="14">
        <v>1E-4</v>
      </c>
      <c r="F6" s="15" t="s">
        <v>64</v>
      </c>
      <c r="G6" s="13" t="s">
        <v>65</v>
      </c>
      <c r="H6" s="14">
        <v>7.1999999999999995E-2</v>
      </c>
      <c r="I6" s="15" t="s">
        <v>64</v>
      </c>
      <c r="J6" s="13" t="s">
        <v>100</v>
      </c>
      <c r="K6" s="14">
        <v>0.05</v>
      </c>
      <c r="L6" s="15" t="s">
        <v>64</v>
      </c>
    </row>
    <row r="7" spans="1:12" x14ac:dyDescent="0.25">
      <c r="A7" s="12" t="s">
        <v>45</v>
      </c>
      <c r="B7" s="39"/>
      <c r="C7" s="46"/>
      <c r="D7" s="13" t="s">
        <v>66</v>
      </c>
      <c r="E7" s="14">
        <v>1430</v>
      </c>
      <c r="F7" s="15" t="s">
        <v>58</v>
      </c>
      <c r="G7" s="13" t="s">
        <v>67</v>
      </c>
      <c r="H7" s="14">
        <v>0</v>
      </c>
      <c r="I7" s="15" t="s">
        <v>58</v>
      </c>
      <c r="J7" s="13" t="s">
        <v>101</v>
      </c>
      <c r="K7" s="14">
        <v>1430</v>
      </c>
      <c r="L7" s="15" t="s">
        <v>58</v>
      </c>
    </row>
    <row r="8" spans="1:12" x14ac:dyDescent="0.25">
      <c r="A8" s="12" t="s">
        <v>46</v>
      </c>
      <c r="B8" s="39"/>
      <c r="C8" s="46"/>
      <c r="D8" s="13" t="s">
        <v>68</v>
      </c>
      <c r="E8" s="14">
        <v>217</v>
      </c>
      <c r="F8" s="15" t="s">
        <v>58</v>
      </c>
      <c r="G8" s="13" t="s">
        <v>69</v>
      </c>
      <c r="H8" s="14">
        <v>0</v>
      </c>
      <c r="I8" s="15" t="s">
        <v>58</v>
      </c>
      <c r="J8" s="13" t="s">
        <v>102</v>
      </c>
      <c r="K8" s="14">
        <v>217</v>
      </c>
      <c r="L8" s="15" t="s">
        <v>58</v>
      </c>
    </row>
    <row r="9" spans="1:12" x14ac:dyDescent="0.25">
      <c r="A9" s="12" t="s">
        <v>47</v>
      </c>
      <c r="B9" s="39"/>
      <c r="C9" s="46"/>
      <c r="D9" s="13" t="s">
        <v>71</v>
      </c>
      <c r="E9" s="14">
        <v>0</v>
      </c>
      <c r="F9" s="15" t="s">
        <v>58</v>
      </c>
      <c r="G9" s="13" t="s">
        <v>74</v>
      </c>
      <c r="H9" s="14">
        <v>4258.3828245284903</v>
      </c>
      <c r="I9" s="15" t="s">
        <v>58</v>
      </c>
      <c r="J9" s="21" t="s">
        <v>103</v>
      </c>
      <c r="K9" s="14">
        <v>68800</v>
      </c>
      <c r="L9" s="15" t="s">
        <v>58</v>
      </c>
    </row>
    <row r="10" spans="1:12" x14ac:dyDescent="0.25">
      <c r="A10" s="12" t="s">
        <v>49</v>
      </c>
      <c r="B10" s="39"/>
      <c r="C10" s="46"/>
      <c r="D10" s="13" t="s">
        <v>72</v>
      </c>
      <c r="E10" s="14">
        <v>0</v>
      </c>
      <c r="F10" s="15" t="s">
        <v>58</v>
      </c>
      <c r="G10" s="13" t="s">
        <v>95</v>
      </c>
      <c r="H10" s="14">
        <v>1.2352278634699339</v>
      </c>
      <c r="I10" s="15" t="s">
        <v>58</v>
      </c>
      <c r="J10" s="13" t="s">
        <v>104</v>
      </c>
      <c r="K10" s="14">
        <v>602</v>
      </c>
      <c r="L10" s="15" t="s">
        <v>58</v>
      </c>
    </row>
    <row r="11" spans="1:12" x14ac:dyDescent="0.25">
      <c r="A11" s="12" t="s">
        <v>50</v>
      </c>
      <c r="B11" s="39"/>
      <c r="C11" s="46"/>
      <c r="D11" s="13" t="s">
        <v>73</v>
      </c>
      <c r="E11" s="14">
        <v>0</v>
      </c>
      <c r="F11" s="15" t="s">
        <v>58</v>
      </c>
      <c r="G11" s="13" t="s">
        <v>76</v>
      </c>
      <c r="H11" s="14">
        <v>3.2183712626156873</v>
      </c>
      <c r="I11" s="15" t="s">
        <v>58</v>
      </c>
      <c r="J11" s="13" t="s">
        <v>105</v>
      </c>
      <c r="K11" s="14">
        <v>9</v>
      </c>
      <c r="L11" s="15" t="s">
        <v>58</v>
      </c>
    </row>
    <row r="12" spans="1:12" x14ac:dyDescent="0.25">
      <c r="A12" s="12" t="s">
        <v>70</v>
      </c>
      <c r="B12" s="39"/>
      <c r="C12" s="46"/>
      <c r="D12" s="13" t="s">
        <v>80</v>
      </c>
      <c r="E12" s="14">
        <v>50</v>
      </c>
      <c r="F12" s="15" t="s">
        <v>58</v>
      </c>
      <c r="G12" s="13" t="s">
        <v>81</v>
      </c>
      <c r="H12" s="14">
        <v>0</v>
      </c>
      <c r="I12" s="15" t="s">
        <v>58</v>
      </c>
      <c r="J12" s="13" t="s">
        <v>106</v>
      </c>
      <c r="K12" s="14">
        <v>0</v>
      </c>
      <c r="L12" s="15" t="s">
        <v>58</v>
      </c>
    </row>
    <row r="13" spans="1:12" x14ac:dyDescent="0.25">
      <c r="A13" s="12" t="s">
        <v>48</v>
      </c>
      <c r="B13" s="39"/>
      <c r="C13" s="46"/>
      <c r="D13" s="13" t="s">
        <v>77</v>
      </c>
      <c r="E13" s="14">
        <v>0</v>
      </c>
      <c r="F13" s="15" t="s">
        <v>58</v>
      </c>
      <c r="G13" s="13" t="s">
        <v>83</v>
      </c>
      <c r="H13" s="14">
        <v>139.1491186849693</v>
      </c>
      <c r="I13" s="15" t="s">
        <v>58</v>
      </c>
      <c r="J13" s="21" t="s">
        <v>107</v>
      </c>
      <c r="K13" s="14">
        <v>-155.19999999999999</v>
      </c>
      <c r="L13" s="15" t="s">
        <v>58</v>
      </c>
    </row>
    <row r="14" spans="1:12" x14ac:dyDescent="0.25">
      <c r="A14" s="12" t="s">
        <v>51</v>
      </c>
      <c r="B14" s="39"/>
      <c r="C14" s="46"/>
      <c r="D14" s="13" t="s">
        <v>78</v>
      </c>
      <c r="E14" s="14">
        <v>0</v>
      </c>
      <c r="F14" s="15" t="s">
        <v>58</v>
      </c>
      <c r="G14" s="13" t="s">
        <v>84</v>
      </c>
      <c r="H14" s="14">
        <v>4.0362944258303165E-3</v>
      </c>
      <c r="I14" s="15" t="s">
        <v>58</v>
      </c>
      <c r="J14" s="13" t="s">
        <v>108</v>
      </c>
      <c r="K14" s="14">
        <v>0.1</v>
      </c>
      <c r="L14" s="15" t="s">
        <v>58</v>
      </c>
    </row>
    <row r="15" spans="1:12" x14ac:dyDescent="0.25">
      <c r="A15" s="12" t="s">
        <v>52</v>
      </c>
      <c r="B15" s="39"/>
      <c r="C15" s="46"/>
      <c r="D15" s="13" t="s">
        <v>79</v>
      </c>
      <c r="E15" s="14">
        <v>0</v>
      </c>
      <c r="F15" s="15" t="s">
        <v>58</v>
      </c>
      <c r="G15" s="13" t="s">
        <v>94</v>
      </c>
      <c r="H15" s="14">
        <v>1.051651632198173E-2</v>
      </c>
      <c r="I15" s="15" t="s">
        <v>58</v>
      </c>
      <c r="J15" s="13" t="s">
        <v>109</v>
      </c>
      <c r="K15" s="14">
        <v>0.1</v>
      </c>
      <c r="L15" s="15" t="s">
        <v>58</v>
      </c>
    </row>
    <row r="16" spans="1:12" x14ac:dyDescent="0.25">
      <c r="A16" s="12" t="s">
        <v>53</v>
      </c>
      <c r="B16" s="39"/>
      <c r="C16" s="46"/>
      <c r="D16" s="13" t="s">
        <v>82</v>
      </c>
      <c r="E16" s="14">
        <v>0</v>
      </c>
      <c r="F16" s="15" t="s">
        <v>58</v>
      </c>
      <c r="G16" s="13" t="s">
        <v>86</v>
      </c>
      <c r="H16" s="14">
        <v>0</v>
      </c>
      <c r="I16" s="15" t="s">
        <v>58</v>
      </c>
      <c r="J16" s="13" t="s">
        <v>110</v>
      </c>
      <c r="K16" s="14">
        <v>0</v>
      </c>
      <c r="L16" s="15" t="s">
        <v>58</v>
      </c>
    </row>
    <row r="17" spans="1:20" x14ac:dyDescent="0.25">
      <c r="A17" s="12" t="s">
        <v>54</v>
      </c>
      <c r="B17" s="39"/>
      <c r="C17" s="46"/>
      <c r="D17" s="13" t="s">
        <v>87</v>
      </c>
      <c r="E17" s="16">
        <v>9.9999999999999995E-7</v>
      </c>
      <c r="F17" s="15" t="s">
        <v>23</v>
      </c>
      <c r="G17" s="13" t="s">
        <v>88</v>
      </c>
      <c r="H17" s="16">
        <v>4.9999999999999998E-7</v>
      </c>
      <c r="I17" s="15" t="s">
        <v>23</v>
      </c>
      <c r="J17" s="13" t="s">
        <v>112</v>
      </c>
      <c r="K17" s="16">
        <v>2E-3</v>
      </c>
      <c r="L17" s="15" t="s">
        <v>23</v>
      </c>
    </row>
    <row r="18" spans="1:20" x14ac:dyDescent="0.25">
      <c r="A18" s="12" t="s">
        <v>55</v>
      </c>
      <c r="B18" s="39"/>
      <c r="C18" s="46"/>
      <c r="D18" s="13" t="s">
        <v>89</v>
      </c>
      <c r="E18" s="14">
        <v>0.04</v>
      </c>
      <c r="F18" s="15" t="s">
        <v>61</v>
      </c>
      <c r="G18" s="13" t="s">
        <v>90</v>
      </c>
      <c r="H18" s="14">
        <v>0.06</v>
      </c>
      <c r="I18" s="15" t="s">
        <v>61</v>
      </c>
      <c r="J18" s="13" t="s">
        <v>111</v>
      </c>
      <c r="K18" s="14">
        <f>K5+5</f>
        <v>305</v>
      </c>
      <c r="L18" s="15" t="s">
        <v>61</v>
      </c>
    </row>
    <row r="19" spans="1:20" ht="14.4" thickBot="1" x14ac:dyDescent="0.3">
      <c r="A19" s="12" t="s">
        <v>56</v>
      </c>
      <c r="B19" s="39"/>
      <c r="C19" s="46"/>
      <c r="D19" s="17" t="s">
        <v>91</v>
      </c>
      <c r="E19" s="18">
        <v>0</v>
      </c>
      <c r="F19" s="19" t="s">
        <v>92</v>
      </c>
      <c r="G19" s="17" t="s">
        <v>93</v>
      </c>
      <c r="H19" s="18">
        <v>0.1</v>
      </c>
      <c r="I19" s="19" t="s">
        <v>92</v>
      </c>
      <c r="J19" s="17" t="s">
        <v>56</v>
      </c>
      <c r="K19" s="18">
        <v>10</v>
      </c>
      <c r="L19" s="19" t="s">
        <v>92</v>
      </c>
    </row>
    <row r="23" spans="1:20" ht="14.4" thickBot="1" x14ac:dyDescent="0.3">
      <c r="D23" s="13" t="s">
        <v>37</v>
      </c>
      <c r="E23" s="13" t="s">
        <v>57</v>
      </c>
      <c r="F23" s="13" t="s">
        <v>60</v>
      </c>
      <c r="G23" s="13" t="s">
        <v>63</v>
      </c>
      <c r="H23" s="13" t="s">
        <v>66</v>
      </c>
      <c r="I23" s="13" t="s">
        <v>68</v>
      </c>
      <c r="J23" s="13" t="s">
        <v>71</v>
      </c>
      <c r="K23" s="13" t="s">
        <v>72</v>
      </c>
      <c r="L23" s="13" t="s">
        <v>73</v>
      </c>
      <c r="M23" s="13" t="s">
        <v>80</v>
      </c>
      <c r="N23" s="13" t="s">
        <v>77</v>
      </c>
      <c r="O23" s="13" t="s">
        <v>78</v>
      </c>
      <c r="P23" s="13" t="s">
        <v>79</v>
      </c>
      <c r="Q23" s="13" t="s">
        <v>82</v>
      </c>
      <c r="R23" s="13" t="s">
        <v>87</v>
      </c>
      <c r="S23" s="13" t="s">
        <v>89</v>
      </c>
      <c r="T23" s="17" t="s">
        <v>91</v>
      </c>
    </row>
    <row r="24" spans="1:20" ht="14.4" thickBot="1" x14ac:dyDescent="0.3">
      <c r="D24" s="14">
        <v>1.5</v>
      </c>
      <c r="E24" s="14">
        <v>0</v>
      </c>
      <c r="F24" s="14">
        <v>0.05</v>
      </c>
      <c r="G24" s="14">
        <v>1E-4</v>
      </c>
      <c r="H24" s="14">
        <v>1430</v>
      </c>
      <c r="I24" s="14">
        <v>217</v>
      </c>
      <c r="J24" s="14">
        <v>0</v>
      </c>
      <c r="K24" s="14">
        <v>0</v>
      </c>
      <c r="L24" s="14">
        <v>0</v>
      </c>
      <c r="M24" s="14">
        <v>50</v>
      </c>
      <c r="N24" s="14">
        <v>0</v>
      </c>
      <c r="O24" s="14">
        <v>0</v>
      </c>
      <c r="P24" s="14">
        <v>0</v>
      </c>
      <c r="Q24" s="14">
        <v>0</v>
      </c>
      <c r="R24" s="16">
        <v>9.9999999999999995E-7</v>
      </c>
      <c r="S24" s="14">
        <v>0.04</v>
      </c>
      <c r="T24" s="18">
        <v>0</v>
      </c>
    </row>
    <row r="25" spans="1:20" ht="14.4" thickBot="1" x14ac:dyDescent="0.3">
      <c r="D25" s="15" t="s">
        <v>38</v>
      </c>
      <c r="E25" s="15" t="s">
        <v>58</v>
      </c>
      <c r="F25" s="15" t="s">
        <v>61</v>
      </c>
      <c r="G25" s="15" t="s">
        <v>64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58</v>
      </c>
      <c r="N25" s="15" t="s">
        <v>58</v>
      </c>
      <c r="O25" s="15" t="s">
        <v>58</v>
      </c>
      <c r="P25" s="15" t="s">
        <v>58</v>
      </c>
      <c r="Q25" s="15" t="s">
        <v>58</v>
      </c>
      <c r="R25" s="15" t="s">
        <v>23</v>
      </c>
      <c r="S25" s="15" t="s">
        <v>61</v>
      </c>
      <c r="T25" s="19" t="s">
        <v>92</v>
      </c>
    </row>
    <row r="26" spans="1:20" ht="14.4" thickBot="1" x14ac:dyDescent="0.3">
      <c r="D26" s="13" t="s">
        <v>41</v>
      </c>
      <c r="E26" s="13" t="s">
        <v>59</v>
      </c>
      <c r="F26" s="13" t="s">
        <v>62</v>
      </c>
      <c r="G26" s="13" t="s">
        <v>65</v>
      </c>
      <c r="H26" s="13" t="s">
        <v>67</v>
      </c>
      <c r="I26" s="13" t="s">
        <v>69</v>
      </c>
      <c r="J26" s="13" t="s">
        <v>74</v>
      </c>
      <c r="K26" s="13" t="s">
        <v>75</v>
      </c>
      <c r="L26" s="13" t="s">
        <v>76</v>
      </c>
      <c r="M26" s="13" t="s">
        <v>81</v>
      </c>
      <c r="N26" s="13" t="s">
        <v>83</v>
      </c>
      <c r="O26" s="13" t="s">
        <v>84</v>
      </c>
      <c r="P26" s="13" t="s">
        <v>85</v>
      </c>
      <c r="Q26" s="13" t="s">
        <v>86</v>
      </c>
      <c r="R26" s="13" t="s">
        <v>88</v>
      </c>
      <c r="S26" s="13" t="s">
        <v>90</v>
      </c>
      <c r="T26" s="17" t="s">
        <v>93</v>
      </c>
    </row>
    <row r="27" spans="1:20" ht="14.4" thickBot="1" x14ac:dyDescent="0.3">
      <c r="D27" s="14">
        <v>0.19</v>
      </c>
      <c r="E27" s="14">
        <v>0.5</v>
      </c>
      <c r="F27" s="14">
        <v>1E-3</v>
      </c>
      <c r="G27" s="14">
        <v>7.1999999999999995E-2</v>
      </c>
      <c r="H27" s="14">
        <v>0</v>
      </c>
      <c r="I27" s="14">
        <v>0</v>
      </c>
      <c r="J27" s="14">
        <v>42583.828245284858</v>
      </c>
      <c r="K27" s="14">
        <v>1.2352278634699339</v>
      </c>
      <c r="L27" s="14">
        <v>3.2183712626156873</v>
      </c>
      <c r="M27" s="14">
        <v>0</v>
      </c>
      <c r="N27" s="14">
        <v>139.1491186849693</v>
      </c>
      <c r="O27" s="14">
        <v>4.0362944258303165E-3</v>
      </c>
      <c r="P27" s="14">
        <v>1.051651632198173E-2</v>
      </c>
      <c r="Q27" s="14">
        <v>0</v>
      </c>
      <c r="R27" s="16">
        <v>4.9999999999999998E-7</v>
      </c>
      <c r="S27" s="14">
        <v>0.06</v>
      </c>
      <c r="T27" s="18">
        <v>0.1</v>
      </c>
    </row>
    <row r="28" spans="1:20" ht="14.4" thickBot="1" x14ac:dyDescent="0.3">
      <c r="D28" s="15" t="s">
        <v>38</v>
      </c>
      <c r="E28" s="15" t="s">
        <v>58</v>
      </c>
      <c r="F28" s="15" t="s">
        <v>61</v>
      </c>
      <c r="G28" s="15" t="s">
        <v>64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15" t="s">
        <v>58</v>
      </c>
      <c r="R28" s="15" t="s">
        <v>23</v>
      </c>
      <c r="S28" s="15" t="s">
        <v>61</v>
      </c>
      <c r="T28" s="19" t="s">
        <v>92</v>
      </c>
    </row>
  </sheetData>
  <mergeCells count="5">
    <mergeCell ref="A1:C2"/>
    <mergeCell ref="D1:F2"/>
    <mergeCell ref="G1:I2"/>
    <mergeCell ref="B3:C19"/>
    <mergeCell ref="J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14" workbookViewId="0">
      <selection activeCell="D36" sqref="D36"/>
    </sheetView>
  </sheetViews>
  <sheetFormatPr defaultRowHeight="14.4" x14ac:dyDescent="0.3"/>
  <cols>
    <col min="2" max="2" width="12.6640625" bestFit="1" customWidth="1"/>
    <col min="3" max="3" width="13.109375" bestFit="1" customWidth="1"/>
    <col min="4" max="4" width="12" bestFit="1" customWidth="1"/>
  </cols>
  <sheetData>
    <row r="1" spans="1:24" s="9" customFormat="1" x14ac:dyDescent="0.3">
      <c r="A1" s="5" t="s">
        <v>0</v>
      </c>
      <c r="B1" s="6" t="s">
        <v>1</v>
      </c>
      <c r="C1" s="7" t="s">
        <v>2</v>
      </c>
      <c r="D1" s="8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5" t="s">
        <v>8</v>
      </c>
      <c r="J1" s="6" t="s">
        <v>9</v>
      </c>
      <c r="K1" s="7" t="s">
        <v>10</v>
      </c>
      <c r="L1" s="8" t="s">
        <v>10</v>
      </c>
      <c r="M1" s="5" t="s">
        <v>11</v>
      </c>
      <c r="N1" s="6" t="s">
        <v>12</v>
      </c>
      <c r="O1" s="7" t="s">
        <v>13</v>
      </c>
      <c r="P1" s="8" t="s">
        <v>14</v>
      </c>
      <c r="Q1" s="5" t="s">
        <v>15</v>
      </c>
      <c r="R1" s="6" t="s">
        <v>16</v>
      </c>
      <c r="S1" s="7" t="s">
        <v>17</v>
      </c>
      <c r="T1" s="8" t="s">
        <v>18</v>
      </c>
      <c r="U1" s="5" t="s">
        <v>19</v>
      </c>
      <c r="V1" s="6" t="s">
        <v>20</v>
      </c>
      <c r="W1" s="7" t="s">
        <v>21</v>
      </c>
      <c r="X1" s="8" t="s">
        <v>22</v>
      </c>
    </row>
    <row r="2" spans="1:24" x14ac:dyDescent="0.3">
      <c r="A2" s="1">
        <v>300.00165416178766</v>
      </c>
      <c r="B2" s="2">
        <v>1.4607740298769716E-4</v>
      </c>
      <c r="C2" s="3">
        <v>300.00135062995645</v>
      </c>
      <c r="D2" s="4">
        <v>300.00196882115011</v>
      </c>
      <c r="E2" s="1">
        <v>26341.305044032837</v>
      </c>
      <c r="F2" s="2">
        <v>53.497121461109266</v>
      </c>
      <c r="G2" s="3">
        <v>26201.652981348667</v>
      </c>
      <c r="H2" s="4">
        <v>26471.674037028257</v>
      </c>
      <c r="I2" s="1">
        <v>5347793.9059876204</v>
      </c>
      <c r="J2" s="2">
        <v>19792.159476633682</v>
      </c>
      <c r="K2" s="3">
        <v>5300096.9389761863</v>
      </c>
      <c r="L2" s="4">
        <v>5404276.3545619063</v>
      </c>
      <c r="M2" s="1">
        <v>631.16225717171756</v>
      </c>
      <c r="N2" s="2">
        <v>7.1446773287238474E-2</v>
      </c>
      <c r="O2" s="3">
        <v>630.93829292929297</v>
      </c>
      <c r="P2" s="4">
        <v>631.33880808080812</v>
      </c>
      <c r="Q2" s="1">
        <v>203.01918655837426</v>
      </c>
      <c r="R2" s="2">
        <v>0.58224574800195328</v>
      </c>
      <c r="S2" s="3">
        <v>201.76592355556147</v>
      </c>
      <c r="T2" s="4">
        <v>204.67375368793634</v>
      </c>
      <c r="U2" s="1">
        <v>34.592993206093027</v>
      </c>
      <c r="V2" s="2">
        <v>5.4226011005179528E-2</v>
      </c>
      <c r="W2" s="3">
        <v>34.425813480844099</v>
      </c>
      <c r="X2" s="4">
        <v>34.739700213884802</v>
      </c>
    </row>
    <row r="3" spans="1:24" x14ac:dyDescent="0.3">
      <c r="A3" s="1">
        <v>302.00174431755073</v>
      </c>
      <c r="B3" s="2">
        <v>1.7559503866123382E-4</v>
      </c>
      <c r="C3" s="3">
        <v>302.00147104438724</v>
      </c>
      <c r="D3" s="4">
        <v>302.00209071151016</v>
      </c>
      <c r="E3" s="1">
        <v>22287.931676305328</v>
      </c>
      <c r="F3" s="2">
        <v>43.509111672501163</v>
      </c>
      <c r="G3" s="3">
        <v>22179.168371935466</v>
      </c>
      <c r="H3" s="4">
        <v>22400.912250828253</v>
      </c>
      <c r="I3" s="1">
        <v>4580450.254114721</v>
      </c>
      <c r="J3" s="2">
        <v>19332.540736402672</v>
      </c>
      <c r="K3" s="3">
        <v>4541137.0039333282</v>
      </c>
      <c r="L3" s="4">
        <v>4659345.5559666594</v>
      </c>
      <c r="M3" s="1">
        <v>631.38462351515193</v>
      </c>
      <c r="N3" s="2">
        <v>8.4662990301682062E-2</v>
      </c>
      <c r="O3" s="3">
        <v>631.13830303030306</v>
      </c>
      <c r="P3" s="4">
        <v>631.58157575757571</v>
      </c>
      <c r="Q3" s="1">
        <v>205.51229330448163</v>
      </c>
      <c r="R3" s="2">
        <v>0.6882687708388765</v>
      </c>
      <c r="S3" s="3">
        <v>204.08700512066923</v>
      </c>
      <c r="T3" s="4">
        <v>207.99802721402048</v>
      </c>
      <c r="U3" s="1">
        <v>34.773008474975221</v>
      </c>
      <c r="V3" s="2">
        <v>5.9090023888395619E-2</v>
      </c>
      <c r="W3" s="3">
        <v>34.5903593210815</v>
      </c>
      <c r="X3" s="4">
        <v>34.945815720935201</v>
      </c>
    </row>
    <row r="4" spans="1:24" x14ac:dyDescent="0.3">
      <c r="A4" s="1">
        <v>304.00517963463437</v>
      </c>
      <c r="B4" s="2">
        <v>3.3439087658235667E-4</v>
      </c>
      <c r="C4" s="3">
        <v>304.00465290635435</v>
      </c>
      <c r="D4" s="4">
        <v>304.00571402386601</v>
      </c>
      <c r="E4" s="1">
        <v>20428.375607774586</v>
      </c>
      <c r="F4" s="2">
        <v>51.534197553623201</v>
      </c>
      <c r="G4" s="3">
        <v>20281.93486053486</v>
      </c>
      <c r="H4" s="4">
        <v>20555.808420785626</v>
      </c>
      <c r="I4" s="1">
        <v>4227218.6768562282</v>
      </c>
      <c r="J4" s="2">
        <v>19617.699142166341</v>
      </c>
      <c r="K4" s="3">
        <v>4160268.2017952385</v>
      </c>
      <c r="L4" s="4">
        <v>4301867.4947761931</v>
      </c>
      <c r="M4" s="1">
        <v>631.50144044444357</v>
      </c>
      <c r="N4" s="2">
        <v>8.5378535020010971E-2</v>
      </c>
      <c r="O4" s="3">
        <v>631.25969696969696</v>
      </c>
      <c r="P4" s="4">
        <v>631.78157575757575</v>
      </c>
      <c r="Q4" s="1">
        <v>206.92857289728485</v>
      </c>
      <c r="R4" s="2">
        <v>0.7527723183804782</v>
      </c>
      <c r="S4" s="3">
        <v>205.11276618030206</v>
      </c>
      <c r="T4" s="4">
        <v>209.95019958028203</v>
      </c>
      <c r="U4" s="1">
        <v>34.884203418097904</v>
      </c>
      <c r="V4" s="2">
        <v>6.3923560213852731E-2</v>
      </c>
      <c r="W4" s="3">
        <v>34.701954663401601</v>
      </c>
      <c r="X4" s="4">
        <v>35.054947840062098</v>
      </c>
    </row>
    <row r="5" spans="1:24" x14ac:dyDescent="0.3">
      <c r="A5" s="1">
        <v>306.00957728573587</v>
      </c>
      <c r="B5" s="2">
        <v>1.4697608797760957E-4</v>
      </c>
      <c r="C5" s="3">
        <v>306.00924968703998</v>
      </c>
      <c r="D5" s="4">
        <v>306.0097944742779</v>
      </c>
      <c r="E5" s="1">
        <v>18299.813063322508</v>
      </c>
      <c r="F5" s="2">
        <v>47.442505905058042</v>
      </c>
      <c r="G5" s="3">
        <v>18172.024463977003</v>
      </c>
      <c r="H5" s="4">
        <v>18442.466893552752</v>
      </c>
      <c r="I5" s="1">
        <v>3817492.8774557509</v>
      </c>
      <c r="J5" s="2">
        <v>20392.221329664113</v>
      </c>
      <c r="K5" s="3">
        <v>3773002.7873809543</v>
      </c>
      <c r="L5" s="4">
        <v>3917031.5944857094</v>
      </c>
      <c r="M5" s="1">
        <v>631.50558501010005</v>
      </c>
      <c r="N5" s="2">
        <v>9.5512772747970293E-2</v>
      </c>
      <c r="O5" s="3">
        <v>631.18112121212118</v>
      </c>
      <c r="P5" s="4">
        <v>631.8243434343434</v>
      </c>
      <c r="Q5" s="1">
        <v>208.60789947302396</v>
      </c>
      <c r="R5" s="2">
        <v>0.88344922931907099</v>
      </c>
      <c r="S5" s="3">
        <v>206.83995372331952</v>
      </c>
      <c r="T5" s="4">
        <v>212.92050247253272</v>
      </c>
      <c r="U5" s="1">
        <v>35.008247298581551</v>
      </c>
      <c r="V5" s="2">
        <v>6.5410064961953923E-2</v>
      </c>
      <c r="W5" s="3">
        <v>34.819797583769201</v>
      </c>
      <c r="X5" s="4">
        <v>35.190733321745</v>
      </c>
    </row>
    <row r="6" spans="1:24" x14ac:dyDescent="0.3">
      <c r="A6" s="1">
        <v>308.0057296830347</v>
      </c>
      <c r="B6" s="2">
        <v>9.9766027874057114E-5</v>
      </c>
      <c r="C6" s="3">
        <v>308.00556440676053</v>
      </c>
      <c r="D6" s="4">
        <v>308.00587644505299</v>
      </c>
      <c r="E6" s="1">
        <v>18188.737988198067</v>
      </c>
      <c r="F6" s="2">
        <v>47.923142280631922</v>
      </c>
      <c r="G6" s="3">
        <v>18069.514962336347</v>
      </c>
      <c r="H6" s="4">
        <v>18340.785501824954</v>
      </c>
      <c r="I6" s="1">
        <v>3814420.3730628574</v>
      </c>
      <c r="J6" s="2">
        <v>20363.441970543885</v>
      </c>
      <c r="K6" s="3">
        <v>3769783.9813857106</v>
      </c>
      <c r="L6" s="4">
        <v>3878364.286304764</v>
      </c>
      <c r="M6" s="1">
        <v>631.69245983838289</v>
      </c>
      <c r="N6" s="2">
        <v>8.925813423197651E-2</v>
      </c>
      <c r="O6" s="3">
        <v>631.42394949494951</v>
      </c>
      <c r="P6" s="4">
        <v>631.93981818181828</v>
      </c>
      <c r="Q6" s="1">
        <v>209.71303808286723</v>
      </c>
      <c r="R6" s="2">
        <v>0.91409124332221392</v>
      </c>
      <c r="S6" s="3">
        <v>207.91646053189081</v>
      </c>
      <c r="T6" s="4">
        <v>212.8578627481061</v>
      </c>
      <c r="U6" s="1">
        <v>35.0915171820713</v>
      </c>
      <c r="V6" s="2">
        <v>7.5428527110377827E-2</v>
      </c>
      <c r="W6" s="3">
        <v>34.900244223201199</v>
      </c>
      <c r="X6" s="4">
        <v>35.347619939996697</v>
      </c>
    </row>
    <row r="7" spans="1:24" x14ac:dyDescent="0.3">
      <c r="A7" s="1">
        <v>310.00103645766796</v>
      </c>
      <c r="B7" s="2">
        <v>2.7897833557522027E-4</v>
      </c>
      <c r="C7" s="3">
        <v>310.00049057414878</v>
      </c>
      <c r="D7" s="4">
        <v>310.00161132459073</v>
      </c>
      <c r="E7" s="1">
        <v>16583.698363905049</v>
      </c>
      <c r="F7" s="2">
        <v>49.94178555825485</v>
      </c>
      <c r="G7" s="3">
        <v>16473.57426005727</v>
      </c>
      <c r="H7" s="4">
        <v>16755.937895510961</v>
      </c>
      <c r="I7" s="1">
        <v>3495146.5485756174</v>
      </c>
      <c r="J7" s="2">
        <v>20776.773478240091</v>
      </c>
      <c r="K7" s="3">
        <v>3456508.3809666703</v>
      </c>
      <c r="L7" s="4">
        <v>3558986.9541809545</v>
      </c>
      <c r="M7" s="1">
        <v>631.78841971717168</v>
      </c>
      <c r="N7" s="2">
        <v>9.2216741071213179E-2</v>
      </c>
      <c r="O7" s="3">
        <v>631.53880808080805</v>
      </c>
      <c r="P7" s="4">
        <v>632.02434343434345</v>
      </c>
      <c r="Q7" s="1">
        <v>210.7573856304528</v>
      </c>
      <c r="R7" s="2">
        <v>0.95909259633623412</v>
      </c>
      <c r="S7" s="3">
        <v>209.13562095902276</v>
      </c>
      <c r="T7" s="4">
        <v>213.67794632104813</v>
      </c>
      <c r="U7" s="1">
        <v>35.098484494188121</v>
      </c>
      <c r="V7" s="2">
        <v>7.4094462069704381E-2</v>
      </c>
      <c r="W7" s="3">
        <v>34.864080652891097</v>
      </c>
      <c r="X7" s="4">
        <v>35.316281904499903</v>
      </c>
    </row>
    <row r="8" spans="1:24" x14ac:dyDescent="0.3">
      <c r="A8" s="1">
        <v>312.00323656569441</v>
      </c>
      <c r="B8" s="2">
        <v>8.7315071782521848E-4</v>
      </c>
      <c r="C8" s="3">
        <v>312.00174473578585</v>
      </c>
      <c r="D8" s="4">
        <v>312.00485358759022</v>
      </c>
      <c r="E8" s="1">
        <v>15858.820563947131</v>
      </c>
      <c r="F8" s="2">
        <v>32.322855646983925</v>
      </c>
      <c r="G8" s="3">
        <v>15757.02818292643</v>
      </c>
      <c r="H8" s="4">
        <v>15959.965612408841</v>
      </c>
      <c r="I8" s="1">
        <v>3359109.6101460387</v>
      </c>
      <c r="J8" s="2">
        <v>20178.8604957467</v>
      </c>
      <c r="K8" s="3">
        <v>3312528.295847619</v>
      </c>
      <c r="L8" s="4">
        <v>3425421.2819904773</v>
      </c>
      <c r="M8" s="1">
        <v>631.94131438383965</v>
      </c>
      <c r="N8" s="2">
        <v>9.2349452828244361E-2</v>
      </c>
      <c r="O8" s="3">
        <v>631.6601919191919</v>
      </c>
      <c r="P8" s="4">
        <v>632.18254545454545</v>
      </c>
      <c r="Q8" s="1">
        <v>211.81254361810068</v>
      </c>
      <c r="R8" s="2">
        <v>1.0472719253179226</v>
      </c>
      <c r="S8" s="3">
        <v>209.46426026785795</v>
      </c>
      <c r="T8" s="4">
        <v>215.7081632366905</v>
      </c>
      <c r="U8" s="1">
        <v>35.125593564664356</v>
      </c>
      <c r="V8" s="2">
        <v>7.0943430164866469E-2</v>
      </c>
      <c r="W8" s="3">
        <v>34.896306129226701</v>
      </c>
      <c r="X8" s="4">
        <v>35.311772702267596</v>
      </c>
    </row>
    <row r="11" spans="1:24" x14ac:dyDescent="0.3">
      <c r="B11">
        <f>AVERAGE(B2:B8)</f>
        <v>2.9356206964048471E-4</v>
      </c>
      <c r="F11">
        <f>AVERAGE(F2:F8)</f>
        <v>46.595817154023202</v>
      </c>
      <c r="J11">
        <f>AVERAGE(J2:J8)</f>
        <v>20064.813804199639</v>
      </c>
      <c r="N11">
        <f>AVERAGE(N2:N8)</f>
        <v>8.7260771355476538E-2</v>
      </c>
      <c r="R11">
        <f>AVERAGE(R2:R8)</f>
        <v>0.83245597593096421</v>
      </c>
      <c r="V11">
        <f>AVERAGE(V2:V8)</f>
        <v>6.6159439916332927E-2</v>
      </c>
    </row>
    <row r="17" spans="1:10" x14ac:dyDescent="0.3">
      <c r="A17" s="5" t="s">
        <v>0</v>
      </c>
      <c r="B17" s="5" t="s">
        <v>4</v>
      </c>
      <c r="C17" s="5" t="s">
        <v>11</v>
      </c>
      <c r="D17" s="5" t="s">
        <v>19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</row>
    <row r="18" spans="1:10" x14ac:dyDescent="0.3">
      <c r="A18" s="1">
        <v>300.00165416178766</v>
      </c>
      <c r="B18" s="1">
        <v>26341.305044032837</v>
      </c>
      <c r="C18" s="1">
        <v>631.16225717171756</v>
      </c>
      <c r="D18" s="1">
        <v>34.592993206093027</v>
      </c>
      <c r="E18">
        <f>(B18-B$26*$A18-B$27)^2</f>
        <v>1408927.1326500094</v>
      </c>
      <c r="F18">
        <f t="shared" ref="F18:G24" si="0">(C18-C$26*$A18-C$27)^2</f>
        <v>2.2887061520324003E-3</v>
      </c>
      <c r="G18">
        <f t="shared" si="0"/>
        <v>1.6087070354226865E-3</v>
      </c>
      <c r="H18">
        <f>$A18^2</f>
        <v>90000.992499808839</v>
      </c>
      <c r="I18">
        <f>$A18^2</f>
        <v>90000.992499808839</v>
      </c>
      <c r="J18">
        <f>$A18^2</f>
        <v>90000.992499808839</v>
      </c>
    </row>
    <row r="19" spans="1:10" x14ac:dyDescent="0.3">
      <c r="A19" s="1">
        <v>302.00174431755073</v>
      </c>
      <c r="B19" s="1">
        <v>22287.931676305328</v>
      </c>
      <c r="C19" s="1">
        <v>631.38462351515193</v>
      </c>
      <c r="D19" s="1">
        <v>34.773008474975221</v>
      </c>
      <c r="E19">
        <f t="shared" ref="E19:E24" si="1">(B19-B$26*$A19-B$27)^2</f>
        <v>702746.19538182521</v>
      </c>
      <c r="F19">
        <f t="shared" si="0"/>
        <v>3.1945782714341777E-3</v>
      </c>
      <c r="G19">
        <f t="shared" si="0"/>
        <v>2.7892423652148941E-4</v>
      </c>
      <c r="H19">
        <f t="shared" ref="H19:J24" si="2">$A19^2</f>
        <v>91205.053570843287</v>
      </c>
      <c r="I19">
        <f t="shared" si="2"/>
        <v>91205.053570843287</v>
      </c>
      <c r="J19">
        <f t="shared" si="2"/>
        <v>91205.053570843287</v>
      </c>
    </row>
    <row r="20" spans="1:10" x14ac:dyDescent="0.3">
      <c r="A20" s="1">
        <v>304.00517963463437</v>
      </c>
      <c r="B20" s="1">
        <v>20428.375607774586</v>
      </c>
      <c r="C20" s="1">
        <v>631.50144044444357</v>
      </c>
      <c r="D20" s="1">
        <v>34.884203418097904</v>
      </c>
      <c r="E20">
        <f t="shared" si="1"/>
        <v>444051.96584919654</v>
      </c>
      <c r="F20">
        <f t="shared" si="0"/>
        <v>3.0398512434548397E-3</v>
      </c>
      <c r="G20">
        <f t="shared" si="0"/>
        <v>2.0109418280848444E-5</v>
      </c>
      <c r="H20">
        <f t="shared" si="2"/>
        <v>92419.149244686312</v>
      </c>
      <c r="I20">
        <f t="shared" si="2"/>
        <v>92419.149244686312</v>
      </c>
      <c r="J20">
        <f t="shared" si="2"/>
        <v>92419.149244686312</v>
      </c>
    </row>
    <row r="21" spans="1:10" x14ac:dyDescent="0.3">
      <c r="A21" s="1">
        <v>306.00957728573587</v>
      </c>
      <c r="B21" s="1">
        <v>18299.813063322508</v>
      </c>
      <c r="C21" s="1">
        <v>631.50558501010005</v>
      </c>
      <c r="D21" s="1">
        <v>35.008247298581551</v>
      </c>
      <c r="E21">
        <f t="shared" si="1"/>
        <v>581368.99323240283</v>
      </c>
      <c r="F21">
        <f t="shared" si="0"/>
        <v>3.4786462694987416E-3</v>
      </c>
      <c r="G21">
        <f t="shared" si="0"/>
        <v>2.5576665423264088E-5</v>
      </c>
      <c r="H21">
        <f t="shared" si="2"/>
        <v>93641.861390594757</v>
      </c>
      <c r="I21">
        <f t="shared" si="2"/>
        <v>93641.861390594757</v>
      </c>
      <c r="J21">
        <f t="shared" si="2"/>
        <v>93641.861390594757</v>
      </c>
    </row>
    <row r="22" spans="1:10" x14ac:dyDescent="0.3">
      <c r="A22" s="1">
        <v>308.0057296830347</v>
      </c>
      <c r="B22" s="1">
        <v>18188.737988198067</v>
      </c>
      <c r="C22" s="1">
        <v>631.69245983838289</v>
      </c>
      <c r="D22" s="1">
        <v>35.0915171820713</v>
      </c>
      <c r="E22">
        <f t="shared" si="1"/>
        <v>1323760.4398090106</v>
      </c>
      <c r="F22">
        <f t="shared" si="0"/>
        <v>1.0245057377187886E-4</v>
      </c>
      <c r="G22">
        <f t="shared" si="0"/>
        <v>1.1996363143671998E-3</v>
      </c>
      <c r="H22">
        <f t="shared" si="2"/>
        <v>94867.529517578645</v>
      </c>
      <c r="I22">
        <f t="shared" si="2"/>
        <v>94867.529517578645</v>
      </c>
      <c r="J22">
        <f t="shared" si="2"/>
        <v>94867.529517578645</v>
      </c>
    </row>
    <row r="23" spans="1:10" x14ac:dyDescent="0.3">
      <c r="A23" s="1">
        <v>310.00103645766796</v>
      </c>
      <c r="B23" s="1">
        <v>16583.698363905049</v>
      </c>
      <c r="C23" s="1">
        <v>631.78841971717168</v>
      </c>
      <c r="D23" s="1">
        <v>35.098484494188121</v>
      </c>
      <c r="E23">
        <f t="shared" si="1"/>
        <v>2460974.4665888306</v>
      </c>
      <c r="F23">
        <f t="shared" si="0"/>
        <v>1.3552298163531709E-4</v>
      </c>
      <c r="G23">
        <f t="shared" si="0"/>
        <v>2.2674141129548912E-2</v>
      </c>
      <c r="H23">
        <f t="shared" si="2"/>
        <v>96100.642604828376</v>
      </c>
      <c r="I23">
        <f t="shared" si="2"/>
        <v>96100.642604828376</v>
      </c>
      <c r="J23">
        <f t="shared" si="2"/>
        <v>96100.642604828376</v>
      </c>
    </row>
    <row r="24" spans="1:10" x14ac:dyDescent="0.3">
      <c r="A24" s="1">
        <v>312.00323656569441</v>
      </c>
      <c r="B24" s="1">
        <v>15858.820563947131</v>
      </c>
      <c r="C24" s="1">
        <v>631.94131438383965</v>
      </c>
      <c r="D24" s="1">
        <v>35.125593564664356</v>
      </c>
      <c r="E24">
        <f t="shared" si="1"/>
        <v>8260464.8445885796</v>
      </c>
      <c r="F24">
        <f t="shared" si="0"/>
        <v>5.3469285142271263E-4</v>
      </c>
      <c r="G24">
        <f t="shared" si="0"/>
        <v>6.0913106755132305E-2</v>
      </c>
      <c r="H24">
        <f t="shared" si="2"/>
        <v>97346.019627468675</v>
      </c>
      <c r="I24">
        <f t="shared" si="2"/>
        <v>97346.019627468675</v>
      </c>
      <c r="J24">
        <f t="shared" si="2"/>
        <v>97346.019627468675</v>
      </c>
    </row>
    <row r="26" spans="1:10" x14ac:dyDescent="0.3">
      <c r="A26" t="s">
        <v>23</v>
      </c>
      <c r="B26" s="10">
        <v>-1014</v>
      </c>
      <c r="C26" s="10">
        <v>5.8999999999999997E-2</v>
      </c>
      <c r="D26" s="10">
        <v>6.1600000000000002E-2</v>
      </c>
    </row>
    <row r="27" spans="1:10" x14ac:dyDescent="0.3">
      <c r="A27" t="s">
        <v>24</v>
      </c>
      <c r="B27" s="10">
        <v>329356</v>
      </c>
      <c r="C27" s="10">
        <v>613.51</v>
      </c>
      <c r="D27" s="10">
        <v>16.152999999999999</v>
      </c>
    </row>
    <row r="28" spans="1:10" x14ac:dyDescent="0.3">
      <c r="A28" t="s">
        <v>33</v>
      </c>
      <c r="E28">
        <f>SQRT(SUM(E18:E24)/COUNT(A18:A24))</f>
        <v>1472.7182854504047</v>
      </c>
      <c r="F28">
        <f t="shared" ref="F28:G28" si="3">SQRT(SUM(F18:F24)/COUNT(B18:B24))</f>
        <v>4.2719096337503051E-2</v>
      </c>
      <c r="G28">
        <f t="shared" si="3"/>
        <v>0.11130408897295521</v>
      </c>
    </row>
    <row r="29" spans="1:10" x14ac:dyDescent="0.3">
      <c r="A29" t="s">
        <v>34</v>
      </c>
      <c r="H29">
        <f>SUM(H18:H24)-(SUM($A18:$A24))^2/COUNT($A18:$A24)</f>
        <v>112.01558160386048</v>
      </c>
      <c r="I29">
        <f>SUM(I18:I24)-(SUM($A18:$A24))^2/COUNT($A18:$A24)</f>
        <v>112.01558160386048</v>
      </c>
      <c r="J29">
        <f>SUM(J18:J24)-(SUM($A18:$A24))^2/COUNT($A18:$A24)</f>
        <v>112.01558160386048</v>
      </c>
    </row>
    <row r="30" spans="1:10" x14ac:dyDescent="0.3">
      <c r="A30" t="s">
        <v>31</v>
      </c>
      <c r="B30" s="11">
        <f>SQRT(E28^2/H29)</f>
        <v>139.1491186849693</v>
      </c>
      <c r="C30" s="11">
        <f>SQRT(F28^2/I29)</f>
        <v>4.0362944258303165E-3</v>
      </c>
      <c r="D30" s="11">
        <f t="shared" ref="D30" si="4">SQRT(G28^2/J29)</f>
        <v>1.051651632198173E-2</v>
      </c>
    </row>
    <row r="31" spans="1:10" x14ac:dyDescent="0.3">
      <c r="A31" t="s">
        <v>32</v>
      </c>
      <c r="B31" s="11">
        <f>SQRT(E28^2*(1/COUNT(A18:A24)+AVERAGE($A18:$A24)^2/H29))/10</f>
        <v>4258.3828245284858</v>
      </c>
      <c r="C31" s="11">
        <f t="shared" ref="C31" si="5">SQRT(F28^2*(1/COUNT(B18:B24)+AVERAGE($A18:$A24)^2/I29))</f>
        <v>1.2352278634699339</v>
      </c>
      <c r="D31" s="11">
        <f>SQRT(G28^2*(1/COUNT(C18:C24)+AVERAGE($A18:$A24)^2/J29))</f>
        <v>3.2183712626156873</v>
      </c>
    </row>
    <row r="35" spans="2:4" x14ac:dyDescent="0.3">
      <c r="B35">
        <f t="shared" ref="B35:C35" si="6">B26/AVERAGE(B18:B22)</f>
        <v>-4.8035853105943695E-2</v>
      </c>
      <c r="C35">
        <f t="shared" si="6"/>
        <v>9.3435850676306634E-5</v>
      </c>
      <c r="D35">
        <f>D26/AVERAGE(D18:D22)</f>
        <v>1.7665618224211664E-3</v>
      </c>
    </row>
    <row r="36" spans="2:4" x14ac:dyDescent="0.3">
      <c r="D36">
        <f>D35/12</f>
        <v>1.4721348520176387E-4</v>
      </c>
    </row>
    <row r="37" spans="2:4" x14ac:dyDescent="0.3">
      <c r="B37">
        <f>250*7</f>
        <v>1750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G2" sqref="G2"/>
    </sheetView>
  </sheetViews>
  <sheetFormatPr defaultRowHeight="14.4" x14ac:dyDescent="0.3"/>
  <cols>
    <col min="11" max="11" width="12" bestFit="1" customWidth="1"/>
    <col min="18" max="18" width="9.109375" style="23"/>
    <col min="19" max="21" width="9.109375" style="22"/>
    <col min="32" max="32" width="10" bestFit="1" customWidth="1"/>
    <col min="34" max="34" width="12" bestFit="1" customWidth="1"/>
  </cols>
  <sheetData>
    <row r="1" spans="1:37" x14ac:dyDescent="0.3">
      <c r="A1" t="s">
        <v>87</v>
      </c>
      <c r="B1" t="s">
        <v>37</v>
      </c>
      <c r="C1" t="s">
        <v>57</v>
      </c>
      <c r="D1" t="s">
        <v>60</v>
      </c>
      <c r="E1" t="s">
        <v>63</v>
      </c>
      <c r="F1" t="s">
        <v>66</v>
      </c>
      <c r="G1" t="s">
        <v>68</v>
      </c>
      <c r="H1" t="s">
        <v>71</v>
      </c>
      <c r="I1" t="s">
        <v>72</v>
      </c>
      <c r="J1" t="s">
        <v>73</v>
      </c>
      <c r="K1" t="s">
        <v>80</v>
      </c>
      <c r="L1" t="s">
        <v>77</v>
      </c>
      <c r="M1" t="s">
        <v>78</v>
      </c>
      <c r="N1" t="s">
        <v>79</v>
      </c>
      <c r="O1" t="s">
        <v>82</v>
      </c>
      <c r="P1" t="s">
        <v>87</v>
      </c>
      <c r="Q1" t="s">
        <v>89</v>
      </c>
      <c r="R1" s="23" t="s">
        <v>91</v>
      </c>
      <c r="S1" t="s">
        <v>88</v>
      </c>
      <c r="T1" t="s">
        <v>41</v>
      </c>
      <c r="U1" t="s">
        <v>59</v>
      </c>
      <c r="V1" t="s">
        <v>62</v>
      </c>
      <c r="W1" t="s">
        <v>65</v>
      </c>
      <c r="X1" t="s">
        <v>67</v>
      </c>
      <c r="Y1" t="s">
        <v>69</v>
      </c>
      <c r="Z1" t="s">
        <v>74</v>
      </c>
      <c r="AA1" t="s">
        <v>95</v>
      </c>
      <c r="AB1" t="s">
        <v>76</v>
      </c>
      <c r="AC1" t="s">
        <v>81</v>
      </c>
      <c r="AD1" t="s">
        <v>83</v>
      </c>
      <c r="AE1" t="s">
        <v>84</v>
      </c>
      <c r="AF1" t="s">
        <v>94</v>
      </c>
      <c r="AG1" t="s">
        <v>86</v>
      </c>
      <c r="AH1" t="s">
        <v>88</v>
      </c>
      <c r="AI1" t="s">
        <v>90</v>
      </c>
      <c r="AJ1" t="s">
        <v>93</v>
      </c>
    </row>
    <row r="2" spans="1:3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3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20</v>
      </c>
      <c r="AA2">
        <v>5.0000000000000001E-4</v>
      </c>
      <c r="AB2">
        <v>1.9999999999999999E-6</v>
      </c>
      <c r="AC2">
        <v>0</v>
      </c>
      <c r="AD2">
        <v>0.01</v>
      </c>
      <c r="AE2">
        <f>0.000002</f>
        <v>1.9999999999999999E-6</v>
      </c>
      <c r="AF2">
        <v>4.9999999999999998E-7</v>
      </c>
      <c r="AG2">
        <v>0</v>
      </c>
      <c r="AH2">
        <v>0</v>
      </c>
      <c r="AI2">
        <v>0</v>
      </c>
      <c r="AJ2">
        <v>0</v>
      </c>
      <c r="AK2" s="23"/>
    </row>
    <row r="3" spans="1:37" x14ac:dyDescent="0.3">
      <c r="A3" t="s">
        <v>23</v>
      </c>
      <c r="B3" t="s">
        <v>38</v>
      </c>
      <c r="C3" t="s">
        <v>58</v>
      </c>
      <c r="D3" t="s">
        <v>61</v>
      </c>
      <c r="E3" t="s">
        <v>64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  <c r="N3" t="s">
        <v>58</v>
      </c>
      <c r="O3" t="s">
        <v>58</v>
      </c>
      <c r="P3" t="s">
        <v>23</v>
      </c>
      <c r="Q3" t="s">
        <v>61</v>
      </c>
      <c r="R3" s="23" t="s">
        <v>92</v>
      </c>
      <c r="S3" t="s">
        <v>23</v>
      </c>
      <c r="T3" t="s">
        <v>38</v>
      </c>
      <c r="U3" t="s">
        <v>58</v>
      </c>
      <c r="V3" t="s">
        <v>61</v>
      </c>
      <c r="W3" t="s">
        <v>64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58</v>
      </c>
      <c r="AG3" t="s">
        <v>58</v>
      </c>
      <c r="AH3" t="s">
        <v>23</v>
      </c>
      <c r="AI3" t="s">
        <v>61</v>
      </c>
      <c r="AJ3" t="s">
        <v>92</v>
      </c>
    </row>
    <row r="5" spans="1:37" x14ac:dyDescent="0.3">
      <c r="T5" s="28"/>
      <c r="U5"/>
    </row>
    <row r="6" spans="1:37" x14ac:dyDescent="0.3">
      <c r="A6" s="30"/>
      <c r="T6" s="29"/>
      <c r="U6"/>
    </row>
    <row r="7" spans="1:37" x14ac:dyDescent="0.3">
      <c r="T7" s="28"/>
      <c r="U7"/>
    </row>
    <row r="13" spans="1:37" x14ac:dyDescent="0.3"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opLeftCell="O1" workbookViewId="0">
      <selection activeCell="AD2" sqref="AD2"/>
    </sheetView>
  </sheetViews>
  <sheetFormatPr defaultRowHeight="14.4" x14ac:dyDescent="0.3"/>
  <cols>
    <col min="18" max="18" width="9.109375" style="20"/>
  </cols>
  <sheetData>
    <row r="1" spans="1:34" x14ac:dyDescent="0.3">
      <c r="A1" t="s">
        <v>37</v>
      </c>
      <c r="B1" t="s">
        <v>57</v>
      </c>
      <c r="C1" t="s">
        <v>60</v>
      </c>
      <c r="D1" t="s">
        <v>63</v>
      </c>
      <c r="E1" t="s">
        <v>66</v>
      </c>
      <c r="F1" t="s">
        <v>68</v>
      </c>
      <c r="G1" t="s">
        <v>71</v>
      </c>
      <c r="H1" t="s">
        <v>72</v>
      </c>
      <c r="I1" t="s">
        <v>73</v>
      </c>
      <c r="J1" t="s">
        <v>80</v>
      </c>
      <c r="K1" t="s">
        <v>77</v>
      </c>
      <c r="L1" t="s">
        <v>78</v>
      </c>
      <c r="M1" t="s">
        <v>79</v>
      </c>
      <c r="N1" t="s">
        <v>82</v>
      </c>
      <c r="O1" t="s">
        <v>87</v>
      </c>
      <c r="P1" t="s">
        <v>89</v>
      </c>
      <c r="Q1" t="s">
        <v>91</v>
      </c>
      <c r="R1" s="20" t="s">
        <v>41</v>
      </c>
      <c r="S1" t="s">
        <v>59</v>
      </c>
      <c r="T1" t="s">
        <v>62</v>
      </c>
      <c r="U1" t="s">
        <v>65</v>
      </c>
      <c r="V1" t="s">
        <v>67</v>
      </c>
      <c r="W1" t="s">
        <v>69</v>
      </c>
      <c r="X1" t="s">
        <v>74</v>
      </c>
      <c r="Y1" t="s">
        <v>95</v>
      </c>
      <c r="Z1" t="s">
        <v>76</v>
      </c>
      <c r="AA1" t="s">
        <v>81</v>
      </c>
      <c r="AB1" t="s">
        <v>83</v>
      </c>
      <c r="AC1" t="s">
        <v>84</v>
      </c>
      <c r="AD1" t="s">
        <v>94</v>
      </c>
      <c r="AE1" t="s">
        <v>86</v>
      </c>
      <c r="AF1" t="s">
        <v>88</v>
      </c>
      <c r="AG1" t="s">
        <v>90</v>
      </c>
      <c r="AH1" t="s">
        <v>93</v>
      </c>
    </row>
    <row r="2" spans="1:34" x14ac:dyDescent="0.3">
      <c r="A2">
        <v>1.5</v>
      </c>
      <c r="B2">
        <v>0</v>
      </c>
      <c r="C2">
        <v>0.05</v>
      </c>
      <c r="D2">
        <v>1E-4</v>
      </c>
      <c r="E2">
        <v>1430</v>
      </c>
      <c r="F2">
        <v>217</v>
      </c>
      <c r="G2">
        <v>0</v>
      </c>
      <c r="H2">
        <v>0</v>
      </c>
      <c r="I2">
        <v>0</v>
      </c>
      <c r="J2">
        <v>50</v>
      </c>
      <c r="K2">
        <v>0</v>
      </c>
      <c r="L2">
        <v>0</v>
      </c>
      <c r="M2">
        <v>0</v>
      </c>
      <c r="N2">
        <v>0</v>
      </c>
      <c r="O2">
        <v>9.9999999999999995E-7</v>
      </c>
      <c r="P2">
        <v>0.04</v>
      </c>
      <c r="Q2">
        <v>0</v>
      </c>
      <c r="R2" s="20">
        <v>0.19</v>
      </c>
      <c r="S2">
        <v>0.5</v>
      </c>
      <c r="T2">
        <v>1E-3</v>
      </c>
      <c r="U2">
        <v>7.2000000000000005E-4</v>
      </c>
      <c r="V2">
        <v>0</v>
      </c>
      <c r="W2">
        <v>0</v>
      </c>
      <c r="X2">
        <v>42.583828245284899</v>
      </c>
      <c r="Y2">
        <f>1.23522786346993/10</f>
        <v>0.12352278634699301</v>
      </c>
      <c r="Z2">
        <v>3.2183712626156902E-4</v>
      </c>
      <c r="AA2">
        <v>0</v>
      </c>
      <c r="AB2">
        <v>1.39149118684969</v>
      </c>
      <c r="AC2">
        <f>0.00403629442583032/10</f>
        <v>4.0362944258303198E-4</v>
      </c>
      <c r="AD2">
        <v>1.05165163219817E-4</v>
      </c>
      <c r="AE2">
        <v>0</v>
      </c>
      <c r="AF2">
        <v>4.9999999999999998E-7</v>
      </c>
      <c r="AG2">
        <v>0.06</v>
      </c>
      <c r="AH2">
        <v>0.1</v>
      </c>
    </row>
    <row r="3" spans="1:34" x14ac:dyDescent="0.3">
      <c r="A3" t="s">
        <v>38</v>
      </c>
      <c r="B3" t="s">
        <v>58</v>
      </c>
      <c r="C3" t="s">
        <v>61</v>
      </c>
      <c r="D3" t="s">
        <v>64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  <c r="N3" t="s">
        <v>58</v>
      </c>
      <c r="O3" t="s">
        <v>23</v>
      </c>
      <c r="P3" t="s">
        <v>61</v>
      </c>
      <c r="Q3" t="s">
        <v>92</v>
      </c>
      <c r="R3" s="20" t="s">
        <v>38</v>
      </c>
      <c r="S3" t="s">
        <v>58</v>
      </c>
      <c r="T3" t="s">
        <v>61</v>
      </c>
      <c r="U3" t="s">
        <v>64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23</v>
      </c>
      <c r="AG3" t="s">
        <v>61</v>
      </c>
      <c r="AH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F34" sqref="F34"/>
    </sheetView>
  </sheetViews>
  <sheetFormatPr defaultRowHeight="14.4" x14ac:dyDescent="0.3"/>
  <cols>
    <col min="10" max="10" width="12" bestFit="1" customWidth="1"/>
    <col min="17" max="17" width="9.109375" style="23"/>
    <col min="18" max="18" width="9.109375" style="22"/>
    <col min="31" max="31" width="12" bestFit="1" customWidth="1"/>
  </cols>
  <sheetData>
    <row r="1" spans="1:34" x14ac:dyDescent="0.3">
      <c r="A1" t="s">
        <v>37</v>
      </c>
      <c r="B1" t="s">
        <v>57</v>
      </c>
      <c r="C1" t="s">
        <v>60</v>
      </c>
      <c r="D1" t="s">
        <v>63</v>
      </c>
      <c r="E1" t="s">
        <v>66</v>
      </c>
      <c r="F1" t="s">
        <v>68</v>
      </c>
      <c r="G1" t="s">
        <v>71</v>
      </c>
      <c r="H1" t="s">
        <v>72</v>
      </c>
      <c r="I1" t="s">
        <v>73</v>
      </c>
      <c r="J1" t="s">
        <v>80</v>
      </c>
      <c r="K1" t="s">
        <v>77</v>
      </c>
      <c r="L1" t="s">
        <v>78</v>
      </c>
      <c r="M1" t="s">
        <v>79</v>
      </c>
      <c r="N1" t="s">
        <v>82</v>
      </c>
      <c r="O1" t="s">
        <v>87</v>
      </c>
      <c r="P1" t="s">
        <v>89</v>
      </c>
      <c r="Q1" s="23" t="s">
        <v>91</v>
      </c>
      <c r="R1" s="22" t="s">
        <v>41</v>
      </c>
      <c r="S1" t="s">
        <v>59</v>
      </c>
      <c r="T1" t="s">
        <v>62</v>
      </c>
      <c r="U1" t="s">
        <v>65</v>
      </c>
      <c r="V1" t="s">
        <v>67</v>
      </c>
      <c r="W1" t="s">
        <v>69</v>
      </c>
      <c r="X1" t="s">
        <v>74</v>
      </c>
      <c r="Y1" t="s">
        <v>95</v>
      </c>
      <c r="Z1" t="s">
        <v>76</v>
      </c>
      <c r="AA1" t="s">
        <v>81</v>
      </c>
      <c r="AB1" t="s">
        <v>83</v>
      </c>
      <c r="AC1" t="s">
        <v>84</v>
      </c>
      <c r="AD1" t="s">
        <v>94</v>
      </c>
      <c r="AE1" t="s">
        <v>86</v>
      </c>
      <c r="AF1" t="s">
        <v>88</v>
      </c>
      <c r="AG1" t="s">
        <v>90</v>
      </c>
      <c r="AH1" t="s">
        <v>93</v>
      </c>
    </row>
    <row r="2" spans="1:34" x14ac:dyDescent="0.3">
      <c r="A2">
        <f t="shared" ref="A2:AH2" si="0">$A$10*A6*A13</f>
        <v>0</v>
      </c>
      <c r="B2">
        <f t="shared" si="0"/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 s="23">
        <f t="shared" si="0"/>
        <v>0.1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 s="23">
        <f t="shared" si="0"/>
        <v>0.1</v>
      </c>
    </row>
    <row r="3" spans="1:34" x14ac:dyDescent="0.3">
      <c r="A3" t="s">
        <v>38</v>
      </c>
      <c r="B3" t="s">
        <v>58</v>
      </c>
      <c r="C3" t="s">
        <v>61</v>
      </c>
      <c r="D3" t="s">
        <v>64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  <c r="N3" t="s">
        <v>58</v>
      </c>
      <c r="O3" t="s">
        <v>23</v>
      </c>
      <c r="P3" t="s">
        <v>61</v>
      </c>
      <c r="Q3" s="23" t="s">
        <v>92</v>
      </c>
      <c r="R3" s="22" t="s">
        <v>38</v>
      </c>
      <c r="S3" t="s">
        <v>58</v>
      </c>
      <c r="T3" t="s">
        <v>61</v>
      </c>
      <c r="U3" t="s">
        <v>64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23</v>
      </c>
      <c r="AG3" t="s">
        <v>61</v>
      </c>
      <c r="AH3" t="s">
        <v>92</v>
      </c>
    </row>
    <row r="5" spans="1:34" x14ac:dyDescent="0.3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112</v>
      </c>
      <c r="P5" t="s">
        <v>111</v>
      </c>
      <c r="Q5" s="23" t="s">
        <v>56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  <c r="X5" t="s">
        <v>103</v>
      </c>
      <c r="Y5" t="s">
        <v>104</v>
      </c>
      <c r="Z5" t="s">
        <v>105</v>
      </c>
      <c r="AA5" t="s">
        <v>106</v>
      </c>
      <c r="AB5" t="s">
        <v>107</v>
      </c>
      <c r="AC5" t="s">
        <v>108</v>
      </c>
      <c r="AD5" t="s">
        <v>109</v>
      </c>
      <c r="AE5" t="s">
        <v>110</v>
      </c>
      <c r="AF5" t="s">
        <v>112</v>
      </c>
      <c r="AG5" t="s">
        <v>111</v>
      </c>
      <c r="AH5" t="s">
        <v>56</v>
      </c>
    </row>
    <row r="6" spans="1:34" x14ac:dyDescent="0.3">
      <c r="A6">
        <v>602</v>
      </c>
      <c r="B6">
        <v>19712</v>
      </c>
      <c r="C6">
        <v>300</v>
      </c>
      <c r="D6">
        <v>0.04</v>
      </c>
      <c r="E6">
        <v>1430</v>
      </c>
      <c r="F6">
        <v>217</v>
      </c>
      <c r="G6">
        <v>68800</v>
      </c>
      <c r="H6">
        <v>602</v>
      </c>
      <c r="I6">
        <v>9</v>
      </c>
      <c r="J6">
        <v>9.9999999999999998E-13</v>
      </c>
      <c r="K6">
        <v>-155.19999999999999</v>
      </c>
      <c r="L6">
        <v>0.1</v>
      </c>
      <c r="M6">
        <v>0.1</v>
      </c>
      <c r="N6">
        <v>9.9999999999999998E-13</v>
      </c>
      <c r="O6">
        <v>2E-3</v>
      </c>
      <c r="P6">
        <v>302</v>
      </c>
      <c r="Q6" s="23">
        <v>10</v>
      </c>
      <c r="R6">
        <v>602</v>
      </c>
      <c r="S6">
        <v>19712</v>
      </c>
      <c r="T6">
        <v>300</v>
      </c>
      <c r="U6">
        <v>0.05</v>
      </c>
      <c r="V6">
        <v>1430</v>
      </c>
      <c r="W6">
        <v>217</v>
      </c>
      <c r="X6">
        <v>68800</v>
      </c>
      <c r="Y6">
        <v>602</v>
      </c>
      <c r="Z6">
        <v>9</v>
      </c>
      <c r="AA6">
        <v>9.9999999999999998E-13</v>
      </c>
      <c r="AB6">
        <v>-155.19999999999999</v>
      </c>
      <c r="AC6">
        <v>0.1</v>
      </c>
      <c r="AD6">
        <v>0.1</v>
      </c>
      <c r="AE6">
        <v>9.9999999999999998E-13</v>
      </c>
      <c r="AF6">
        <v>2E-3</v>
      </c>
      <c r="AG6">
        <v>302</v>
      </c>
      <c r="AH6">
        <v>10</v>
      </c>
    </row>
    <row r="7" spans="1:34" x14ac:dyDescent="0.3">
      <c r="A7" t="s">
        <v>38</v>
      </c>
      <c r="B7" t="s">
        <v>58</v>
      </c>
      <c r="C7" t="s">
        <v>61</v>
      </c>
      <c r="D7" t="s">
        <v>64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  <c r="L7" t="s">
        <v>58</v>
      </c>
      <c r="M7" t="s">
        <v>58</v>
      </c>
      <c r="N7" t="s">
        <v>58</v>
      </c>
      <c r="O7" t="s">
        <v>23</v>
      </c>
      <c r="P7" t="s">
        <v>61</v>
      </c>
      <c r="Q7" s="23" t="s">
        <v>92</v>
      </c>
      <c r="R7" t="s">
        <v>38</v>
      </c>
      <c r="S7" t="s">
        <v>58</v>
      </c>
      <c r="T7" t="s">
        <v>61</v>
      </c>
      <c r="U7" t="s">
        <v>64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  <c r="AC7" t="s">
        <v>58</v>
      </c>
      <c r="AD7" t="s">
        <v>58</v>
      </c>
      <c r="AE7" t="s">
        <v>58</v>
      </c>
      <c r="AF7" t="s">
        <v>23</v>
      </c>
      <c r="AG7" t="s">
        <v>61</v>
      </c>
      <c r="AH7" t="s">
        <v>92</v>
      </c>
    </row>
    <row r="9" spans="1:34" x14ac:dyDescent="0.3">
      <c r="A9" t="s">
        <v>113</v>
      </c>
    </row>
    <row r="10" spans="1:34" x14ac:dyDescent="0.3">
      <c r="A10">
        <v>0.01</v>
      </c>
    </row>
    <row r="13" spans="1:3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3">
        <v>1</v>
      </c>
      <c r="R13" s="22">
        <f>A13</f>
        <v>0</v>
      </c>
      <c r="S13" s="22">
        <f t="shared" ref="S13:AH13" si="1">B13</f>
        <v>0</v>
      </c>
      <c r="T13" s="22">
        <f t="shared" si="1"/>
        <v>0</v>
      </c>
      <c r="U13" s="22">
        <f t="shared" si="1"/>
        <v>0</v>
      </c>
      <c r="V13" s="22">
        <f t="shared" si="1"/>
        <v>0</v>
      </c>
      <c r="W13" s="22">
        <f t="shared" si="1"/>
        <v>0</v>
      </c>
      <c r="X13" s="22">
        <f t="shared" si="1"/>
        <v>0</v>
      </c>
      <c r="Y13" s="22">
        <f t="shared" si="1"/>
        <v>0</v>
      </c>
      <c r="Z13" s="22">
        <f t="shared" si="1"/>
        <v>0</v>
      </c>
      <c r="AA13" s="22">
        <f t="shared" si="1"/>
        <v>0</v>
      </c>
      <c r="AB13" s="22">
        <f t="shared" si="1"/>
        <v>0</v>
      </c>
      <c r="AC13" s="22">
        <f t="shared" si="1"/>
        <v>0</v>
      </c>
      <c r="AD13" s="22">
        <f t="shared" si="1"/>
        <v>0</v>
      </c>
      <c r="AE13" s="22">
        <f t="shared" si="1"/>
        <v>0</v>
      </c>
      <c r="AF13" s="22">
        <f t="shared" si="1"/>
        <v>0</v>
      </c>
      <c r="AG13" s="22">
        <f t="shared" si="1"/>
        <v>0</v>
      </c>
      <c r="AH13" s="22">
        <f t="shared" si="1"/>
        <v>1</v>
      </c>
    </row>
    <row r="14" spans="1:34" x14ac:dyDescent="0.3">
      <c r="I14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sqref="A1:R4"/>
    </sheetView>
  </sheetViews>
  <sheetFormatPr defaultRowHeight="14.4" x14ac:dyDescent="0.3"/>
  <sheetData>
    <row r="1" spans="1:18" ht="15" thickBot="1" x14ac:dyDescent="0.35">
      <c r="B1" s="27" t="s">
        <v>97</v>
      </c>
      <c r="C1" s="26" t="s">
        <v>98</v>
      </c>
      <c r="D1" s="26" t="s">
        <v>121</v>
      </c>
      <c r="E1" s="26" t="s">
        <v>100</v>
      </c>
      <c r="F1" s="26" t="s">
        <v>101</v>
      </c>
      <c r="G1" s="26" t="s">
        <v>120</v>
      </c>
      <c r="H1" s="26" t="s">
        <v>119</v>
      </c>
      <c r="I1" s="26" t="s">
        <v>104</v>
      </c>
      <c r="J1" s="26" t="s">
        <v>105</v>
      </c>
      <c r="K1" s="26" t="s">
        <v>106</v>
      </c>
      <c r="L1" s="26" t="s">
        <v>118</v>
      </c>
      <c r="M1" s="26" t="s">
        <v>108</v>
      </c>
      <c r="N1" s="26" t="s">
        <v>109</v>
      </c>
      <c r="O1" s="26" t="s">
        <v>110</v>
      </c>
      <c r="P1" s="26" t="s">
        <v>117</v>
      </c>
      <c r="Q1" s="26" t="s">
        <v>111</v>
      </c>
      <c r="R1" s="25" t="s">
        <v>56</v>
      </c>
    </row>
    <row r="2" spans="1:18" x14ac:dyDescent="0.3">
      <c r="A2" t="s">
        <v>116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3">
      <c r="A3" t="s">
        <v>115</v>
      </c>
      <c r="B3">
        <f t="shared" ref="B3:R3" si="0">B2/1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A46" workbookViewId="0">
      <selection activeCell="A45" sqref="A45:N59"/>
    </sheetView>
  </sheetViews>
  <sheetFormatPr defaultRowHeight="14.4" x14ac:dyDescent="0.3"/>
  <cols>
    <col min="2" max="2" width="12" bestFit="1" customWidth="1"/>
    <col min="3" max="3" width="12.6640625" bestFit="1" customWidth="1"/>
    <col min="4" max="4" width="13.109375" bestFit="1" customWidth="1"/>
    <col min="5" max="5" width="12" bestFit="1" customWidth="1"/>
    <col min="12" max="12" width="10" bestFit="1" customWidth="1"/>
  </cols>
  <sheetData>
    <row r="1" spans="2:25" s="9" customFormat="1" x14ac:dyDescent="0.3">
      <c r="B1" s="5" t="s">
        <v>0</v>
      </c>
      <c r="C1" s="6" t="s">
        <v>1</v>
      </c>
      <c r="D1" s="7" t="s">
        <v>2</v>
      </c>
      <c r="E1" s="8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5" t="s">
        <v>8</v>
      </c>
      <c r="K1" s="6" t="s">
        <v>9</v>
      </c>
      <c r="L1" s="7" t="s">
        <v>10</v>
      </c>
      <c r="M1" s="8" t="s">
        <v>10</v>
      </c>
      <c r="N1" s="5" t="s">
        <v>11</v>
      </c>
      <c r="O1" s="6" t="s">
        <v>12</v>
      </c>
      <c r="P1" s="7" t="s">
        <v>13</v>
      </c>
      <c r="Q1" s="8" t="s">
        <v>14</v>
      </c>
      <c r="R1" s="5" t="s">
        <v>15</v>
      </c>
      <c r="S1" s="6" t="s">
        <v>16</v>
      </c>
      <c r="T1" s="7" t="s">
        <v>17</v>
      </c>
      <c r="U1" s="8" t="s">
        <v>18</v>
      </c>
      <c r="V1" s="5" t="s">
        <v>19</v>
      </c>
      <c r="W1" s="6" t="s">
        <v>20</v>
      </c>
      <c r="X1" s="7" t="s">
        <v>21</v>
      </c>
      <c r="Y1" s="8" t="s">
        <v>22</v>
      </c>
    </row>
    <row r="2" spans="2:25" x14ac:dyDescent="0.3">
      <c r="B2" s="1">
        <v>300.00165416178766</v>
      </c>
      <c r="C2" s="2">
        <v>1.4607740298769716E-4</v>
      </c>
      <c r="D2" s="3">
        <v>300.00135062995645</v>
      </c>
      <c r="E2" s="4">
        <v>300.00196882115011</v>
      </c>
      <c r="F2" s="1">
        <v>26341.305044032837</v>
      </c>
      <c r="G2" s="2">
        <v>53.497121461109266</v>
      </c>
      <c r="H2" s="3">
        <v>26201.652981348667</v>
      </c>
      <c r="I2" s="4">
        <v>26471.674037028257</v>
      </c>
      <c r="J2" s="1">
        <v>5347793.9059876204</v>
      </c>
      <c r="K2" s="2">
        <v>19792.159476633682</v>
      </c>
      <c r="L2" s="3">
        <v>5300096.9389761863</v>
      </c>
      <c r="M2" s="4">
        <v>5404276.3545619063</v>
      </c>
      <c r="N2" s="1">
        <v>631.16225717171756</v>
      </c>
      <c r="O2" s="2">
        <v>7.1446773287238474E-2</v>
      </c>
      <c r="P2" s="3">
        <v>630.93829292929297</v>
      </c>
      <c r="Q2" s="4">
        <v>631.33880808080812</v>
      </c>
      <c r="R2" s="1">
        <v>203.01918655837426</v>
      </c>
      <c r="S2" s="2">
        <v>0.58224574800195328</v>
      </c>
      <c r="T2" s="3">
        <v>201.76592355556147</v>
      </c>
      <c r="U2" s="4">
        <v>204.67375368793634</v>
      </c>
      <c r="V2" s="1">
        <v>34.592993206093027</v>
      </c>
      <c r="W2" s="2">
        <v>5.4226011005179528E-2</v>
      </c>
      <c r="X2" s="3">
        <v>34.425813480844099</v>
      </c>
      <c r="Y2" s="4">
        <v>34.739700213884802</v>
      </c>
    </row>
    <row r="3" spans="2:25" x14ac:dyDescent="0.3">
      <c r="B3" s="1">
        <v>302.00174431755073</v>
      </c>
      <c r="C3" s="2">
        <v>1.7559503866123382E-4</v>
      </c>
      <c r="D3" s="3">
        <v>302.00147104438724</v>
      </c>
      <c r="E3" s="4">
        <v>302.00209071151016</v>
      </c>
      <c r="F3" s="1">
        <v>22287.931676305328</v>
      </c>
      <c r="G3" s="2">
        <v>43.509111672501163</v>
      </c>
      <c r="H3" s="3">
        <v>22179.168371935466</v>
      </c>
      <c r="I3" s="4">
        <v>22400.912250828253</v>
      </c>
      <c r="J3" s="1">
        <v>4580450.254114721</v>
      </c>
      <c r="K3" s="2">
        <v>19332.540736402672</v>
      </c>
      <c r="L3" s="3">
        <v>4541137.0039333282</v>
      </c>
      <c r="M3" s="4">
        <v>4659345.5559666594</v>
      </c>
      <c r="N3" s="1">
        <v>631.38462351515193</v>
      </c>
      <c r="O3" s="2">
        <v>8.4662990301682062E-2</v>
      </c>
      <c r="P3" s="3">
        <v>631.13830303030306</v>
      </c>
      <c r="Q3" s="4">
        <v>631.58157575757571</v>
      </c>
      <c r="R3" s="1">
        <v>205.51229330448163</v>
      </c>
      <c r="S3" s="2">
        <v>0.6882687708388765</v>
      </c>
      <c r="T3" s="3">
        <v>204.08700512066923</v>
      </c>
      <c r="U3" s="4">
        <v>207.99802721402048</v>
      </c>
      <c r="V3" s="1">
        <v>34.773008474975221</v>
      </c>
      <c r="W3" s="2">
        <v>5.9090023888395619E-2</v>
      </c>
      <c r="X3" s="3">
        <v>34.5903593210815</v>
      </c>
      <c r="Y3" s="4">
        <v>34.945815720935201</v>
      </c>
    </row>
    <row r="4" spans="2:25" x14ac:dyDescent="0.3">
      <c r="B4" s="1">
        <v>304.00517963463437</v>
      </c>
      <c r="C4" s="2">
        <v>3.3439087658235667E-4</v>
      </c>
      <c r="D4" s="3">
        <v>304.00465290635435</v>
      </c>
      <c r="E4" s="4">
        <v>304.00571402386601</v>
      </c>
      <c r="F4" s="1">
        <v>20428.375607774586</v>
      </c>
      <c r="G4" s="2">
        <v>51.534197553623201</v>
      </c>
      <c r="H4" s="3">
        <v>20281.93486053486</v>
      </c>
      <c r="I4" s="4">
        <v>20555.808420785626</v>
      </c>
      <c r="J4" s="1">
        <v>4227218.6768562282</v>
      </c>
      <c r="K4" s="2">
        <v>19617.699142166341</v>
      </c>
      <c r="L4" s="3">
        <v>4160268.2017952385</v>
      </c>
      <c r="M4" s="4">
        <v>4301867.4947761931</v>
      </c>
      <c r="N4" s="1">
        <v>631.50144044444357</v>
      </c>
      <c r="O4" s="2">
        <v>8.5378535020010971E-2</v>
      </c>
      <c r="P4" s="3">
        <v>631.25969696969696</v>
      </c>
      <c r="Q4" s="4">
        <v>631.78157575757575</v>
      </c>
      <c r="R4" s="1">
        <v>206.92857289728485</v>
      </c>
      <c r="S4" s="2">
        <v>0.7527723183804782</v>
      </c>
      <c r="T4" s="3">
        <v>205.11276618030206</v>
      </c>
      <c r="U4" s="4">
        <v>209.95019958028203</v>
      </c>
      <c r="V4" s="1">
        <v>34.884203418097904</v>
      </c>
      <c r="W4" s="2">
        <v>6.3923560213852731E-2</v>
      </c>
      <c r="X4" s="3">
        <v>34.701954663401601</v>
      </c>
      <c r="Y4" s="4">
        <v>35.054947840062098</v>
      </c>
    </row>
    <row r="5" spans="2:25" x14ac:dyDescent="0.3">
      <c r="B5" s="1">
        <v>306.00957728573587</v>
      </c>
      <c r="C5" s="2">
        <v>1.4697608797760957E-4</v>
      </c>
      <c r="D5" s="3">
        <v>306.00924968703998</v>
      </c>
      <c r="E5" s="4">
        <v>306.0097944742779</v>
      </c>
      <c r="F5" s="1">
        <v>18299.813063322508</v>
      </c>
      <c r="G5" s="2">
        <v>47.442505905058042</v>
      </c>
      <c r="H5" s="3">
        <v>18172.024463977003</v>
      </c>
      <c r="I5" s="4">
        <v>18442.466893552752</v>
      </c>
      <c r="J5" s="1">
        <v>3817492.8774557509</v>
      </c>
      <c r="K5" s="2">
        <v>20392.221329664113</v>
      </c>
      <c r="L5" s="3">
        <v>3773002.7873809543</v>
      </c>
      <c r="M5" s="4">
        <v>3917031.5944857094</v>
      </c>
      <c r="N5" s="1">
        <v>631.50558501010005</v>
      </c>
      <c r="O5" s="2">
        <v>9.5512772747970293E-2</v>
      </c>
      <c r="P5" s="3">
        <v>631.18112121212118</v>
      </c>
      <c r="Q5" s="4">
        <v>631.8243434343434</v>
      </c>
      <c r="R5" s="1">
        <v>208.60789947302396</v>
      </c>
      <c r="S5" s="2">
        <v>0.88344922931907099</v>
      </c>
      <c r="T5" s="3">
        <v>206.83995372331952</v>
      </c>
      <c r="U5" s="4">
        <v>212.92050247253272</v>
      </c>
      <c r="V5" s="1">
        <v>35.008247298581551</v>
      </c>
      <c r="W5" s="2">
        <v>6.5410064961953923E-2</v>
      </c>
      <c r="X5" s="3">
        <v>34.819797583769201</v>
      </c>
      <c r="Y5" s="4">
        <v>35.190733321745</v>
      </c>
    </row>
    <row r="6" spans="2:25" x14ac:dyDescent="0.3">
      <c r="B6" s="1">
        <v>308.0057296830347</v>
      </c>
      <c r="C6" s="2">
        <v>9.9766027874057114E-5</v>
      </c>
      <c r="D6" s="3">
        <v>308.00556440676053</v>
      </c>
      <c r="E6" s="4">
        <v>308.00587644505299</v>
      </c>
      <c r="F6" s="1">
        <v>18188.737988198067</v>
      </c>
      <c r="G6" s="2">
        <v>47.923142280631922</v>
      </c>
      <c r="H6" s="3">
        <v>18069.514962336347</v>
      </c>
      <c r="I6" s="4">
        <v>18340.785501824954</v>
      </c>
      <c r="J6" s="1">
        <v>3814420.3730628574</v>
      </c>
      <c r="K6" s="2">
        <v>20363.441970543885</v>
      </c>
      <c r="L6" s="3">
        <v>3769783.9813857106</v>
      </c>
      <c r="M6" s="4">
        <v>3878364.286304764</v>
      </c>
      <c r="N6" s="1">
        <v>631.69245983838289</v>
      </c>
      <c r="O6" s="2">
        <v>8.925813423197651E-2</v>
      </c>
      <c r="P6" s="3">
        <v>631.42394949494951</v>
      </c>
      <c r="Q6" s="4">
        <v>631.93981818181828</v>
      </c>
      <c r="R6" s="1">
        <v>209.71303808286723</v>
      </c>
      <c r="S6" s="2">
        <v>0.91409124332221392</v>
      </c>
      <c r="T6" s="3">
        <v>207.91646053189081</v>
      </c>
      <c r="U6" s="4">
        <v>212.8578627481061</v>
      </c>
      <c r="V6" s="1">
        <v>35.0915171820713</v>
      </c>
      <c r="W6" s="2">
        <v>7.5428527110377827E-2</v>
      </c>
      <c r="X6" s="3">
        <v>34.900244223201199</v>
      </c>
      <c r="Y6" s="4">
        <v>35.347619939996697</v>
      </c>
    </row>
    <row r="7" spans="2:25" x14ac:dyDescent="0.3">
      <c r="B7" s="1">
        <v>310.00103645766796</v>
      </c>
      <c r="C7" s="2">
        <v>2.7897833557522027E-4</v>
      </c>
      <c r="D7" s="3">
        <v>310.00049057414878</v>
      </c>
      <c r="E7" s="4">
        <v>310.00161132459073</v>
      </c>
      <c r="F7" s="1">
        <v>16583.698363905049</v>
      </c>
      <c r="G7" s="2">
        <v>49.94178555825485</v>
      </c>
      <c r="H7" s="3">
        <v>16473.57426005727</v>
      </c>
      <c r="I7" s="4">
        <v>16755.937895510961</v>
      </c>
      <c r="J7" s="1">
        <v>3495146.5485756174</v>
      </c>
      <c r="K7" s="2">
        <v>20776.773478240091</v>
      </c>
      <c r="L7" s="3">
        <v>3456508.3809666703</v>
      </c>
      <c r="M7" s="4">
        <v>3558986.9541809545</v>
      </c>
      <c r="N7" s="1">
        <v>631.78841971717168</v>
      </c>
      <c r="O7" s="2">
        <v>9.2216741071213179E-2</v>
      </c>
      <c r="P7" s="3">
        <v>631.53880808080805</v>
      </c>
      <c r="Q7" s="4">
        <v>632.02434343434345</v>
      </c>
      <c r="R7" s="1">
        <v>210.7573856304528</v>
      </c>
      <c r="S7" s="2">
        <v>0.95909259633623412</v>
      </c>
      <c r="T7" s="3">
        <v>209.13562095902276</v>
      </c>
      <c r="U7" s="4">
        <v>213.67794632104813</v>
      </c>
      <c r="V7" s="1">
        <v>35.098484494188121</v>
      </c>
      <c r="W7" s="2">
        <v>7.4094462069704381E-2</v>
      </c>
      <c r="X7" s="3">
        <v>34.864080652891097</v>
      </c>
      <c r="Y7" s="4">
        <v>35.316281904499903</v>
      </c>
    </row>
    <row r="8" spans="2:25" x14ac:dyDescent="0.3">
      <c r="B8" s="1">
        <v>312.00323656569441</v>
      </c>
      <c r="C8" s="2">
        <v>8.7315071782521848E-4</v>
      </c>
      <c r="D8" s="3">
        <v>312.00174473578585</v>
      </c>
      <c r="E8" s="4">
        <v>312.00485358759022</v>
      </c>
      <c r="F8" s="1">
        <v>15858.820563947131</v>
      </c>
      <c r="G8" s="2">
        <v>32.322855646983925</v>
      </c>
      <c r="H8" s="3">
        <v>15757.02818292643</v>
      </c>
      <c r="I8" s="4">
        <v>15959.965612408841</v>
      </c>
      <c r="J8" s="1">
        <v>3359109.6101460387</v>
      </c>
      <c r="K8" s="2">
        <v>20178.8604957467</v>
      </c>
      <c r="L8" s="3">
        <v>3312528.295847619</v>
      </c>
      <c r="M8" s="4">
        <v>3425421.2819904773</v>
      </c>
      <c r="N8" s="1">
        <v>631.94131438383965</v>
      </c>
      <c r="O8" s="2">
        <v>9.2349452828244361E-2</v>
      </c>
      <c r="P8" s="3">
        <v>631.6601919191919</v>
      </c>
      <c r="Q8" s="4">
        <v>632.18254545454545</v>
      </c>
      <c r="R8" s="1">
        <v>211.81254361810068</v>
      </c>
      <c r="S8" s="2">
        <v>1.0472719253179226</v>
      </c>
      <c r="T8" s="3">
        <v>209.46426026785795</v>
      </c>
      <c r="U8" s="4">
        <v>215.7081632366905</v>
      </c>
      <c r="V8" s="1">
        <v>35.125593564664356</v>
      </c>
      <c r="W8" s="2">
        <v>7.0943430164866469E-2</v>
      </c>
      <c r="X8" s="3">
        <v>34.896306129226701</v>
      </c>
      <c r="Y8" s="4">
        <v>35.311772702267596</v>
      </c>
    </row>
    <row r="11" spans="2:25" x14ac:dyDescent="0.3">
      <c r="C11">
        <f>AVERAGE(C2:C8)</f>
        <v>2.9356206964048471E-4</v>
      </c>
      <c r="G11">
        <f>AVERAGE(G2:G8)</f>
        <v>46.595817154023202</v>
      </c>
      <c r="K11">
        <f>AVERAGE(K2:K8)</f>
        <v>20064.813804199639</v>
      </c>
      <c r="O11">
        <f>AVERAGE(O2:O8)</f>
        <v>8.7260771355476538E-2</v>
      </c>
      <c r="S11">
        <f>AVERAGE(S2:S8)</f>
        <v>0.83245597593096421</v>
      </c>
      <c r="W11">
        <f>AVERAGE(W2:W8)</f>
        <v>6.6159439916332927E-2</v>
      </c>
    </row>
    <row r="17" spans="2:11" x14ac:dyDescent="0.3">
      <c r="B17" s="5" t="s">
        <v>0</v>
      </c>
      <c r="C17" s="5" t="s">
        <v>4</v>
      </c>
      <c r="D17" s="5" t="s">
        <v>11</v>
      </c>
      <c r="E17" s="5" t="s">
        <v>19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</row>
    <row r="18" spans="2:11" x14ac:dyDescent="0.3">
      <c r="B18" s="1">
        <v>300.00165416178766</v>
      </c>
      <c r="C18" s="1">
        <v>26341.305044032837</v>
      </c>
      <c r="D18" s="1">
        <v>631.16225717171756</v>
      </c>
      <c r="E18" s="1">
        <v>34.592993206093027</v>
      </c>
      <c r="F18">
        <f>(C18-C$26*$B18-C$27)^2</f>
        <v>1408927.1326500094</v>
      </c>
      <c r="G18">
        <f t="shared" ref="G18:H24" si="0">(D18-D$26*$B18-D$27)^2</f>
        <v>2.2887061520324003E-3</v>
      </c>
      <c r="H18">
        <f t="shared" si="0"/>
        <v>1.6087070354226865E-3</v>
      </c>
      <c r="I18">
        <f>$B18^2</f>
        <v>90000.992499808839</v>
      </c>
      <c r="J18">
        <f>$B18^2</f>
        <v>90000.992499808839</v>
      </c>
      <c r="K18">
        <f>$B18^2</f>
        <v>90000.992499808839</v>
      </c>
    </row>
    <row r="19" spans="2:11" x14ac:dyDescent="0.3">
      <c r="B19" s="1">
        <v>302.00174431755073</v>
      </c>
      <c r="C19" s="1">
        <v>22287.931676305328</v>
      </c>
      <c r="D19" s="1">
        <v>631.38462351515193</v>
      </c>
      <c r="E19" s="1">
        <v>34.773008474975221</v>
      </c>
      <c r="F19">
        <f t="shared" ref="F19:F24" si="1">(C19-C$26*$B19-C$27)^2</f>
        <v>702746.19538182521</v>
      </c>
      <c r="G19">
        <f t="shared" si="0"/>
        <v>3.1945782714341777E-3</v>
      </c>
      <c r="H19">
        <f t="shared" si="0"/>
        <v>2.7892423652148941E-4</v>
      </c>
      <c r="I19">
        <f t="shared" ref="I19:K24" si="2">$B19^2</f>
        <v>91205.053570843287</v>
      </c>
      <c r="J19">
        <f t="shared" si="2"/>
        <v>91205.053570843287</v>
      </c>
      <c r="K19">
        <f t="shared" si="2"/>
        <v>91205.053570843287</v>
      </c>
    </row>
    <row r="20" spans="2:11" x14ac:dyDescent="0.3">
      <c r="B20" s="1">
        <v>304.00517963463437</v>
      </c>
      <c r="C20" s="1">
        <v>20428.375607774586</v>
      </c>
      <c r="D20" s="1">
        <v>631.50144044444357</v>
      </c>
      <c r="E20" s="1">
        <v>34.884203418097904</v>
      </c>
      <c r="F20">
        <f t="shared" si="1"/>
        <v>444051.96584919654</v>
      </c>
      <c r="G20">
        <f t="shared" si="0"/>
        <v>3.0398512434548397E-3</v>
      </c>
      <c r="H20">
        <f t="shared" si="0"/>
        <v>2.0109418280848444E-5</v>
      </c>
      <c r="I20">
        <f t="shared" si="2"/>
        <v>92419.149244686312</v>
      </c>
      <c r="J20">
        <f t="shared" si="2"/>
        <v>92419.149244686312</v>
      </c>
      <c r="K20">
        <f t="shared" si="2"/>
        <v>92419.149244686312</v>
      </c>
    </row>
    <row r="21" spans="2:11" x14ac:dyDescent="0.3">
      <c r="B21" s="1">
        <v>306.00957728573587</v>
      </c>
      <c r="C21" s="1">
        <v>18299.813063322508</v>
      </c>
      <c r="D21" s="1">
        <v>631.50558501010005</v>
      </c>
      <c r="E21" s="1">
        <v>35.008247298581551</v>
      </c>
      <c r="F21">
        <f t="shared" si="1"/>
        <v>581368.99323240283</v>
      </c>
      <c r="G21">
        <f t="shared" si="0"/>
        <v>3.4786462694987416E-3</v>
      </c>
      <c r="H21">
        <f t="shared" si="0"/>
        <v>2.5576665423264088E-5</v>
      </c>
      <c r="I21">
        <f t="shared" si="2"/>
        <v>93641.861390594757</v>
      </c>
      <c r="J21">
        <f t="shared" si="2"/>
        <v>93641.861390594757</v>
      </c>
      <c r="K21">
        <f t="shared" si="2"/>
        <v>93641.861390594757</v>
      </c>
    </row>
    <row r="22" spans="2:11" x14ac:dyDescent="0.3">
      <c r="B22" s="1">
        <v>308.0057296830347</v>
      </c>
      <c r="C22" s="1">
        <v>18188.737988198067</v>
      </c>
      <c r="D22" s="1">
        <v>631.69245983838289</v>
      </c>
      <c r="E22" s="1">
        <v>35.0915171820713</v>
      </c>
      <c r="F22">
        <f t="shared" si="1"/>
        <v>1323760.4398090106</v>
      </c>
      <c r="G22">
        <f t="shared" si="0"/>
        <v>1.0245057377187886E-4</v>
      </c>
      <c r="H22">
        <f t="shared" si="0"/>
        <v>1.1996363143671998E-3</v>
      </c>
      <c r="I22">
        <f t="shared" si="2"/>
        <v>94867.529517578645</v>
      </c>
      <c r="J22">
        <f t="shared" si="2"/>
        <v>94867.529517578645</v>
      </c>
      <c r="K22">
        <f t="shared" si="2"/>
        <v>94867.529517578645</v>
      </c>
    </row>
    <row r="23" spans="2:11" x14ac:dyDescent="0.3">
      <c r="B23" s="1">
        <v>310.00103645766796</v>
      </c>
      <c r="C23" s="1">
        <v>16583.698363905049</v>
      </c>
      <c r="D23" s="1">
        <v>631.78841971717168</v>
      </c>
      <c r="E23" s="1">
        <v>35.098484494188121</v>
      </c>
      <c r="F23">
        <f t="shared" si="1"/>
        <v>2460974.4665888306</v>
      </c>
      <c r="G23">
        <f t="shared" si="0"/>
        <v>1.3552298163531709E-4</v>
      </c>
      <c r="H23">
        <f t="shared" si="0"/>
        <v>2.2674141129548912E-2</v>
      </c>
      <c r="I23">
        <f t="shared" si="2"/>
        <v>96100.642604828376</v>
      </c>
      <c r="J23">
        <f t="shared" si="2"/>
        <v>96100.642604828376</v>
      </c>
      <c r="K23">
        <f t="shared" si="2"/>
        <v>96100.642604828376</v>
      </c>
    </row>
    <row r="24" spans="2:11" x14ac:dyDescent="0.3">
      <c r="B24" s="1">
        <v>312.00323656569441</v>
      </c>
      <c r="C24" s="1">
        <v>15858.820563947131</v>
      </c>
      <c r="D24" s="1">
        <v>631.94131438383965</v>
      </c>
      <c r="E24" s="1">
        <v>35.125593564664356</v>
      </c>
      <c r="F24">
        <f t="shared" si="1"/>
        <v>8260464.8445885796</v>
      </c>
      <c r="G24">
        <f t="shared" si="0"/>
        <v>5.3469285142271263E-4</v>
      </c>
      <c r="H24">
        <f t="shared" si="0"/>
        <v>6.0913106755132305E-2</v>
      </c>
      <c r="I24">
        <f t="shared" si="2"/>
        <v>97346.019627468675</v>
      </c>
      <c r="J24">
        <f t="shared" si="2"/>
        <v>97346.019627468675</v>
      </c>
      <c r="K24">
        <f t="shared" si="2"/>
        <v>97346.019627468675</v>
      </c>
    </row>
    <row r="26" spans="2:11" x14ac:dyDescent="0.3">
      <c r="B26" t="s">
        <v>23</v>
      </c>
      <c r="C26" s="10">
        <v>-1014</v>
      </c>
      <c r="D26" s="10">
        <v>5.8999999999999997E-2</v>
      </c>
      <c r="E26" s="10">
        <v>6.1600000000000002E-2</v>
      </c>
    </row>
    <row r="27" spans="2:11" x14ac:dyDescent="0.3">
      <c r="B27" t="s">
        <v>24</v>
      </c>
      <c r="C27" s="10">
        <v>329356</v>
      </c>
      <c r="D27" s="10">
        <v>613.51</v>
      </c>
      <c r="E27" s="10">
        <v>16.152999999999999</v>
      </c>
    </row>
    <row r="28" spans="2:11" x14ac:dyDescent="0.3">
      <c r="B28" t="s">
        <v>33</v>
      </c>
      <c r="F28">
        <f>SQRT(SUM(F18:F24)/COUNT(B18:B24))</f>
        <v>1472.7182854504047</v>
      </c>
      <c r="G28">
        <f t="shared" ref="G28:H28" si="3">SQRT(SUM(G18:G24)/COUNT(C18:C24))</f>
        <v>4.2719096337503051E-2</v>
      </c>
      <c r="H28">
        <f t="shared" si="3"/>
        <v>0.11130408897295521</v>
      </c>
    </row>
    <row r="29" spans="2:11" x14ac:dyDescent="0.3">
      <c r="B29" t="s">
        <v>34</v>
      </c>
      <c r="I29">
        <f>SUM(I18:I24)-(SUM($B18:$B24))^2/COUNT($B18:$B24)</f>
        <v>112.01558160386048</v>
      </c>
      <c r="J29">
        <f>SUM(J18:J24)-(SUM($B18:$B24))^2/COUNT($B18:$B24)</f>
        <v>112.01558160386048</v>
      </c>
      <c r="K29">
        <f>SUM(K18:K24)-(SUM($B18:$B24))^2/COUNT($B18:$B24)</f>
        <v>112.01558160386048</v>
      </c>
    </row>
    <row r="30" spans="2:11" x14ac:dyDescent="0.3">
      <c r="B30" t="s">
        <v>31</v>
      </c>
      <c r="C30" s="11">
        <f>SQRT(F28^2/I29)</f>
        <v>139.1491186849693</v>
      </c>
      <c r="D30" s="11">
        <f>SQRT(G28^2/J29)</f>
        <v>4.0362944258303165E-3</v>
      </c>
      <c r="E30" s="11">
        <f t="shared" ref="E30" si="4">SQRT(H28^2/K29)</f>
        <v>1.051651632198173E-2</v>
      </c>
    </row>
    <row r="31" spans="2:11" x14ac:dyDescent="0.3">
      <c r="B31" t="s">
        <v>32</v>
      </c>
      <c r="C31" s="11">
        <f>SQRT(F28^2*(1/COUNT(B18:B24)+AVERAGE($B18:$B24)^2/I29))/10</f>
        <v>4258.3828245284858</v>
      </c>
      <c r="D31" s="11">
        <f t="shared" ref="D31" si="5">SQRT(G28^2*(1/COUNT(C18:C24)+AVERAGE($B18:$B24)^2/J29))</f>
        <v>1.2352278634699339</v>
      </c>
      <c r="E31" s="11">
        <f>SQRT(H28^2*(1/COUNT(D18:D24)+AVERAGE($B18:$B24)^2/K29))</f>
        <v>3.2183712626156873</v>
      </c>
    </row>
    <row r="35" spans="1:14" x14ac:dyDescent="0.3">
      <c r="C35">
        <f t="shared" ref="C35:D35" si="6">C26/AVERAGE(C18:C22)</f>
        <v>-4.8035853105943695E-2</v>
      </c>
      <c r="D35">
        <f t="shared" si="6"/>
        <v>9.3435850676306634E-5</v>
      </c>
      <c r="E35">
        <f>E26/AVERAGE(E18:E22)</f>
        <v>1.7665618224211664E-3</v>
      </c>
    </row>
    <row r="36" spans="1:14" x14ac:dyDescent="0.3">
      <c r="E36">
        <f>E35/12</f>
        <v>1.4721348520176387E-4</v>
      </c>
    </row>
    <row r="37" spans="1:14" x14ac:dyDescent="0.3">
      <c r="C37">
        <f>250*7</f>
        <v>1750</v>
      </c>
    </row>
    <row r="44" spans="1:14" ht="15" thickBot="1" x14ac:dyDescent="0.35">
      <c r="A44" s="47" t="s">
        <v>163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1:14" ht="15.6" x14ac:dyDescent="0.3">
      <c r="A45" s="48" t="s">
        <v>123</v>
      </c>
      <c r="B45" s="49"/>
      <c r="C45" s="50"/>
      <c r="D45" s="48" t="s">
        <v>124</v>
      </c>
      <c r="E45" s="49"/>
      <c r="F45" s="50"/>
      <c r="H45" t="s">
        <v>140</v>
      </c>
      <c r="K45" t="s">
        <v>152</v>
      </c>
      <c r="N45" t="s">
        <v>162</v>
      </c>
    </row>
    <row r="46" spans="1:14" x14ac:dyDescent="0.3">
      <c r="A46" s="31"/>
      <c r="B46" s="5" t="s">
        <v>4</v>
      </c>
      <c r="C46" s="32"/>
      <c r="D46" s="31"/>
      <c r="E46" s="5" t="s">
        <v>0</v>
      </c>
      <c r="F46" s="32"/>
      <c r="L46" t="s">
        <v>161</v>
      </c>
    </row>
    <row r="47" spans="1:14" x14ac:dyDescent="0.3">
      <c r="A47" s="31" t="s">
        <v>126</v>
      </c>
      <c r="B47" s="1">
        <v>26341.305044032837</v>
      </c>
      <c r="C47" s="33">
        <v>53.497121461109266</v>
      </c>
      <c r="D47" s="31" t="s">
        <v>127</v>
      </c>
      <c r="E47" s="1">
        <v>300.00165416178766</v>
      </c>
      <c r="F47" s="33">
        <v>1.4607740298769716E-4</v>
      </c>
      <c r="H47" t="s">
        <v>141</v>
      </c>
      <c r="I47">
        <f>(E47-B$57*B47-B$58)^2</f>
        <v>2.155215332834223</v>
      </c>
      <c r="K47" t="s">
        <v>153</v>
      </c>
      <c r="L47">
        <f>B47^2</f>
        <v>693864351.42278981</v>
      </c>
      <c r="N47">
        <f>SQRT((I$55^2) * ((1/B$59) + ((B47-B$56)^2)/L$55))</f>
        <v>1.1965948515891631</v>
      </c>
    </row>
    <row r="48" spans="1:14" x14ac:dyDescent="0.3">
      <c r="A48" s="31" t="s">
        <v>134</v>
      </c>
      <c r="B48" s="1">
        <v>22287.931676305328</v>
      </c>
      <c r="C48" s="33">
        <v>43.509111672501163</v>
      </c>
      <c r="D48" s="31" t="s">
        <v>128</v>
      </c>
      <c r="E48" s="1">
        <v>302.00174431755073</v>
      </c>
      <c r="F48" s="33">
        <v>1.7559503866123382E-4</v>
      </c>
      <c r="H48" t="s">
        <v>142</v>
      </c>
      <c r="I48">
        <f t="shared" ref="I48:I53" si="7">(E48-B$57*B48-B$58)^2</f>
        <v>1.2099922191694357</v>
      </c>
      <c r="K48" t="s">
        <v>154</v>
      </c>
      <c r="L48">
        <f t="shared" ref="L48:L53" si="8">B48^2</f>
        <v>496751898.40765446</v>
      </c>
      <c r="N48">
        <f t="shared" ref="N48:N53" si="9">SQRT((I$55^2) * ((1/B$59) + ((B48-B$56)^2)/L$55))</f>
        <v>0.68349712481831049</v>
      </c>
    </row>
    <row r="49" spans="1:14" x14ac:dyDescent="0.3">
      <c r="A49" s="31" t="s">
        <v>135</v>
      </c>
      <c r="B49" s="1">
        <v>20428.375607774586</v>
      </c>
      <c r="C49" s="33">
        <v>51.534197553623201</v>
      </c>
      <c r="D49" s="31" t="s">
        <v>129</v>
      </c>
      <c r="E49" s="1">
        <v>304.00517963463437</v>
      </c>
      <c r="F49" s="33">
        <v>3.3439087658235667E-4</v>
      </c>
      <c r="H49" t="s">
        <v>143</v>
      </c>
      <c r="I49">
        <f t="shared" si="7"/>
        <v>1.4215335904708606</v>
      </c>
      <c r="K49" t="s">
        <v>155</v>
      </c>
      <c r="L49">
        <f t="shared" si="8"/>
        <v>417318529.97231966</v>
      </c>
      <c r="N49">
        <f t="shared" si="9"/>
        <v>0.55581071631409162</v>
      </c>
    </row>
    <row r="50" spans="1:14" x14ac:dyDescent="0.3">
      <c r="A50" s="31" t="s">
        <v>136</v>
      </c>
      <c r="B50" s="1">
        <v>18299.813063322508</v>
      </c>
      <c r="C50" s="33">
        <v>47.442505905058042</v>
      </c>
      <c r="D50" s="31" t="s">
        <v>130</v>
      </c>
      <c r="E50" s="1">
        <v>306.00957728573587</v>
      </c>
      <c r="F50" s="33">
        <v>1.4697608797760957E-4</v>
      </c>
      <c r="H50" t="s">
        <v>144</v>
      </c>
      <c r="I50">
        <f t="shared" si="7"/>
        <v>2.5178490990605242</v>
      </c>
      <c r="K50" t="s">
        <v>156</v>
      </c>
      <c r="L50">
        <f t="shared" si="8"/>
        <v>334883158.15254915</v>
      </c>
      <c r="N50">
        <f t="shared" si="9"/>
        <v>0.58931869822005267</v>
      </c>
    </row>
    <row r="51" spans="1:14" x14ac:dyDescent="0.3">
      <c r="A51" s="31" t="s">
        <v>137</v>
      </c>
      <c r="B51" s="1">
        <v>18188.737988198067</v>
      </c>
      <c r="C51" s="33">
        <v>47.923142280631922</v>
      </c>
      <c r="D51" s="31" t="s">
        <v>131</v>
      </c>
      <c r="E51" s="1">
        <v>308.0057296830347</v>
      </c>
      <c r="F51" s="33">
        <v>9.9766027874057114E-5</v>
      </c>
      <c r="H51" t="s">
        <v>145</v>
      </c>
      <c r="I51">
        <f t="shared" si="7"/>
        <v>8.0768284788858793E-2</v>
      </c>
      <c r="K51" t="s">
        <v>157</v>
      </c>
      <c r="L51">
        <f t="shared" si="8"/>
        <v>330830189.60331947</v>
      </c>
      <c r="N51">
        <f t="shared" si="9"/>
        <v>0.59643224652509463</v>
      </c>
    </row>
    <row r="52" spans="1:14" x14ac:dyDescent="0.3">
      <c r="A52" s="31" t="s">
        <v>138</v>
      </c>
      <c r="B52" s="1">
        <v>16583.698363905049</v>
      </c>
      <c r="C52" s="33">
        <v>49.94178555825485</v>
      </c>
      <c r="D52" s="31" t="s">
        <v>132</v>
      </c>
      <c r="E52" s="1">
        <v>310.00103645766796</v>
      </c>
      <c r="F52" s="33">
        <v>2.7897833557522027E-4</v>
      </c>
      <c r="H52" t="s">
        <v>146</v>
      </c>
      <c r="I52">
        <f t="shared" si="7"/>
        <v>0.22148764005392213</v>
      </c>
      <c r="K52" t="s">
        <v>158</v>
      </c>
      <c r="L52">
        <f t="shared" si="8"/>
        <v>275019051.42498696</v>
      </c>
      <c r="N52">
        <f t="shared" si="9"/>
        <v>0.74083700075222736</v>
      </c>
    </row>
    <row r="53" spans="1:14" ht="15" thickBot="1" x14ac:dyDescent="0.35">
      <c r="A53" s="34" t="s">
        <v>139</v>
      </c>
      <c r="B53" s="35">
        <v>15858.820563947131</v>
      </c>
      <c r="C53" s="36">
        <v>32.322855646983925</v>
      </c>
      <c r="D53" s="34" t="s">
        <v>133</v>
      </c>
      <c r="E53" s="35">
        <v>312.00323656569441</v>
      </c>
      <c r="F53" s="36">
        <v>8.7315071782521848E-4</v>
      </c>
      <c r="H53" t="s">
        <v>147</v>
      </c>
      <c r="I53">
        <f t="shared" si="7"/>
        <v>2.7419636155449623</v>
      </c>
      <c r="K53" t="s">
        <v>159</v>
      </c>
      <c r="L53">
        <f t="shared" si="8"/>
        <v>251502189.67947239</v>
      </c>
      <c r="N53">
        <f t="shared" si="9"/>
        <v>0.82445338707816174</v>
      </c>
    </row>
    <row r="55" spans="1:14" x14ac:dyDescent="0.3">
      <c r="A55" t="s">
        <v>122</v>
      </c>
      <c r="B55">
        <f>AVERAGE(B47:B53)</f>
        <v>19712.668901069359</v>
      </c>
      <c r="C55">
        <f>AVERAGE(C47:C53)</f>
        <v>46.595817154023202</v>
      </c>
      <c r="E55">
        <f>AVERAGE(E47:E53)</f>
        <v>306.00402258658647</v>
      </c>
      <c r="F55">
        <f>AVERAGE(F47:F53)</f>
        <v>2.9356206964048471E-4</v>
      </c>
      <c r="H55" t="s">
        <v>150</v>
      </c>
      <c r="I55">
        <f>SQRT(SUM(I47:I53)/(B59-2))</f>
        <v>1.438666728740384</v>
      </c>
      <c r="K55" t="s">
        <v>160</v>
      </c>
      <c r="L55">
        <f>SUM(L47:L53)-(SUM(B47:B53)^2)/B59</f>
        <v>80044162.240782261</v>
      </c>
      <c r="N55">
        <f>AVERAGE(N47:N53)</f>
        <v>0.74099200361387163</v>
      </c>
    </row>
    <row r="56" spans="1:14" x14ac:dyDescent="0.3">
      <c r="A56" t="s">
        <v>125</v>
      </c>
      <c r="B56">
        <f>B55</f>
        <v>19712.668901069359</v>
      </c>
    </row>
    <row r="57" spans="1:14" x14ac:dyDescent="0.3">
      <c r="A57" s="37" t="s">
        <v>148</v>
      </c>
      <c r="B57" s="37">
        <v>-1.127E-3</v>
      </c>
    </row>
    <row r="58" spans="1:14" x14ac:dyDescent="0.3">
      <c r="A58" s="37" t="s">
        <v>149</v>
      </c>
      <c r="B58" s="37">
        <v>328.22023977999999</v>
      </c>
    </row>
    <row r="59" spans="1:14" x14ac:dyDescent="0.3">
      <c r="A59" t="s">
        <v>151</v>
      </c>
      <c r="B59">
        <f>COUNT(B47:B53)</f>
        <v>7</v>
      </c>
    </row>
    <row r="82" spans="1:29" ht="15" thickBot="1" x14ac:dyDescent="0.35"/>
    <row r="83" spans="1:29" ht="15.6" x14ac:dyDescent="0.3">
      <c r="A83" s="48" t="s">
        <v>123</v>
      </c>
      <c r="B83" s="49"/>
      <c r="C83" s="50"/>
      <c r="D83" s="48" t="s">
        <v>124</v>
      </c>
      <c r="E83" s="49"/>
      <c r="F83" s="50"/>
      <c r="H83" t="s">
        <v>140</v>
      </c>
      <c r="K83" t="s">
        <v>152</v>
      </c>
      <c r="N83" t="s">
        <v>162</v>
      </c>
      <c r="P83" s="48" t="s">
        <v>123</v>
      </c>
      <c r="Q83" s="49"/>
      <c r="R83" s="50"/>
      <c r="S83" s="48" t="s">
        <v>124</v>
      </c>
      <c r="T83" s="49"/>
      <c r="U83" s="50"/>
      <c r="W83" t="s">
        <v>140</v>
      </c>
      <c r="Z83" t="s">
        <v>152</v>
      </c>
      <c r="AC83" t="s">
        <v>162</v>
      </c>
    </row>
    <row r="84" spans="1:29" x14ac:dyDescent="0.3">
      <c r="A84" s="31"/>
      <c r="B84" s="5" t="s">
        <v>4</v>
      </c>
      <c r="C84" s="32"/>
      <c r="D84" s="31"/>
      <c r="E84" s="5" t="s">
        <v>0</v>
      </c>
      <c r="F84" s="32"/>
      <c r="L84" t="s">
        <v>161</v>
      </c>
      <c r="P84" s="31"/>
      <c r="Q84" s="5" t="s">
        <v>4</v>
      </c>
      <c r="R84" s="32"/>
      <c r="S84" s="31"/>
      <c r="T84" s="5" t="s">
        <v>0</v>
      </c>
      <c r="U84" s="32"/>
      <c r="AA84" t="s">
        <v>161</v>
      </c>
    </row>
    <row r="85" spans="1:29" x14ac:dyDescent="0.3">
      <c r="A85" s="31" t="s">
        <v>126</v>
      </c>
      <c r="B85" s="1">
        <f>B47+C47</f>
        <v>26394.802165493948</v>
      </c>
      <c r="C85" s="33">
        <v>53.497121461109266</v>
      </c>
      <c r="D85" s="31" t="s">
        <v>127</v>
      </c>
      <c r="E85" s="1">
        <v>300.00165416178766</v>
      </c>
      <c r="F85" s="33">
        <v>1.4607740298769716E-4</v>
      </c>
      <c r="H85" t="s">
        <v>141</v>
      </c>
      <c r="I85">
        <f t="shared" ref="I85:I91" si="10">(E85-B$95*B85-B$96)^2</f>
        <v>2.1593666040691364</v>
      </c>
      <c r="K85" t="s">
        <v>153</v>
      </c>
      <c r="L85">
        <f>B85^2</f>
        <v>696685581.355564</v>
      </c>
      <c r="N85">
        <f t="shared" ref="N85:N91" si="11">SQRT((I$93^2) * ((1/B$97) + ((B85-B$94)^2)/L$93))</f>
        <v>1.1946125506780381</v>
      </c>
      <c r="P85" s="31" t="s">
        <v>126</v>
      </c>
      <c r="Q85" s="1">
        <f>B47-C47</f>
        <v>26287.807922571727</v>
      </c>
      <c r="R85" s="33">
        <v>53.497121461109266</v>
      </c>
      <c r="S85" s="31" t="s">
        <v>127</v>
      </c>
      <c r="T85" s="1">
        <v>300.00165416178766</v>
      </c>
      <c r="U85" s="33">
        <v>1.4607740298769716E-4</v>
      </c>
      <c r="W85" t="s">
        <v>141</v>
      </c>
      <c r="X85">
        <f t="shared" ref="X85:X91" si="12">(T85-Q$95*Q85-Q$96)^2</f>
        <v>2.1512839393788226</v>
      </c>
      <c r="Z85" t="s">
        <v>153</v>
      </c>
      <c r="AA85">
        <f>Q85^2</f>
        <v>691048845.37402487</v>
      </c>
      <c r="AC85">
        <f t="shared" ref="AC85:AC91" si="13">SQRT((X$93^2) * ((1/Q$97) + ((Q85-Q$94)^2)/AA$93))</f>
        <v>1.1986063815325487</v>
      </c>
    </row>
    <row r="86" spans="1:29" x14ac:dyDescent="0.3">
      <c r="A86" s="31" t="s">
        <v>134</v>
      </c>
      <c r="B86" s="1">
        <f t="shared" ref="B86:B91" si="14">B48+C48</f>
        <v>22331.44078797783</v>
      </c>
      <c r="C86" s="33">
        <v>43.509111672501163</v>
      </c>
      <c r="D86" s="31" t="s">
        <v>128</v>
      </c>
      <c r="E86" s="1">
        <v>302.00174431755073</v>
      </c>
      <c r="F86" s="33">
        <v>1.7559503866123382E-4</v>
      </c>
      <c r="H86" t="s">
        <v>142</v>
      </c>
      <c r="I86">
        <f t="shared" si="10"/>
        <v>1.2230110764017705</v>
      </c>
      <c r="K86" t="s">
        <v>154</v>
      </c>
      <c r="L86">
        <f t="shared" ref="L86:L91" si="15">B86^2</f>
        <v>498693247.66695988</v>
      </c>
      <c r="N86">
        <f t="shared" si="11"/>
        <v>0.68180268443999914</v>
      </c>
      <c r="P86" s="31" t="s">
        <v>134</v>
      </c>
      <c r="Q86" s="1">
        <f t="shared" ref="Q86:Q91" si="16">B48-C48</f>
        <v>22244.422564632827</v>
      </c>
      <c r="R86" s="33">
        <v>43.509111672501163</v>
      </c>
      <c r="S86" s="31" t="s">
        <v>128</v>
      </c>
      <c r="T86" s="1">
        <v>302.00174431755073</v>
      </c>
      <c r="U86" s="33">
        <v>1.7559503866123382E-4</v>
      </c>
      <c r="W86" t="s">
        <v>142</v>
      </c>
      <c r="X86">
        <f t="shared" si="12"/>
        <v>1.1968395931808193</v>
      </c>
      <c r="Z86" t="s">
        <v>154</v>
      </c>
      <c r="AA86">
        <f t="shared" ref="AA86:AA91" si="17">Q86^2</f>
        <v>494814335.23394608</v>
      </c>
      <c r="AC86">
        <f t="shared" si="13"/>
        <v>0.68521288641088862</v>
      </c>
    </row>
    <row r="87" spans="1:29" x14ac:dyDescent="0.3">
      <c r="A87" s="31" t="s">
        <v>135</v>
      </c>
      <c r="B87" s="1">
        <f t="shared" si="14"/>
        <v>20479.90980532821</v>
      </c>
      <c r="C87" s="33">
        <v>51.534197553623201</v>
      </c>
      <c r="D87" s="31" t="s">
        <v>129</v>
      </c>
      <c r="E87" s="1">
        <v>304.00517963463437</v>
      </c>
      <c r="F87" s="33">
        <v>3.3439087658235667E-4</v>
      </c>
      <c r="H87" t="s">
        <v>143</v>
      </c>
      <c r="I87">
        <f t="shared" si="10"/>
        <v>1.4097820395999625</v>
      </c>
      <c r="K87" t="s">
        <v>155</v>
      </c>
      <c r="L87">
        <f t="shared" si="15"/>
        <v>419426705.63437855</v>
      </c>
      <c r="N87">
        <f t="shared" si="11"/>
        <v>0.55502656439883535</v>
      </c>
      <c r="P87" s="31" t="s">
        <v>135</v>
      </c>
      <c r="Q87" s="1">
        <f t="shared" si="16"/>
        <v>20376.841410220961</v>
      </c>
      <c r="R87" s="33">
        <v>51.534197553623201</v>
      </c>
      <c r="S87" s="31" t="s">
        <v>129</v>
      </c>
      <c r="T87" s="1">
        <v>304.00517963463437</v>
      </c>
      <c r="U87" s="33">
        <v>3.3439087658235667E-4</v>
      </c>
      <c r="W87" t="s">
        <v>143</v>
      </c>
      <c r="X87">
        <f t="shared" si="12"/>
        <v>1.4331485847880827</v>
      </c>
      <c r="Z87" t="s">
        <v>155</v>
      </c>
      <c r="AA87">
        <f t="shared" si="17"/>
        <v>415215665.85729575</v>
      </c>
      <c r="AC87">
        <f t="shared" si="13"/>
        <v>0.55660960667627812</v>
      </c>
    </row>
    <row r="88" spans="1:29" x14ac:dyDescent="0.3">
      <c r="A88" s="31" t="s">
        <v>136</v>
      </c>
      <c r="B88" s="1">
        <f t="shared" si="14"/>
        <v>18347.255569227567</v>
      </c>
      <c r="C88" s="33">
        <v>47.442505905058042</v>
      </c>
      <c r="D88" s="31" t="s">
        <v>130</v>
      </c>
      <c r="E88" s="1">
        <v>306.00957728573587</v>
      </c>
      <c r="F88" s="33">
        <v>1.4697608797760957E-4</v>
      </c>
      <c r="H88" t="s">
        <v>144</v>
      </c>
      <c r="I88">
        <f t="shared" si="10"/>
        <v>2.5102518268992924</v>
      </c>
      <c r="K88" t="s">
        <v>156</v>
      </c>
      <c r="L88">
        <f t="shared" si="15"/>
        <v>336621786.92255199</v>
      </c>
      <c r="N88">
        <f t="shared" si="11"/>
        <v>0.58819647922197915</v>
      </c>
      <c r="P88" s="31" t="s">
        <v>136</v>
      </c>
      <c r="Q88" s="1">
        <f t="shared" si="16"/>
        <v>18252.370557417449</v>
      </c>
      <c r="R88" s="33">
        <v>47.442505905058042</v>
      </c>
      <c r="S88" s="31" t="s">
        <v>130</v>
      </c>
      <c r="T88" s="1">
        <v>306.00957728573587</v>
      </c>
      <c r="U88" s="33">
        <v>1.4697608797760957E-4</v>
      </c>
      <c r="W88" t="s">
        <v>144</v>
      </c>
      <c r="X88">
        <f t="shared" si="12"/>
        <v>2.5251866134640761</v>
      </c>
      <c r="Z88" t="s">
        <v>156</v>
      </c>
      <c r="AA88">
        <f t="shared" si="17"/>
        <v>333149030.96527934</v>
      </c>
      <c r="AC88">
        <f t="shared" si="13"/>
        <v>0.59045732101155968</v>
      </c>
    </row>
    <row r="89" spans="1:29" x14ac:dyDescent="0.3">
      <c r="A89" s="31" t="s">
        <v>137</v>
      </c>
      <c r="B89" s="1">
        <f t="shared" si="14"/>
        <v>18236.6611304787</v>
      </c>
      <c r="C89" s="33">
        <v>47.923142280631922</v>
      </c>
      <c r="D89" s="31" t="s">
        <v>131</v>
      </c>
      <c r="E89" s="1">
        <v>308.0057296830347</v>
      </c>
      <c r="F89" s="33">
        <v>9.9766027874057114E-5</v>
      </c>
      <c r="H89" t="s">
        <v>145</v>
      </c>
      <c r="I89">
        <f t="shared" si="10"/>
        <v>8.2508147979011875E-2</v>
      </c>
      <c r="K89" t="s">
        <v>157</v>
      </c>
      <c r="L89">
        <f t="shared" si="15"/>
        <v>332575809.18791264</v>
      </c>
      <c r="N89">
        <f t="shared" si="11"/>
        <v>0.59524963821440335</v>
      </c>
      <c r="P89" s="31" t="s">
        <v>137</v>
      </c>
      <c r="Q89" s="1">
        <f t="shared" si="16"/>
        <v>18140.814845917434</v>
      </c>
      <c r="R89" s="33">
        <v>47.923142280631922</v>
      </c>
      <c r="S89" s="31" t="s">
        <v>131</v>
      </c>
      <c r="T89" s="1">
        <v>308.0057296830347</v>
      </c>
      <c r="U89" s="33">
        <v>9.9766027874057114E-5</v>
      </c>
      <c r="W89" t="s">
        <v>145</v>
      </c>
      <c r="X89">
        <f t="shared" si="12"/>
        <v>7.9094432851789798E-2</v>
      </c>
      <c r="Z89" t="s">
        <v>157</v>
      </c>
      <c r="AA89">
        <f t="shared" si="17"/>
        <v>329089163.27385837</v>
      </c>
      <c r="AC89">
        <f t="shared" si="13"/>
        <v>0.59763178137908712</v>
      </c>
    </row>
    <row r="90" spans="1:29" x14ac:dyDescent="0.3">
      <c r="A90" s="31" t="s">
        <v>138</v>
      </c>
      <c r="B90" s="1">
        <f t="shared" si="14"/>
        <v>16633.640149463303</v>
      </c>
      <c r="C90" s="33">
        <v>49.94178555825485</v>
      </c>
      <c r="D90" s="31" t="s">
        <v>132</v>
      </c>
      <c r="E90" s="1">
        <v>310.00103645766796</v>
      </c>
      <c r="F90" s="33">
        <v>2.7897833557522027E-4</v>
      </c>
      <c r="H90" t="s">
        <v>146</v>
      </c>
      <c r="I90">
        <f t="shared" si="10"/>
        <v>0.22800565328594716</v>
      </c>
      <c r="K90" t="s">
        <v>158</v>
      </c>
      <c r="L90">
        <f t="shared" si="15"/>
        <v>276677984.62183756</v>
      </c>
      <c r="N90">
        <f t="shared" si="11"/>
        <v>0.73888908682500343</v>
      </c>
      <c r="P90" s="31" t="s">
        <v>138</v>
      </c>
      <c r="Q90" s="1">
        <f t="shared" si="16"/>
        <v>16533.756578346794</v>
      </c>
      <c r="R90" s="33">
        <v>49.94178555825485</v>
      </c>
      <c r="S90" s="31" t="s">
        <v>132</v>
      </c>
      <c r="T90" s="1">
        <v>310.00103645766796</v>
      </c>
      <c r="U90" s="33">
        <v>2.7897833557522027E-4</v>
      </c>
      <c r="W90" t="s">
        <v>146</v>
      </c>
      <c r="X90">
        <f t="shared" si="12"/>
        <v>0.21513881190224396</v>
      </c>
      <c r="Z90" t="s">
        <v>158</v>
      </c>
      <c r="AA90">
        <f t="shared" si="17"/>
        <v>273365106.59202588</v>
      </c>
      <c r="AC90">
        <f t="shared" si="13"/>
        <v>0.74280839888050709</v>
      </c>
    </row>
    <row r="91" spans="1:29" ht="15" thickBot="1" x14ac:dyDescent="0.35">
      <c r="A91" s="34" t="s">
        <v>139</v>
      </c>
      <c r="B91" s="1">
        <f t="shared" si="14"/>
        <v>15891.143419594115</v>
      </c>
      <c r="C91" s="36">
        <v>32.322855646983925</v>
      </c>
      <c r="D91" s="34" t="s">
        <v>133</v>
      </c>
      <c r="E91" s="35">
        <v>312.00323656569441</v>
      </c>
      <c r="F91" s="36">
        <v>8.7315071782521848E-4</v>
      </c>
      <c r="H91" t="s">
        <v>147</v>
      </c>
      <c r="I91">
        <f t="shared" si="10"/>
        <v>2.7015060677901976</v>
      </c>
      <c r="K91" t="s">
        <v>159</v>
      </c>
      <c r="L91">
        <f t="shared" si="15"/>
        <v>252528439.18210933</v>
      </c>
      <c r="N91">
        <f t="shared" si="11"/>
        <v>0.82432379553308721</v>
      </c>
      <c r="P91" s="34" t="s">
        <v>139</v>
      </c>
      <c r="Q91" s="1">
        <f t="shared" si="16"/>
        <v>15826.497708300147</v>
      </c>
      <c r="R91" s="36">
        <v>32.322855646983925</v>
      </c>
      <c r="S91" s="34" t="s">
        <v>133</v>
      </c>
      <c r="T91" s="35">
        <v>312.00323656569441</v>
      </c>
      <c r="U91" s="36">
        <v>8.7315071782521848E-4</v>
      </c>
      <c r="W91" t="s">
        <v>147</v>
      </c>
      <c r="X91">
        <f t="shared" si="12"/>
        <v>2.7831044591472454</v>
      </c>
      <c r="Z91" t="s">
        <v>159</v>
      </c>
      <c r="AA91">
        <f t="shared" si="17"/>
        <v>250478029.71082979</v>
      </c>
      <c r="AC91">
        <f t="shared" si="13"/>
        <v>0.82459835713450169</v>
      </c>
    </row>
    <row r="93" spans="1:29" x14ac:dyDescent="0.3">
      <c r="A93" t="s">
        <v>122</v>
      </c>
      <c r="B93">
        <f>AVERAGE(B85:B91)</f>
        <v>19759.264718223381</v>
      </c>
      <c r="C93">
        <f>AVERAGE(C85:C91)</f>
        <v>46.595817154023202</v>
      </c>
      <c r="E93">
        <f>AVERAGE(E85:E91)</f>
        <v>306.00402258658647</v>
      </c>
      <c r="F93">
        <f>AVERAGE(F85:F91)</f>
        <v>2.9356206964048471E-4</v>
      </c>
      <c r="H93" t="s">
        <v>150</v>
      </c>
      <c r="I93">
        <f>SQRT(SUM(I85:I91)/(B97-2))</f>
        <v>1.4362751418878847</v>
      </c>
      <c r="K93" t="s">
        <v>160</v>
      </c>
      <c r="L93">
        <f>SUM(L85:L91)-(SUM(B85:B91)^2)/B97</f>
        <v>80209759.137522697</v>
      </c>
      <c r="N93">
        <f>AVERAGE(N85:N91)</f>
        <v>0.73972868561590654</v>
      </c>
      <c r="P93" t="s">
        <v>122</v>
      </c>
      <c r="Q93">
        <f>AVERAGE(Q85:Q91)</f>
        <v>19666.073083915337</v>
      </c>
      <c r="R93">
        <f>AVERAGE(R85:R91)</f>
        <v>46.595817154023202</v>
      </c>
      <c r="T93">
        <f>AVERAGE(T85:T91)</f>
        <v>306.00402258658647</v>
      </c>
      <c r="U93">
        <f>AVERAGE(U85:U91)</f>
        <v>2.9356206964048471E-4</v>
      </c>
      <c r="W93" t="s">
        <v>150</v>
      </c>
      <c r="X93">
        <f>SQRT(SUM(X85:X91)/(Q97-2))</f>
        <v>1.441096557119826</v>
      </c>
      <c r="Z93" t="s">
        <v>160</v>
      </c>
      <c r="AA93">
        <f>SUM(AA85:AA91)-(SUM(Q85:Q91)^2)/Q97</f>
        <v>79879163.213965416</v>
      </c>
      <c r="AC93">
        <f>AVERAGE(AC85:AC91)</f>
        <v>0.74227496186076725</v>
      </c>
    </row>
    <row r="94" spans="1:29" x14ac:dyDescent="0.3">
      <c r="A94" t="s">
        <v>125</v>
      </c>
      <c r="B94">
        <f>B93</f>
        <v>19759.264718223381</v>
      </c>
      <c r="P94" t="s">
        <v>125</v>
      </c>
      <c r="Q94">
        <f>Q93</f>
        <v>19666.073083915337</v>
      </c>
    </row>
    <row r="95" spans="1:29" x14ac:dyDescent="0.3">
      <c r="A95" s="37" t="s">
        <v>148</v>
      </c>
      <c r="B95" s="37">
        <v>-1.1260300000000001E-3</v>
      </c>
      <c r="P95" s="37" t="s">
        <v>148</v>
      </c>
      <c r="Q95" s="37">
        <v>-1.1279700000000001E-3</v>
      </c>
    </row>
    <row r="96" spans="1:29" x14ac:dyDescent="0.3">
      <c r="A96" s="37" t="s">
        <v>149</v>
      </c>
      <c r="B96" s="37">
        <v>328.25351490000003</v>
      </c>
      <c r="P96" s="37" t="s">
        <v>149</v>
      </c>
      <c r="Q96" s="37">
        <v>328.18678727999998</v>
      </c>
    </row>
    <row r="97" spans="1:17" x14ac:dyDescent="0.3">
      <c r="A97" t="s">
        <v>151</v>
      </c>
      <c r="B97">
        <f>COUNT(B85:B91)</f>
        <v>7</v>
      </c>
      <c r="P97" t="s">
        <v>151</v>
      </c>
      <c r="Q97">
        <f>COUNT(Q85:Q91)</f>
        <v>7</v>
      </c>
    </row>
  </sheetData>
  <mergeCells count="7">
    <mergeCell ref="A44:N44"/>
    <mergeCell ref="P83:R83"/>
    <mergeCell ref="S83:U83"/>
    <mergeCell ref="D45:F45"/>
    <mergeCell ref="A45:C45"/>
    <mergeCell ref="A83:C83"/>
    <mergeCell ref="D83:F8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14" sqref="C14"/>
    </sheetView>
  </sheetViews>
  <sheetFormatPr defaultRowHeight="14.4" x14ac:dyDescent="0.3"/>
  <sheetData>
    <row r="1" spans="1:15" ht="15.6" x14ac:dyDescent="0.3">
      <c r="A1" s="48" t="s">
        <v>123</v>
      </c>
      <c r="B1" s="49"/>
      <c r="C1" s="49"/>
      <c r="D1" s="50"/>
      <c r="E1" s="48" t="s">
        <v>124</v>
      </c>
      <c r="F1" s="49"/>
      <c r="G1" s="50"/>
      <c r="I1" t="s">
        <v>140</v>
      </c>
      <c r="L1" t="s">
        <v>152</v>
      </c>
      <c r="O1" t="s">
        <v>162</v>
      </c>
    </row>
    <row r="2" spans="1:15" x14ac:dyDescent="0.3">
      <c r="A2" s="31"/>
      <c r="B2" s="22"/>
      <c r="C2" s="5" t="s">
        <v>4</v>
      </c>
      <c r="D2" s="32"/>
      <c r="E2" s="31"/>
      <c r="F2" s="5" t="s">
        <v>0</v>
      </c>
      <c r="G2" s="32"/>
      <c r="M2" t="s">
        <v>161</v>
      </c>
    </row>
    <row r="3" spans="1:15" x14ac:dyDescent="0.3">
      <c r="A3" s="31" t="s">
        <v>126</v>
      </c>
      <c r="B3" s="22">
        <v>26341.305044032837</v>
      </c>
      <c r="C3" s="1">
        <f>B3/B$3</f>
        <v>1</v>
      </c>
      <c r="D3" s="33">
        <v>53.497121461109266</v>
      </c>
      <c r="E3" s="31" t="s">
        <v>127</v>
      </c>
      <c r="F3" s="1">
        <v>300.00165416178766</v>
      </c>
      <c r="G3" s="33">
        <v>1.4607740298769716E-4</v>
      </c>
      <c r="I3" t="s">
        <v>141</v>
      </c>
      <c r="J3">
        <f>(F3-C$13*C3-C$14)^2</f>
        <v>2.156240796640899</v>
      </c>
      <c r="L3" t="s">
        <v>153</v>
      </c>
      <c r="M3">
        <f>C3^2</f>
        <v>1</v>
      </c>
      <c r="O3">
        <f>SQRT((J$11^2) * ((1/C$15) + ((C3-C$12)^2)/M$11))</f>
        <v>1.196594871475249</v>
      </c>
    </row>
    <row r="4" spans="1:15" x14ac:dyDescent="0.3">
      <c r="A4" s="31" t="s">
        <v>134</v>
      </c>
      <c r="B4" s="22">
        <v>22287.931676305328</v>
      </c>
      <c r="C4" s="1">
        <f t="shared" ref="C4:C9" si="0">B4/B$3</f>
        <v>0.84612101181198962</v>
      </c>
      <c r="D4" s="33">
        <v>43.509111672501163</v>
      </c>
      <c r="E4" s="31" t="s">
        <v>128</v>
      </c>
      <c r="F4" s="1">
        <v>302.00174431755073</v>
      </c>
      <c r="G4" s="33">
        <v>1.7559503866123382E-4</v>
      </c>
      <c r="I4" t="s">
        <v>142</v>
      </c>
      <c r="J4">
        <f t="shared" ref="J4:J9" si="1">(F4-C$13*C4-C$14)^2</f>
        <v>1.2093422559408233</v>
      </c>
      <c r="L4" t="s">
        <v>154</v>
      </c>
      <c r="M4">
        <f t="shared" ref="M4:M9" si="2">C4^2</f>
        <v>0.71592076662974513</v>
      </c>
      <c r="O4">
        <f t="shared" ref="O4:O9" si="3">SQRT((J$11^2) * ((1/C$15) + ((C4-C$12)^2)/M$11))</f>
        <v>0.68349713617728103</v>
      </c>
    </row>
    <row r="5" spans="1:15" x14ac:dyDescent="0.3">
      <c r="A5" s="31" t="s">
        <v>135</v>
      </c>
      <c r="B5" s="22">
        <v>20428.375607774586</v>
      </c>
      <c r="C5" s="1">
        <f t="shared" si="0"/>
        <v>0.77552632922423403</v>
      </c>
      <c r="D5" s="33">
        <v>51.534197553623201</v>
      </c>
      <c r="E5" s="31" t="s">
        <v>129</v>
      </c>
      <c r="F5" s="1">
        <v>304.00517963463437</v>
      </c>
      <c r="G5" s="33">
        <v>3.3439087658235667E-4</v>
      </c>
      <c r="I5" t="s">
        <v>143</v>
      </c>
      <c r="J5">
        <f t="shared" si="1"/>
        <v>1.4208878631910447</v>
      </c>
      <c r="L5" t="s">
        <v>155</v>
      </c>
      <c r="M5">
        <f t="shared" si="2"/>
        <v>0.601441087320015</v>
      </c>
      <c r="O5">
        <f t="shared" si="3"/>
        <v>0.55581072555105571</v>
      </c>
    </row>
    <row r="6" spans="1:15" x14ac:dyDescent="0.3">
      <c r="A6" s="31" t="s">
        <v>136</v>
      </c>
      <c r="B6" s="22">
        <v>18299.813063322508</v>
      </c>
      <c r="C6" s="1">
        <f t="shared" si="0"/>
        <v>0.69471930235544699</v>
      </c>
      <c r="D6" s="33">
        <v>47.442505905058042</v>
      </c>
      <c r="E6" s="31" t="s">
        <v>130</v>
      </c>
      <c r="F6" s="1">
        <v>306.00957728573587</v>
      </c>
      <c r="G6" s="33">
        <v>1.4697608797760957E-4</v>
      </c>
      <c r="I6" t="s">
        <v>144</v>
      </c>
      <c r="J6">
        <f t="shared" si="1"/>
        <v>2.5170792344343407</v>
      </c>
      <c r="L6" t="s">
        <v>156</v>
      </c>
      <c r="M6">
        <f t="shared" si="2"/>
        <v>0.48263490906523898</v>
      </c>
      <c r="O6">
        <f t="shared" si="3"/>
        <v>0.58931870801388153</v>
      </c>
    </row>
    <row r="7" spans="1:15" x14ac:dyDescent="0.3">
      <c r="A7" s="31" t="s">
        <v>137</v>
      </c>
      <c r="B7" s="22">
        <v>18188.737988198067</v>
      </c>
      <c r="C7" s="1">
        <f t="shared" si="0"/>
        <v>0.69050253804028616</v>
      </c>
      <c r="D7" s="33">
        <v>47.923142280631922</v>
      </c>
      <c r="E7" s="31" t="s">
        <v>131</v>
      </c>
      <c r="F7" s="1">
        <v>308.0057296830347</v>
      </c>
      <c r="G7" s="33">
        <v>9.9766027874057114E-5</v>
      </c>
      <c r="I7" t="s">
        <v>145</v>
      </c>
      <c r="J7">
        <f t="shared" si="1"/>
        <v>8.0905402408654209E-2</v>
      </c>
      <c r="L7" t="s">
        <v>157</v>
      </c>
      <c r="M7">
        <f t="shared" si="2"/>
        <v>0.47679375504007682</v>
      </c>
      <c r="O7">
        <f t="shared" si="3"/>
        <v>0.59643225643714293</v>
      </c>
    </row>
    <row r="8" spans="1:15" x14ac:dyDescent="0.3">
      <c r="A8" s="31" t="s">
        <v>138</v>
      </c>
      <c r="B8" s="22">
        <v>16583.698363905049</v>
      </c>
      <c r="C8" s="1">
        <f t="shared" si="0"/>
        <v>0.62957011189017742</v>
      </c>
      <c r="D8" s="33">
        <v>49.94178555825485</v>
      </c>
      <c r="E8" s="31" t="s">
        <v>132</v>
      </c>
      <c r="F8" s="1">
        <v>310.00103645766796</v>
      </c>
      <c r="G8" s="33">
        <v>2.7897833557522027E-4</v>
      </c>
      <c r="I8" t="s">
        <v>146</v>
      </c>
      <c r="J8">
        <f t="shared" si="1"/>
        <v>0.22169462732173037</v>
      </c>
      <c r="L8" t="s">
        <v>158</v>
      </c>
      <c r="M8">
        <f t="shared" si="2"/>
        <v>0.39635852578541053</v>
      </c>
      <c r="O8">
        <f t="shared" si="3"/>
        <v>0.74083701306412175</v>
      </c>
    </row>
    <row r="9" spans="1:15" ht="15" thickBot="1" x14ac:dyDescent="0.35">
      <c r="A9" s="34" t="s">
        <v>139</v>
      </c>
      <c r="B9" s="38">
        <v>15858.820563947131</v>
      </c>
      <c r="C9" s="1">
        <f t="shared" si="0"/>
        <v>0.60205143736945066</v>
      </c>
      <c r="D9" s="36">
        <v>32.322855646983925</v>
      </c>
      <c r="E9" s="34" t="s">
        <v>133</v>
      </c>
      <c r="F9" s="35">
        <v>312.00323656569441</v>
      </c>
      <c r="G9" s="36">
        <v>8.7315071782521848E-4</v>
      </c>
      <c r="I9" t="s">
        <v>147</v>
      </c>
      <c r="J9">
        <f t="shared" si="1"/>
        <v>2.7426599459570236</v>
      </c>
      <c r="L9" t="s">
        <v>159</v>
      </c>
      <c r="M9">
        <f t="shared" si="2"/>
        <v>0.36246593323862158</v>
      </c>
      <c r="O9">
        <f t="shared" si="3"/>
        <v>0.82445340077966778</v>
      </c>
    </row>
    <row r="11" spans="1:15" x14ac:dyDescent="0.3">
      <c r="A11" t="s">
        <v>122</v>
      </c>
      <c r="C11">
        <f>AVERAGE(C3:C9)</f>
        <v>0.74835581867022627</v>
      </c>
      <c r="D11">
        <f>AVERAGE(D3:D9)</f>
        <v>46.595817154023202</v>
      </c>
      <c r="F11">
        <f>AVERAGE(F3:F9)</f>
        <v>306.00402258658647</v>
      </c>
      <c r="G11">
        <f>AVERAGE(G3:G9)</f>
        <v>2.9356206964048471E-4</v>
      </c>
      <c r="I11" t="s">
        <v>150</v>
      </c>
      <c r="J11">
        <f>SQRT(SUM(J3:J9)/(C15-2))</f>
        <v>1.4386667526494461</v>
      </c>
      <c r="L11" t="s">
        <v>160</v>
      </c>
      <c r="M11">
        <f>SUM(M3:M9)-(SUM(C3:C9)^2)/C15</f>
        <v>0.11535995771601559</v>
      </c>
      <c r="O11">
        <f>AVERAGE(O3:O9)</f>
        <v>0.74099201592834263</v>
      </c>
    </row>
    <row r="12" spans="1:15" x14ac:dyDescent="0.3">
      <c r="A12" t="s">
        <v>125</v>
      </c>
      <c r="C12">
        <f>C11</f>
        <v>0.74835581867022627</v>
      </c>
    </row>
    <row r="13" spans="1:15" x14ac:dyDescent="0.3">
      <c r="A13" s="37" t="s">
        <v>148</v>
      </c>
      <c r="B13" s="37"/>
      <c r="C13" s="37">
        <v>-29.687000000000001</v>
      </c>
    </row>
    <row r="14" spans="1:15" x14ac:dyDescent="0.3">
      <c r="A14" s="37" t="s">
        <v>149</v>
      </c>
      <c r="B14" s="37"/>
      <c r="C14" s="37">
        <v>328.22023977999999</v>
      </c>
    </row>
    <row r="15" spans="1:15" x14ac:dyDescent="0.3">
      <c r="A15" t="s">
        <v>151</v>
      </c>
      <c r="C15">
        <f>COUNT(C3:C9)</f>
        <v>7</v>
      </c>
    </row>
  </sheetData>
  <mergeCells count="2">
    <mergeCell ref="A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Spectrometer</vt:lpstr>
      <vt:lpstr>For Slopes</vt:lpstr>
      <vt:lpstr>forUpload</vt:lpstr>
      <vt:lpstr>forUpload (2)</vt:lpstr>
      <vt:lpstr>forUpload (with %)</vt:lpstr>
      <vt:lpstr>Sensitivities</vt:lpstr>
      <vt:lpstr>for uncertainty of slopes</vt:lpstr>
      <vt:lpstr>Uncertainty of normalized inten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2017-05-25T15:33:49Z</dcterms:modified>
</cp:coreProperties>
</file>