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/Desktop/"/>
    </mc:Choice>
  </mc:AlternateContent>
  <xr:revisionPtr revIDLastSave="0" documentId="13_ncr:1_{AB50CED4-3E27-0A44-9DDF-349C8F73195E}" xr6:coauthVersionLast="38" xr6:coauthVersionMax="38" xr10:uidLastSave="{00000000-0000-0000-0000-000000000000}"/>
  <bookViews>
    <workbookView xWindow="2520" yWindow="2360" windowWidth="27640" windowHeight="16940" activeTab="1" xr2:uid="{041AC3FD-8F70-4641-9E8D-242964CA31CF}"/>
  </bookViews>
  <sheets>
    <sheet name="Grapefruit" sheetId="2" r:id="rId1"/>
    <sheet name="Lemons" sheetId="6" r:id="rId2"/>
    <sheet name="Orang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4" l="1"/>
  <c r="G42" i="4"/>
  <c r="E42" i="4"/>
  <c r="C42" i="4"/>
  <c r="K41" i="4"/>
  <c r="G41" i="4"/>
  <c r="E41" i="4"/>
  <c r="C41" i="4"/>
  <c r="K40" i="4"/>
  <c r="G40" i="4"/>
  <c r="E40" i="4"/>
  <c r="C40" i="4"/>
  <c r="K39" i="4"/>
  <c r="G39" i="4"/>
  <c r="E39" i="4"/>
  <c r="C39" i="4"/>
  <c r="K38" i="4"/>
  <c r="G38" i="4"/>
  <c r="E38" i="4"/>
  <c r="C38" i="4"/>
  <c r="K37" i="4"/>
  <c r="G37" i="4"/>
  <c r="E37" i="4"/>
  <c r="C37" i="4"/>
  <c r="K36" i="4"/>
  <c r="G36" i="4"/>
  <c r="E36" i="4"/>
  <c r="C36" i="4"/>
  <c r="K35" i="4"/>
  <c r="G35" i="4"/>
  <c r="E35" i="4"/>
  <c r="C35" i="4"/>
  <c r="K34" i="4"/>
  <c r="G34" i="4"/>
  <c r="E34" i="4"/>
  <c r="C34" i="4"/>
  <c r="K33" i="4"/>
  <c r="I33" i="4"/>
  <c r="G33" i="4"/>
  <c r="E33" i="4"/>
  <c r="C33" i="4"/>
  <c r="K32" i="4"/>
  <c r="I32" i="4"/>
  <c r="G32" i="4"/>
  <c r="E32" i="4"/>
  <c r="C32" i="4"/>
  <c r="K31" i="4"/>
  <c r="I31" i="4"/>
  <c r="G31" i="4"/>
  <c r="E31" i="4"/>
  <c r="C31" i="4"/>
  <c r="K30" i="4"/>
  <c r="I30" i="4"/>
  <c r="G30" i="4"/>
  <c r="E30" i="4"/>
  <c r="C30" i="4"/>
  <c r="K29" i="4"/>
  <c r="I29" i="4"/>
  <c r="G29" i="4"/>
  <c r="E29" i="4"/>
  <c r="C29" i="4"/>
  <c r="K28" i="4"/>
  <c r="I28" i="4"/>
  <c r="G28" i="4"/>
  <c r="E28" i="4"/>
  <c r="C28" i="4"/>
  <c r="K27" i="4"/>
  <c r="I27" i="4"/>
  <c r="G27" i="4"/>
  <c r="E27" i="4"/>
  <c r="C27" i="4"/>
  <c r="K26" i="4"/>
  <c r="I26" i="4"/>
  <c r="G26" i="4"/>
  <c r="E26" i="4"/>
  <c r="C26" i="4"/>
  <c r="K25" i="4"/>
  <c r="I25" i="4"/>
  <c r="G25" i="4"/>
  <c r="E25" i="4"/>
  <c r="C25" i="4"/>
  <c r="K24" i="4"/>
  <c r="I24" i="4"/>
  <c r="G24" i="4"/>
  <c r="E24" i="4"/>
  <c r="C24" i="4"/>
  <c r="K23" i="4"/>
  <c r="I23" i="4"/>
  <c r="G23" i="4"/>
  <c r="E23" i="4"/>
  <c r="C23" i="4"/>
  <c r="K22" i="4"/>
  <c r="I22" i="4"/>
  <c r="G22" i="4"/>
  <c r="E22" i="4"/>
  <c r="C22" i="4"/>
  <c r="K21" i="4"/>
  <c r="I21" i="4"/>
  <c r="G21" i="4"/>
  <c r="E21" i="4"/>
  <c r="C21" i="4"/>
  <c r="K20" i="4"/>
  <c r="I20" i="4"/>
  <c r="G20" i="4"/>
  <c r="E20" i="4"/>
  <c r="C20" i="4"/>
  <c r="K19" i="4"/>
  <c r="I19" i="4"/>
  <c r="G19" i="4"/>
  <c r="E19" i="4"/>
  <c r="C19" i="4"/>
  <c r="K18" i="4"/>
  <c r="I18" i="4"/>
  <c r="G18" i="4"/>
  <c r="E18" i="4"/>
  <c r="C18" i="4"/>
  <c r="K17" i="4"/>
  <c r="I17" i="4"/>
  <c r="G17" i="4"/>
  <c r="E17" i="4"/>
  <c r="C17" i="4"/>
  <c r="K16" i="4"/>
  <c r="I16" i="4"/>
  <c r="G16" i="4"/>
  <c r="E16" i="4"/>
  <c r="C16" i="4"/>
  <c r="K41" i="2"/>
  <c r="G41" i="2"/>
  <c r="E41" i="2"/>
  <c r="C41" i="2"/>
  <c r="K40" i="2"/>
  <c r="G40" i="2"/>
  <c r="E40" i="2"/>
  <c r="C40" i="2"/>
  <c r="K39" i="2"/>
  <c r="G39" i="2"/>
  <c r="E39" i="2"/>
  <c r="C39" i="2"/>
  <c r="K38" i="2"/>
  <c r="G38" i="2"/>
  <c r="E38" i="2"/>
  <c r="C38" i="2"/>
  <c r="K34" i="2"/>
  <c r="G34" i="2"/>
  <c r="E34" i="2"/>
  <c r="C34" i="2"/>
  <c r="K33" i="2"/>
  <c r="G33" i="2"/>
  <c r="E33" i="2"/>
  <c r="C33" i="2"/>
  <c r="K32" i="2"/>
  <c r="I32" i="2"/>
  <c r="G32" i="2"/>
  <c r="E32" i="2"/>
  <c r="C32" i="2"/>
  <c r="K31" i="2"/>
  <c r="I31" i="2"/>
  <c r="G31" i="2"/>
  <c r="E31" i="2"/>
  <c r="C31" i="2"/>
  <c r="K30" i="2"/>
  <c r="I30" i="2"/>
  <c r="G30" i="2"/>
  <c r="E30" i="2"/>
  <c r="C30" i="2"/>
  <c r="K29" i="2"/>
  <c r="I29" i="2"/>
  <c r="G29" i="2"/>
  <c r="E29" i="2"/>
  <c r="C29" i="2"/>
  <c r="K28" i="2"/>
  <c r="I28" i="2"/>
  <c r="G28" i="2"/>
  <c r="E28" i="2"/>
  <c r="C28" i="2"/>
  <c r="K27" i="2"/>
  <c r="I27" i="2"/>
  <c r="G27" i="2"/>
  <c r="E27" i="2"/>
  <c r="C27" i="2"/>
  <c r="K26" i="2"/>
  <c r="I26" i="2"/>
  <c r="G26" i="2"/>
  <c r="E26" i="2"/>
  <c r="C26" i="2"/>
  <c r="K25" i="2"/>
  <c r="I25" i="2"/>
  <c r="G25" i="2"/>
  <c r="E25" i="2"/>
  <c r="C25" i="2"/>
  <c r="K24" i="2"/>
  <c r="I24" i="2"/>
  <c r="G24" i="2"/>
  <c r="E24" i="2"/>
  <c r="C24" i="2"/>
  <c r="K23" i="2"/>
  <c r="I23" i="2"/>
  <c r="G23" i="2"/>
  <c r="E23" i="2"/>
  <c r="C23" i="2"/>
  <c r="K22" i="2"/>
  <c r="I22" i="2"/>
  <c r="G22" i="2"/>
  <c r="E22" i="2"/>
  <c r="C22" i="2"/>
  <c r="K21" i="2"/>
  <c r="I21" i="2"/>
  <c r="G21" i="2"/>
  <c r="E21" i="2"/>
  <c r="C21" i="2"/>
  <c r="K20" i="2"/>
  <c r="I20" i="2"/>
  <c r="G20" i="2"/>
  <c r="E20" i="2"/>
  <c r="C20" i="2"/>
  <c r="K19" i="2"/>
  <c r="I19" i="2"/>
  <c r="G19" i="2"/>
  <c r="E19" i="2"/>
  <c r="C19" i="2"/>
  <c r="K18" i="2"/>
  <c r="I18" i="2"/>
  <c r="G18" i="2"/>
  <c r="E18" i="2"/>
  <c r="K17" i="2"/>
  <c r="I17" i="2"/>
  <c r="G17" i="2"/>
  <c r="E17" i="2"/>
  <c r="C17" i="2"/>
  <c r="K16" i="2"/>
  <c r="I16" i="2"/>
  <c r="G16" i="2"/>
  <c r="E16" i="2"/>
  <c r="C16" i="2"/>
  <c r="K15" i="2"/>
  <c r="I15" i="2"/>
  <c r="G15" i="2"/>
  <c r="E15" i="2"/>
  <c r="C15" i="2"/>
</calcChain>
</file>

<file path=xl/sharedStrings.xml><?xml version="1.0" encoding="utf-8"?>
<sst xmlns="http://schemas.openxmlformats.org/spreadsheetml/2006/main" count="222" uniqueCount="70">
  <si>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</si>
  <si>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</si>
  <si>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</si>
  <si>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</si>
  <si>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</si>
  <si>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</si>
  <si>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</si>
  <si>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</si>
  <si>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</si>
  <si>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</si>
  <si>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</si>
  <si>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</si>
  <si>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</si>
  <si>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</si>
  <si>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</si>
  <si>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</si>
  <si>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</si>
  <si>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</si>
  <si>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</si>
  <si>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1999/2000</t>
  </si>
  <si>
    <t xml:space="preserve"> 2000/01</t>
  </si>
  <si>
    <t xml:space="preserve"> 2001/02</t>
  </si>
  <si>
    <t xml:space="preserve"> 2002/03</t>
  </si>
  <si>
    <t xml:space="preserve"> 2003/04</t>
  </si>
  <si>
    <t xml:space="preserve"> 2004/05</t>
  </si>
  <si>
    <t xml:space="preserve"> 2005/06</t>
  </si>
  <si>
    <t xml:space="preserve"> 2007/08</t>
  </si>
  <si>
    <t xml:space="preserve"> 2008/09</t>
  </si>
  <si>
    <t xml:space="preserve"> 2009/10</t>
  </si>
  <si>
    <t xml:space="preserve"> 2010/11</t>
  </si>
  <si>
    <t xml:space="preserve"> 2011/12</t>
  </si>
  <si>
    <t xml:space="preserve"> 2012/13</t>
  </si>
  <si>
    <t xml:space="preserve"> 2013/14</t>
  </si>
  <si>
    <t xml:space="preserve"> 2014/15</t>
  </si>
  <si>
    <t xml:space="preserve"> 2015/16</t>
  </si>
  <si>
    <t xml:space="preserve"> 2016/17</t>
  </si>
  <si>
    <t xml:space="preserve"> 2017/18</t>
  </si>
  <si>
    <r>
      <t xml:space="preserve">Source: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issues.</t>
    </r>
  </si>
  <si>
    <t>Florida</t>
  </si>
  <si>
    <t>California</t>
  </si>
  <si>
    <t>Texas</t>
  </si>
  <si>
    <t>Arizona</t>
  </si>
  <si>
    <t>United States</t>
  </si>
  <si>
    <t>Bearing</t>
  </si>
  <si>
    <t>Yield per</t>
  </si>
  <si>
    <r>
      <t xml:space="preserve">     </t>
    </r>
    <r>
      <rPr>
        <vertAlign val="superscript"/>
        <sz val="8"/>
        <rFont val="Helvetica"/>
      </rPr>
      <t>2</t>
    </r>
  </si>
  <si>
    <t xml:space="preserve"> 1988/89 </t>
  </si>
  <si>
    <t xml:space="preserve"> 1989/90 </t>
  </si>
  <si>
    <t xml:space="preserve"> 1990/91 </t>
  </si>
  <si>
    <r>
      <t xml:space="preserve">     </t>
    </r>
    <r>
      <rPr>
        <vertAlign val="superscript"/>
        <sz val="8"/>
        <rFont val="Helvetica"/>
      </rPr>
      <t>3</t>
    </r>
  </si>
  <si>
    <t xml:space="preserve"> 2006/07</t>
  </si>
  <si>
    <t xml:space="preserve">      na</t>
  </si>
  <si>
    <t xml:space="preserve"> na = not available.</t>
  </si>
  <si>
    <r>
      <t xml:space="preserve">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in Arizona and California; September in Florida; and October in Texas.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Due to the severe freeze of December 1983, </t>
    </r>
  </si>
  <si>
    <r>
      <t xml:space="preserve"> no commercial supplies were harvested.</t>
    </r>
    <r>
      <rPr>
        <vertAlign val="superscript"/>
        <sz val="7"/>
        <rFont val="Helvetica"/>
      </rPr>
      <t xml:space="preserve"> 3 </t>
    </r>
    <r>
      <rPr>
        <sz val="7"/>
        <rFont val="Helvetica"/>
        <family val="2"/>
      </rPr>
      <t>Due to the severe freeze of December 1989, no commercial supplies were harvested.</t>
    </r>
  </si>
  <si>
    <r>
      <t xml:space="preserve">Sources: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issues; and USDA, Economic Research Service.</t>
    </r>
  </si>
  <si>
    <t>Bearing Acreage (1000 acres)</t>
  </si>
  <si>
    <t>Yield per Acre (short tons)</t>
  </si>
  <si>
    <t>Season</t>
  </si>
  <si>
    <t>Grapefruit: Bearing acreage and yield per acre, by State, 1980/81 to date</t>
  </si>
  <si>
    <r>
      <rPr>
        <vertAlign val="superscript"/>
        <sz val="7"/>
        <rFont val="Helvetica"/>
        <family val="2"/>
      </rPr>
      <t>1</t>
    </r>
    <r>
      <rPr>
        <sz val="7"/>
        <rFont val="Helvetica"/>
        <family val="2"/>
      </rPr>
      <t xml:space="preserve"> Season begins in September for Arizona and in August for California. </t>
    </r>
    <r>
      <rPr>
        <vertAlign val="superscript"/>
        <sz val="7"/>
        <rFont val="Helvetica"/>
        <family val="2"/>
      </rPr>
      <t>2</t>
    </r>
    <r>
      <rPr>
        <sz val="7"/>
        <rFont val="Helvetica"/>
        <family val="2"/>
      </rPr>
      <t xml:space="preserve"> Some figures may not add due to rounding.</t>
    </r>
  </si>
  <si>
    <t>Lemons: Acreage, yield per acre, and production, by State, 1980/81 to date</t>
  </si>
  <si>
    <r>
      <t xml:space="preserve"> Season </t>
    </r>
    <r>
      <rPr>
        <vertAlign val="superscript"/>
        <sz val="8"/>
        <rFont val="Helvetica"/>
        <family val="2"/>
      </rPr>
      <t>1</t>
    </r>
  </si>
  <si>
    <r>
      <t xml:space="preserve">      </t>
    </r>
    <r>
      <rPr>
        <vertAlign val="superscript"/>
        <sz val="8"/>
        <rFont val="Helvetica"/>
        <family val="2"/>
      </rPr>
      <t xml:space="preserve">   2</t>
    </r>
  </si>
  <si>
    <r>
      <t xml:space="preserve">      </t>
    </r>
    <r>
      <rPr>
        <vertAlign val="superscript"/>
        <sz val="8"/>
        <rFont val="Helvetica"/>
        <family val="2"/>
      </rPr>
      <t xml:space="preserve">   3</t>
    </r>
  </si>
  <si>
    <t xml:space="preserve">     na</t>
  </si>
  <si>
    <t>Oranges: Bearing acreage and yield per acre, by State, 1980/81 to date</t>
  </si>
  <si>
    <t>na = not available.</t>
  </si>
  <si>
    <r>
      <rPr>
        <vertAlign val="superscript"/>
        <sz val="7"/>
        <rFont val="Helvetica"/>
        <family val="2"/>
      </rPr>
      <t>1</t>
    </r>
    <r>
      <rPr>
        <sz val="7"/>
        <rFont val="Helvetica"/>
        <family val="2"/>
      </rPr>
      <t xml:space="preserve"> Season begins in November for Arizona and California, and in October for Florida and Texas. </t>
    </r>
    <r>
      <rPr>
        <vertAlign val="superscript"/>
        <sz val="7"/>
        <rFont val="Helvetica"/>
        <family val="2"/>
      </rPr>
      <t>2</t>
    </r>
    <r>
      <rPr>
        <sz val="7"/>
        <rFont val="Helvetica"/>
        <family val="2"/>
      </rPr>
      <t xml:space="preserve"> Due to the severe freeze of December 1983, no commercial</t>
    </r>
  </si>
  <si>
    <r>
      <t xml:space="preserve">supplies were harvested. </t>
    </r>
    <r>
      <rPr>
        <vertAlign val="superscript"/>
        <sz val="7"/>
        <rFont val="Helvetica"/>
        <family val="2"/>
      </rPr>
      <t xml:space="preserve"> 3 </t>
    </r>
    <r>
      <rPr>
        <sz val="7"/>
        <rFont val="Helvetica"/>
        <family val="2"/>
      </rPr>
      <t>Due to the severe freeze of December 1989, no commercial supplies were harvested.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</si>
</sst>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___)"/>
    <numFmt numFmtId="167" formatCode="0.00___)"/>
    <numFmt numFmtId="168" formatCode="0.0_)"/>
  </numFmts>
  <fonts count="8">
    <font>
      <sz val="12"/>
      <color theme="1"/>
      <name val="Calibri"/>
      <family val="2"/>
      <scheme val="minor"/>
    </font>
    <font>
      <sz val="8"/>
      <name val="Helvetica"/>
      <family val="2"/>
    </font>
    <font>
      <sz val="7"/>
      <name val="Helvetica"/>
      <family val="2"/>
    </font>
    <font>
      <vertAlign val="superscript"/>
      <sz val="7"/>
      <name val="Helvetica"/>
    </font>
    <font>
      <i/>
      <sz val="7"/>
      <name val="Helvetica"/>
      <family val="2"/>
    </font>
    <font>
      <vertAlign val="superscript"/>
      <sz val="8"/>
      <name val="Helvetica"/>
    </font>
    <font>
      <vertAlign val="superscript"/>
      <sz val="8"/>
      <name val="Helvetica"/>
      <family val="2"/>
    </font>
    <font>
      <vertAlign val="superscript"/>
      <sz val="7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2" xfId="0" quotePrefix="1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/>
    <xf numFmtId="0" fontId="1" fillId="0" borderId="1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66" fontId="1" fillId="0" borderId="0" xfId="0" applyNumberFormat="1" applyFont="1" applyBorder="1" applyProtection="1"/>
    <xf numFmtId="167" fontId="1" fillId="0" borderId="0" xfId="0" applyNumberFormat="1" applyFont="1" applyBorder="1" applyProtection="1"/>
    <xf numFmtId="0" fontId="2" fillId="0" borderId="0" xfId="0" applyFont="1" applyBorder="1" applyAlignment="1">
      <alignment horizontal="left"/>
    </xf>
    <xf numFmtId="166" fontId="2" fillId="0" borderId="0" xfId="0" applyNumberFormat="1" applyFont="1" applyBorder="1" applyProtection="1"/>
    <xf numFmtId="167" fontId="2" fillId="0" borderId="0" xfId="0" applyNumberFormat="1" applyFont="1" applyBorder="1" applyProtection="1"/>
    <xf numFmtId="166" fontId="2" fillId="0" borderId="0" xfId="0" quotePrefix="1" applyNumberFormat="1" applyFont="1" applyBorder="1" applyAlignment="1" applyProtection="1">
      <alignment horizontal="center"/>
    </xf>
    <xf numFmtId="0" fontId="2" fillId="0" borderId="0" xfId="0" applyFont="1"/>
    <xf numFmtId="168" fontId="1" fillId="0" borderId="0" xfId="0" applyNumberFormat="1" applyFont="1" applyProtection="1"/>
    <xf numFmtId="0" fontId="2" fillId="0" borderId="0" xfId="0" quotePrefix="1" applyFont="1" applyAlignment="1">
      <alignment horizontal="left"/>
    </xf>
    <xf numFmtId="167" fontId="1" fillId="0" borderId="0" xfId="0" applyNumberFormat="1" applyFont="1" applyAlignment="1" applyProtection="1">
      <alignment horizontal="right"/>
    </xf>
    <xf numFmtId="166" fontId="1" fillId="0" borderId="0" xfId="0" applyNumberFormat="1" applyFont="1" applyAlignment="1" applyProtection="1">
      <alignment horizontal="right"/>
    </xf>
    <xf numFmtId="0" fontId="1" fillId="0" borderId="0" xfId="0" applyFont="1" applyAlignment="1">
      <alignment horizontal="right"/>
    </xf>
    <xf numFmtId="49" fontId="1" fillId="0" borderId="0" xfId="0" quotePrefix="1" applyNumberFormat="1" applyFont="1" applyAlignment="1" applyProtection="1">
      <alignment horizontal="right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Border="1" applyAlignment="1" applyProtection="1">
      <alignment horizontal="right"/>
    </xf>
    <xf numFmtId="166" fontId="1" fillId="0" borderId="0" xfId="0" applyNumberFormat="1" applyFont="1" applyBorder="1" applyAlignment="1" applyProtection="1">
      <alignment horizontal="right"/>
    </xf>
    <xf numFmtId="0" fontId="1" fillId="0" borderId="0" xfId="0" applyFont="1" applyBorder="1" applyAlignment="1">
      <alignment horizontal="right"/>
    </xf>
    <xf numFmtId="168" fontId="1" fillId="0" borderId="0" xfId="0" applyNumberFormat="1" applyFont="1" applyBorder="1" applyProtection="1"/>
    <xf numFmtId="0" fontId="1" fillId="0" borderId="0" xfId="0" quotePrefix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6" fontId="1" fillId="0" borderId="0" xfId="0" applyNumberFormat="1" applyFont="1" applyFill="1" applyBorder="1" applyAlignment="1" applyProtection="1">
      <alignment horizontal="right"/>
    </xf>
    <xf numFmtId="167" fontId="1" fillId="0" borderId="0" xfId="0" applyNumberFormat="1" applyFont="1" applyFill="1" applyBorder="1" applyAlignment="1" applyProtection="1">
      <alignment horizontal="right"/>
    </xf>
    <xf numFmtId="0" fontId="1" fillId="0" borderId="0" xfId="0" quotePrefix="1" applyFont="1" applyFill="1" applyBorder="1" applyAlignment="1">
      <alignment horizontal="right"/>
    </xf>
    <xf numFmtId="0" fontId="1" fillId="0" borderId="2" xfId="0" quotePrefix="1" applyFont="1" applyFill="1" applyBorder="1" applyAlignment="1">
      <alignment horizontal="right"/>
    </xf>
    <xf numFmtId="166" fontId="1" fillId="0" borderId="2" xfId="0" applyNumberFormat="1" applyFont="1" applyFill="1" applyBorder="1" applyAlignment="1" applyProtection="1">
      <alignment horizontal="right"/>
    </xf>
    <xf numFmtId="167" fontId="1" fillId="0" borderId="2" xfId="0" applyNumberFormat="1" applyFont="1" applyFill="1" applyBorder="1" applyAlignment="1" applyProtection="1">
      <alignment horizontal="right"/>
    </xf>
    <xf numFmtId="0" fontId="2" fillId="0" borderId="0" xfId="0" quotePrefix="1" applyFont="1" applyBorder="1" applyAlignment="1">
      <alignment horizontal="left"/>
    </xf>
    <xf numFmtId="168" fontId="1" fillId="0" borderId="0" xfId="0" applyNumberFormat="1" applyFont="1" applyAlignment="1" applyProtection="1">
      <alignment horizontal="right"/>
    </xf>
    <xf numFmtId="167" fontId="1" fillId="0" borderId="0" xfId="0" quotePrefix="1" applyNumberFormat="1" applyFont="1" applyAlignment="1" applyProtection="1">
      <alignment horizontal="right"/>
    </xf>
    <xf numFmtId="168" fontId="1" fillId="0" borderId="0" xfId="0" applyNumberFormat="1" applyFont="1" applyBorder="1" applyAlignment="1" applyProtection="1">
      <alignment horizontal="right"/>
    </xf>
    <xf numFmtId="0" fontId="1" fillId="0" borderId="2" xfId="0" applyFont="1" applyBorder="1" applyAlignment="1">
      <alignment horizontal="right"/>
    </xf>
    <xf numFmtId="166" fontId="1" fillId="0" borderId="2" xfId="0" applyNumberFormat="1" applyFont="1" applyBorder="1" applyAlignment="1" applyProtection="1">
      <alignment horizontal="right"/>
    </xf>
    <xf numFmtId="167" fontId="1" fillId="0" borderId="2" xfId="0" applyNumberFormat="1" applyFont="1" applyBorder="1" applyAlignment="1" applyProtection="1">
      <alignment horizontal="right"/>
    </xf>
    <xf numFmtId="168" fontId="1" fillId="0" borderId="2" xfId="0" applyNumberFormat="1" applyFont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C5AE-5958-0D43-8532-7E631927AAD7}">
  <dimension ref="A1:K45"/>
  <sheetViews>
    <sheetView zoomScale="130" zoomScaleNormal="130" workbookViewId="0">
      <selection activeCell="M10" sqref="M10"/>
    </sheetView>
  </sheetViews>
  <sheetFormatPr baseColWidth="10" defaultRowHeight="16"/>
  <sheetData>
    <row r="1" spans="1:11">
      <c r="A1" s="1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3"/>
      <c r="B2" s="7" t="s">
        <v>38</v>
      </c>
      <c r="C2" s="7"/>
      <c r="D2" s="7" t="s">
        <v>39</v>
      </c>
      <c r="E2" s="7"/>
      <c r="F2" s="7" t="s">
        <v>40</v>
      </c>
      <c r="G2" s="7"/>
      <c r="H2" s="7" t="s">
        <v>41</v>
      </c>
      <c r="I2" s="7"/>
      <c r="J2" s="7" t="s">
        <v>42</v>
      </c>
      <c r="K2" s="7"/>
    </row>
    <row r="3" spans="1:11">
      <c r="A3" s="8" t="s">
        <v>58</v>
      </c>
      <c r="B3" s="8" t="s">
        <v>56</v>
      </c>
      <c r="C3" s="8" t="s">
        <v>57</v>
      </c>
      <c r="D3" s="8" t="s">
        <v>56</v>
      </c>
      <c r="E3" s="8" t="s">
        <v>57</v>
      </c>
      <c r="F3" s="8" t="s">
        <v>56</v>
      </c>
      <c r="G3" s="8" t="s">
        <v>57</v>
      </c>
      <c r="H3" s="8" t="s">
        <v>56</v>
      </c>
      <c r="I3" s="8" t="s">
        <v>57</v>
      </c>
      <c r="J3" s="8" t="s">
        <v>56</v>
      </c>
      <c r="K3" s="8" t="s">
        <v>57</v>
      </c>
    </row>
    <row r="4" spans="1:11">
      <c r="A4" s="21" t="s">
        <v>0</v>
      </c>
      <c r="B4" s="20">
        <v>125.6</v>
      </c>
      <c r="C4" s="19">
        <v>17.022292993630575</v>
      </c>
      <c r="D4" s="20">
        <v>21.8</v>
      </c>
      <c r="E4" s="19">
        <v>12.064220183486238</v>
      </c>
      <c r="F4" s="20">
        <v>41.5</v>
      </c>
      <c r="G4" s="19">
        <v>6.4578313253012052</v>
      </c>
      <c r="H4" s="20">
        <v>8.1</v>
      </c>
      <c r="I4" s="19">
        <v>11.111111111111111</v>
      </c>
      <c r="J4" s="20">
        <v>197</v>
      </c>
      <c r="K4" s="19">
        <v>14.00507614213198</v>
      </c>
    </row>
    <row r="5" spans="1:11">
      <c r="A5" s="21" t="s">
        <v>1</v>
      </c>
      <c r="B5" s="20">
        <v>127.8</v>
      </c>
      <c r="C5" s="19">
        <v>15.993740219092333</v>
      </c>
      <c r="D5" s="20">
        <v>22</v>
      </c>
      <c r="E5" s="19">
        <v>9.1363636363636367</v>
      </c>
      <c r="F5" s="20">
        <v>41.1</v>
      </c>
      <c r="G5" s="19">
        <v>13.527980535279806</v>
      </c>
      <c r="H5" s="20">
        <v>8.1999999999999993</v>
      </c>
      <c r="I5" s="19">
        <v>9.3902439024390247</v>
      </c>
      <c r="J5" s="20">
        <v>199.1</v>
      </c>
      <c r="K5" s="19">
        <v>14.455047714716223</v>
      </c>
    </row>
    <row r="6" spans="1:11">
      <c r="A6" s="21" t="s">
        <v>2</v>
      </c>
      <c r="B6" s="20">
        <v>128.6</v>
      </c>
      <c r="C6" s="19">
        <v>13.01710730948678</v>
      </c>
      <c r="D6" s="20">
        <v>21.7</v>
      </c>
      <c r="E6" s="19">
        <v>10.967741935483872</v>
      </c>
      <c r="F6" s="20">
        <v>42.2</v>
      </c>
      <c r="G6" s="19">
        <v>10.616113744075829</v>
      </c>
      <c r="H6" s="20">
        <v>6.8</v>
      </c>
      <c r="I6" s="19">
        <v>15.44</v>
      </c>
      <c r="J6" s="20">
        <v>199.3</v>
      </c>
      <c r="K6" s="19">
        <v>12.37</v>
      </c>
    </row>
    <row r="7" spans="1:11">
      <c r="A7" s="21" t="s">
        <v>3</v>
      </c>
      <c r="B7" s="20">
        <v>119.6</v>
      </c>
      <c r="C7" s="19">
        <v>14.531772575250837</v>
      </c>
      <c r="D7" s="20">
        <v>21.9</v>
      </c>
      <c r="E7" s="19">
        <v>10.87</v>
      </c>
      <c r="F7" s="20">
        <v>43.3</v>
      </c>
      <c r="G7" s="19">
        <v>2.956120092378753</v>
      </c>
      <c r="H7" s="20">
        <v>6.8</v>
      </c>
      <c r="I7" s="19">
        <v>11.77</v>
      </c>
      <c r="J7" s="20">
        <v>191.6</v>
      </c>
      <c r="K7" s="19">
        <v>11.4</v>
      </c>
    </row>
    <row r="8" spans="1:11">
      <c r="A8" s="21" t="s">
        <v>4</v>
      </c>
      <c r="B8" s="20">
        <v>115.5</v>
      </c>
      <c r="C8" s="19">
        <v>16.19047619047619</v>
      </c>
      <c r="D8" s="20">
        <v>21.1</v>
      </c>
      <c r="E8" s="19">
        <v>13.696682464454975</v>
      </c>
      <c r="F8" s="20">
        <v>19.100000000000001</v>
      </c>
      <c r="G8" s="22" t="s">
        <v>45</v>
      </c>
      <c r="H8" s="20">
        <v>7.1</v>
      </c>
      <c r="I8" s="19">
        <v>15.07</v>
      </c>
      <c r="J8" s="20">
        <v>162.80000000000001</v>
      </c>
      <c r="K8" s="19">
        <v>13.92</v>
      </c>
    </row>
    <row r="9" spans="1:11">
      <c r="A9" s="21" t="s">
        <v>5</v>
      </c>
      <c r="B9" s="20">
        <v>105.1</v>
      </c>
      <c r="C9" s="19">
        <v>18.905803996194102</v>
      </c>
      <c r="D9" s="20">
        <v>20.9</v>
      </c>
      <c r="E9" s="19">
        <v>12.727272727272728</v>
      </c>
      <c r="F9" s="20">
        <v>13.5</v>
      </c>
      <c r="G9" s="19">
        <v>0.67</v>
      </c>
      <c r="H9" s="20">
        <v>5.7</v>
      </c>
      <c r="I9" s="19">
        <v>15.79</v>
      </c>
      <c r="J9" s="20">
        <v>145.19999999999999</v>
      </c>
      <c r="K9" s="19">
        <v>16.2</v>
      </c>
    </row>
    <row r="10" spans="1:11">
      <c r="A10" s="21" t="s">
        <v>6</v>
      </c>
      <c r="B10" s="20">
        <v>106</v>
      </c>
      <c r="C10" s="19">
        <v>19.962264150943398</v>
      </c>
      <c r="D10" s="20">
        <v>20.8</v>
      </c>
      <c r="E10" s="19">
        <v>14.663461538461538</v>
      </c>
      <c r="F10" s="20">
        <v>15.2</v>
      </c>
      <c r="G10" s="19">
        <v>5.16</v>
      </c>
      <c r="H10" s="20">
        <v>5.9</v>
      </c>
      <c r="I10" s="19">
        <v>14.92</v>
      </c>
      <c r="J10" s="20">
        <v>147.9</v>
      </c>
      <c r="K10" s="19">
        <v>17.489999999999998</v>
      </c>
    </row>
    <row r="11" spans="1:11">
      <c r="A11" s="21" t="s">
        <v>7</v>
      </c>
      <c r="B11" s="20">
        <v>106</v>
      </c>
      <c r="C11" s="19">
        <v>21.59433962264151</v>
      </c>
      <c r="D11" s="20">
        <v>20.7</v>
      </c>
      <c r="E11" s="19">
        <v>14.396135265700483</v>
      </c>
      <c r="F11" s="20">
        <v>16</v>
      </c>
      <c r="G11" s="19">
        <v>9.5</v>
      </c>
      <c r="H11" s="20">
        <v>6</v>
      </c>
      <c r="I11" s="19">
        <v>10.333333333333334</v>
      </c>
      <c r="J11" s="20">
        <v>148.69999999999999</v>
      </c>
      <c r="K11" s="19">
        <v>18.836583725622059</v>
      </c>
    </row>
    <row r="12" spans="1:11">
      <c r="A12" s="21" t="s">
        <v>46</v>
      </c>
      <c r="B12" s="20">
        <v>106.9</v>
      </c>
      <c r="C12" s="19">
        <v>21.76800748362956</v>
      </c>
      <c r="D12" s="20">
        <v>19.899999999999999</v>
      </c>
      <c r="E12" s="19">
        <v>13.216080402010052</v>
      </c>
      <c r="F12" s="20">
        <v>16.899999999999999</v>
      </c>
      <c r="G12" s="19">
        <v>11.360946745562131</v>
      </c>
      <c r="H12" s="20">
        <v>6.5</v>
      </c>
      <c r="I12" s="19">
        <v>9.5384615384615383</v>
      </c>
      <c r="J12" s="20">
        <v>150.19999999999999</v>
      </c>
      <c r="K12" s="19">
        <v>18.934753661784285</v>
      </c>
    </row>
    <row r="13" spans="1:11">
      <c r="A13" s="21" t="s">
        <v>47</v>
      </c>
      <c r="B13" s="20">
        <v>103</v>
      </c>
      <c r="C13" s="19">
        <v>14.737864077669903</v>
      </c>
      <c r="D13" s="20">
        <v>19.2</v>
      </c>
      <c r="E13" s="19">
        <v>16.145833333333336</v>
      </c>
      <c r="F13" s="20">
        <v>18.7</v>
      </c>
      <c r="G13" s="19">
        <v>4.2780748663101607</v>
      </c>
      <c r="H13" s="20">
        <v>6.4</v>
      </c>
      <c r="I13" s="19">
        <v>10.9375</v>
      </c>
      <c r="J13" s="20">
        <v>147.30000000000001</v>
      </c>
      <c r="K13" s="19">
        <v>13.428377460964018</v>
      </c>
    </row>
    <row r="14" spans="1:11">
      <c r="A14" s="21" t="s">
        <v>48</v>
      </c>
      <c r="B14" s="20">
        <v>104.2</v>
      </c>
      <c r="C14" s="19">
        <v>18.397312859884835</v>
      </c>
      <c r="D14" s="20">
        <v>18.3</v>
      </c>
      <c r="E14" s="19">
        <v>14.316939890710382</v>
      </c>
      <c r="F14" s="20">
        <v>4.5</v>
      </c>
      <c r="G14" s="22" t="s">
        <v>49</v>
      </c>
      <c r="H14" s="20">
        <v>6.2</v>
      </c>
      <c r="I14" s="19">
        <v>12.419354838709678</v>
      </c>
      <c r="J14" s="20">
        <v>133.19999999999999</v>
      </c>
      <c r="K14" s="19">
        <v>16.936936936936938</v>
      </c>
    </row>
    <row r="15" spans="1:11">
      <c r="A15" s="21" t="s">
        <v>11</v>
      </c>
      <c r="B15" s="20">
        <v>104.7</v>
      </c>
      <c r="C15" s="19">
        <f>405*85/2000</f>
        <v>17.212499999999999</v>
      </c>
      <c r="D15" s="20">
        <v>18.5</v>
      </c>
      <c r="E15" s="19">
        <f>541*67/2000</f>
        <v>18.1235</v>
      </c>
      <c r="F15" s="20">
        <v>7.5</v>
      </c>
      <c r="G15" s="19">
        <f>9*80/2000</f>
        <v>0.36</v>
      </c>
      <c r="H15" s="20">
        <v>5.9</v>
      </c>
      <c r="I15" s="19">
        <f>475*67/2000</f>
        <v>15.9125</v>
      </c>
      <c r="J15" s="20">
        <v>136.6</v>
      </c>
      <c r="K15" s="19">
        <f>2224/J15</f>
        <v>16.281112737920939</v>
      </c>
    </row>
    <row r="16" spans="1:11">
      <c r="A16" s="21" t="s">
        <v>12</v>
      </c>
      <c r="B16" s="20">
        <v>111.9</v>
      </c>
      <c r="C16" s="19">
        <f>493*85/2000</f>
        <v>20.952500000000001</v>
      </c>
      <c r="D16" s="20">
        <v>17.8</v>
      </c>
      <c r="E16" s="19">
        <f>517*67/2000</f>
        <v>17.319500000000001</v>
      </c>
      <c r="F16" s="20">
        <v>10.09</v>
      </c>
      <c r="G16" s="19">
        <f>186*80/2000</f>
        <v>7.44</v>
      </c>
      <c r="H16" s="20">
        <v>5.8</v>
      </c>
      <c r="I16" s="19">
        <f>371*67/2000</f>
        <v>12.4285</v>
      </c>
      <c r="J16" s="20">
        <v>145.6</v>
      </c>
      <c r="K16" s="19">
        <f>2791/J16</f>
        <v>19.168956043956044</v>
      </c>
    </row>
    <row r="17" spans="1:11">
      <c r="A17" s="21" t="s">
        <v>13</v>
      </c>
      <c r="B17" s="20">
        <v>118.3</v>
      </c>
      <c r="C17" s="19">
        <f>432*85/2000</f>
        <v>18.36</v>
      </c>
      <c r="D17" s="20">
        <v>18</v>
      </c>
      <c r="E17" s="19">
        <f>517*67/2000</f>
        <v>17.319500000000001</v>
      </c>
      <c r="F17" s="20">
        <v>12.76</v>
      </c>
      <c r="G17" s="19">
        <f>235*80/2000</f>
        <v>9.4</v>
      </c>
      <c r="H17" s="20">
        <v>5.6</v>
      </c>
      <c r="I17" s="19">
        <f>313*67/2000</f>
        <v>10.4855</v>
      </c>
      <c r="J17" s="20">
        <v>154.69999999999999</v>
      </c>
      <c r="K17" s="19">
        <f>2661/J17</f>
        <v>17.201034259857792</v>
      </c>
    </row>
    <row r="18" spans="1:11">
      <c r="A18" s="21" t="s">
        <v>14</v>
      </c>
      <c r="B18" s="20">
        <v>127.3</v>
      </c>
      <c r="C18" s="19">
        <v>18.62</v>
      </c>
      <c r="D18" s="23">
        <v>18.399999999999999</v>
      </c>
      <c r="E18" s="19">
        <f>505*67/2000</f>
        <v>16.9175</v>
      </c>
      <c r="F18" s="20">
        <v>15</v>
      </c>
      <c r="G18" s="19">
        <f>311*80/2000</f>
        <v>12.44</v>
      </c>
      <c r="H18" s="23">
        <v>5.4</v>
      </c>
      <c r="I18" s="19">
        <f>259*67/2000</f>
        <v>8.6765000000000008</v>
      </c>
      <c r="J18" s="20">
        <v>166.1</v>
      </c>
      <c r="K18" s="19">
        <f>2912/J18</f>
        <v>17.531607465382301</v>
      </c>
    </row>
    <row r="19" spans="1:11">
      <c r="A19" s="26" t="s">
        <v>15</v>
      </c>
      <c r="B19" s="25">
        <v>132.80000000000001</v>
      </c>
      <c r="C19" s="24">
        <f>394*85/2000</f>
        <v>16.745000000000001</v>
      </c>
      <c r="D19" s="25">
        <v>18.8</v>
      </c>
      <c r="E19" s="24">
        <f>431*67/2000</f>
        <v>14.438499999999999</v>
      </c>
      <c r="F19" s="25">
        <v>17.7</v>
      </c>
      <c r="G19" s="24">
        <f>257*80/2000</f>
        <v>10.28</v>
      </c>
      <c r="H19" s="25">
        <v>5</v>
      </c>
      <c r="I19" s="24">
        <f>240*67/2000</f>
        <v>8.0399999999999991</v>
      </c>
      <c r="J19" s="25">
        <v>174.3</v>
      </c>
      <c r="K19" s="24">
        <f>2718/J19</f>
        <v>15.59380378657487</v>
      </c>
    </row>
    <row r="20" spans="1:11">
      <c r="A20" s="26" t="s">
        <v>16</v>
      </c>
      <c r="B20" s="25">
        <v>139.19999999999999</v>
      </c>
      <c r="C20" s="24">
        <f>401*85/2000</f>
        <v>17.0425</v>
      </c>
      <c r="D20" s="25">
        <v>18</v>
      </c>
      <c r="E20" s="24">
        <f>456*67/2000</f>
        <v>15.276</v>
      </c>
      <c r="F20" s="25">
        <v>20.399999999999999</v>
      </c>
      <c r="G20" s="24">
        <f>260*80/2000</f>
        <v>10.4</v>
      </c>
      <c r="H20" s="25">
        <v>4.4000000000000004</v>
      </c>
      <c r="I20" s="24">
        <f>182*67/2000</f>
        <v>6.0970000000000004</v>
      </c>
      <c r="J20" s="25">
        <v>182</v>
      </c>
      <c r="K20" s="24">
        <f>2885/J20</f>
        <v>15.851648351648352</v>
      </c>
    </row>
    <row r="21" spans="1:11">
      <c r="A21" s="26" t="s">
        <v>17</v>
      </c>
      <c r="B21" s="25">
        <v>127.8</v>
      </c>
      <c r="C21" s="24">
        <f>388*85/2000</f>
        <v>16.489999999999998</v>
      </c>
      <c r="D21" s="25">
        <v>16.8</v>
      </c>
      <c r="E21" s="24">
        <f>476*67/2000</f>
        <v>15.946</v>
      </c>
      <c r="F21" s="25">
        <v>21.3</v>
      </c>
      <c r="G21" s="24">
        <f>225*80/2000</f>
        <v>9</v>
      </c>
      <c r="H21" s="25">
        <v>4</v>
      </c>
      <c r="I21" s="24">
        <f>200*67/2000</f>
        <v>6.7</v>
      </c>
      <c r="J21" s="25">
        <v>169.9</v>
      </c>
      <c r="K21" s="24">
        <f>2593/J21</f>
        <v>15.261918775750441</v>
      </c>
    </row>
    <row r="22" spans="1:11">
      <c r="A22" s="26" t="s">
        <v>18</v>
      </c>
      <c r="B22" s="25">
        <v>116.6</v>
      </c>
      <c r="C22" s="24">
        <f>404*85/2000</f>
        <v>17.170000000000002</v>
      </c>
      <c r="D22" s="25">
        <v>16.600000000000001</v>
      </c>
      <c r="E22" s="24">
        <f>440*67/2000</f>
        <v>14.74</v>
      </c>
      <c r="F22" s="25">
        <v>20</v>
      </c>
      <c r="G22" s="24">
        <f>305*80/2000</f>
        <v>12.2</v>
      </c>
      <c r="H22" s="25">
        <v>3.3</v>
      </c>
      <c r="I22" s="24">
        <f>227*67/2000</f>
        <v>7.6044999999999998</v>
      </c>
      <c r="J22" s="25">
        <v>156.5</v>
      </c>
      <c r="K22" s="24">
        <f>2513/J22</f>
        <v>16.057507987220447</v>
      </c>
    </row>
    <row r="23" spans="1:11">
      <c r="A23" s="28" t="s">
        <v>19</v>
      </c>
      <c r="B23" s="25">
        <v>114.1</v>
      </c>
      <c r="C23" s="24">
        <f>468*85/2000</f>
        <v>19.89</v>
      </c>
      <c r="D23" s="25">
        <v>16.600000000000001</v>
      </c>
      <c r="E23" s="24">
        <f>434*67/2000</f>
        <v>14.539</v>
      </c>
      <c r="F23" s="25">
        <v>20</v>
      </c>
      <c r="G23" s="24">
        <f>297*80/2000</f>
        <v>11.88</v>
      </c>
      <c r="H23" s="25">
        <v>2.8</v>
      </c>
      <c r="I23" s="24">
        <f>161*67/2000</f>
        <v>5.3935000000000004</v>
      </c>
      <c r="J23" s="25">
        <v>153.5</v>
      </c>
      <c r="K23" s="24">
        <f>2763/J23</f>
        <v>18</v>
      </c>
    </row>
    <row r="24" spans="1:11">
      <c r="A24" s="28" t="s">
        <v>20</v>
      </c>
      <c r="B24" s="25">
        <v>107.8</v>
      </c>
      <c r="C24" s="24">
        <f>427*85/2000</f>
        <v>18.147500000000001</v>
      </c>
      <c r="D24" s="25">
        <v>15.4</v>
      </c>
      <c r="E24" s="24">
        <f>409*67/2000</f>
        <v>13.701499999999999</v>
      </c>
      <c r="F24" s="25">
        <v>20</v>
      </c>
      <c r="G24" s="24">
        <f>360*80/2000</f>
        <v>14.4</v>
      </c>
      <c r="H24" s="25">
        <v>2</v>
      </c>
      <c r="I24" s="24">
        <f>125*67/2000</f>
        <v>4.1875</v>
      </c>
      <c r="J24" s="25">
        <v>145.19999999999999</v>
      </c>
      <c r="K24" s="24">
        <f>2462/J24</f>
        <v>16.955922865013775</v>
      </c>
    </row>
    <row r="25" spans="1:11">
      <c r="A25" s="28" t="s">
        <v>21</v>
      </c>
      <c r="B25" s="25">
        <v>101.3</v>
      </c>
      <c r="C25" s="24">
        <f>461*85/2000</f>
        <v>19.592500000000001</v>
      </c>
      <c r="D25" s="25">
        <v>14</v>
      </c>
      <c r="E25" s="24">
        <f>421*67/2000</f>
        <v>14.1035</v>
      </c>
      <c r="F25" s="25">
        <v>19</v>
      </c>
      <c r="G25" s="24">
        <f>311*80/2000</f>
        <v>12.44</v>
      </c>
      <c r="H25" s="25">
        <v>2</v>
      </c>
      <c r="I25" s="24">
        <f>80*67/2000</f>
        <v>2.68</v>
      </c>
      <c r="J25" s="25">
        <v>136.30000000000001</v>
      </c>
      <c r="K25" s="24">
        <f>2424/J25</f>
        <v>17.784299339691856</v>
      </c>
    </row>
    <row r="26" spans="1:11">
      <c r="A26" s="28" t="s">
        <v>22</v>
      </c>
      <c r="B26" s="25">
        <v>95.5</v>
      </c>
      <c r="C26" s="24">
        <f>405*85/2000</f>
        <v>17.212499999999999</v>
      </c>
      <c r="D26" s="25">
        <v>13</v>
      </c>
      <c r="E26" s="24">
        <f>431*67/2000</f>
        <v>14.438499999999999</v>
      </c>
      <c r="F26" s="25">
        <v>18.5</v>
      </c>
      <c r="G26" s="24">
        <f>305*80/2000</f>
        <v>12.2</v>
      </c>
      <c r="H26" s="25">
        <v>1.4</v>
      </c>
      <c r="I26" s="24">
        <f>93*67/2000</f>
        <v>3.1154999999999999</v>
      </c>
      <c r="J26" s="25">
        <v>128.4</v>
      </c>
      <c r="K26" s="24">
        <f>2063/J26</f>
        <v>16.066978193146415</v>
      </c>
    </row>
    <row r="27" spans="1:11">
      <c r="A27" s="26" t="s">
        <v>23</v>
      </c>
      <c r="B27" s="25">
        <v>82.3</v>
      </c>
      <c r="C27" s="24">
        <f>497*85/2000</f>
        <v>21.122499999999999</v>
      </c>
      <c r="D27" s="25">
        <v>12</v>
      </c>
      <c r="E27" s="24">
        <f>483*67/2000</f>
        <v>16.180499999999999</v>
      </c>
      <c r="F27" s="25">
        <v>18.5</v>
      </c>
      <c r="G27" s="24">
        <f>308*80/2000</f>
        <v>12.32</v>
      </c>
      <c r="H27" s="25">
        <v>1.2</v>
      </c>
      <c r="I27" s="24">
        <f>117*67/2000</f>
        <v>3.9195000000000002</v>
      </c>
      <c r="J27" s="25">
        <v>114</v>
      </c>
      <c r="K27" s="24">
        <f>2165/J27</f>
        <v>18.991228070175438</v>
      </c>
    </row>
    <row r="28" spans="1:11">
      <c r="A28" s="26" t="s">
        <v>24</v>
      </c>
      <c r="B28" s="25">
        <v>71</v>
      </c>
      <c r="C28" s="24">
        <f>180*85/2000</f>
        <v>7.65</v>
      </c>
      <c r="D28" s="25">
        <v>11</v>
      </c>
      <c r="E28" s="24">
        <f>555*67/2000</f>
        <v>18.592500000000001</v>
      </c>
      <c r="F28" s="25">
        <v>18.5</v>
      </c>
      <c r="G28" s="24">
        <f>357*80/2000</f>
        <v>14.28</v>
      </c>
      <c r="H28" s="25">
        <v>1</v>
      </c>
      <c r="I28" s="24">
        <f>140*67/2000</f>
        <v>4.6900000000000004</v>
      </c>
      <c r="J28" s="25">
        <v>101.5</v>
      </c>
      <c r="K28" s="24">
        <f>1018/J28</f>
        <v>10.029556650246306</v>
      </c>
    </row>
    <row r="29" spans="1:11">
      <c r="A29" s="26" t="s">
        <v>25</v>
      </c>
      <c r="B29" s="25">
        <v>59.8</v>
      </c>
      <c r="C29" s="24">
        <f>323*85/2000</f>
        <v>13.727499999999999</v>
      </c>
      <c r="D29" s="25">
        <v>10</v>
      </c>
      <c r="E29" s="24">
        <f>600*67/2000</f>
        <v>20.100000000000001</v>
      </c>
      <c r="F29" s="25">
        <v>18.5</v>
      </c>
      <c r="G29" s="24">
        <f>281*80/2000</f>
        <v>11.24</v>
      </c>
      <c r="H29" s="25">
        <v>0.8</v>
      </c>
      <c r="I29" s="24">
        <f>125*67/2000</f>
        <v>4.1875</v>
      </c>
      <c r="J29" s="25">
        <v>89.1</v>
      </c>
      <c r="K29" s="24">
        <f>1232/J29</f>
        <v>13.827160493827162</v>
      </c>
    </row>
    <row r="30" spans="1:11">
      <c r="A30" s="26" t="s">
        <v>50</v>
      </c>
      <c r="B30" s="25">
        <v>57.4</v>
      </c>
      <c r="C30" s="24">
        <f>474*85/2000</f>
        <v>20.145</v>
      </c>
      <c r="D30" s="25">
        <v>9.6</v>
      </c>
      <c r="E30" s="24">
        <f>573*67/2000</f>
        <v>19.195499999999999</v>
      </c>
      <c r="F30" s="25">
        <v>18.5</v>
      </c>
      <c r="G30" s="24">
        <f>384*80/2000</f>
        <v>15.36</v>
      </c>
      <c r="H30" s="25">
        <v>0.6</v>
      </c>
      <c r="I30" s="24">
        <f>167*67/2000</f>
        <v>5.5945</v>
      </c>
      <c r="J30" s="25">
        <v>86.1</v>
      </c>
      <c r="K30" s="24">
        <f>1627/J30</f>
        <v>18.896631823461092</v>
      </c>
    </row>
    <row r="31" spans="1:11">
      <c r="A31" s="26" t="s">
        <v>26</v>
      </c>
      <c r="B31" s="25">
        <v>54.8</v>
      </c>
      <c r="C31" s="24">
        <f>485*85/2000</f>
        <v>20.612500000000001</v>
      </c>
      <c r="D31" s="25">
        <v>9.6</v>
      </c>
      <c r="E31" s="24">
        <f>542*67/2000</f>
        <v>18.157</v>
      </c>
      <c r="F31" s="25">
        <v>18.5</v>
      </c>
      <c r="G31" s="24">
        <f>324*80/2000</f>
        <v>12.96</v>
      </c>
      <c r="H31" s="25">
        <v>0.5</v>
      </c>
      <c r="I31" s="24">
        <f>200*67/2000</f>
        <v>6.7</v>
      </c>
      <c r="J31" s="25">
        <v>83.4</v>
      </c>
      <c r="K31" s="24">
        <f>1548/J31</f>
        <v>18.561151079136689</v>
      </c>
    </row>
    <row r="32" spans="1:11">
      <c r="A32" s="29" t="s">
        <v>27</v>
      </c>
      <c r="B32" s="30">
        <v>51.9</v>
      </c>
      <c r="C32" s="31">
        <f>418*85/2000</f>
        <v>17.765000000000001</v>
      </c>
      <c r="D32" s="30">
        <v>9.6</v>
      </c>
      <c r="E32" s="31">
        <f>500*67/2000</f>
        <v>16.75</v>
      </c>
      <c r="F32" s="30">
        <v>18.5</v>
      </c>
      <c r="G32" s="31">
        <f>297*80/2000</f>
        <v>11.88</v>
      </c>
      <c r="H32" s="30">
        <v>0.4</v>
      </c>
      <c r="I32" s="31">
        <f>63*67/2000</f>
        <v>2.1105</v>
      </c>
      <c r="J32" s="30">
        <v>80.400000000000006</v>
      </c>
      <c r="K32" s="31">
        <f>1304/J32</f>
        <v>16.218905472636816</v>
      </c>
    </row>
    <row r="33" spans="1:11">
      <c r="A33" s="29" t="s">
        <v>28</v>
      </c>
      <c r="B33" s="30">
        <v>48.1</v>
      </c>
      <c r="C33" s="31">
        <f>422*85/2000</f>
        <v>17.934999999999999</v>
      </c>
      <c r="D33" s="30">
        <v>9.6</v>
      </c>
      <c r="E33" s="31">
        <f>469*67/2000</f>
        <v>15.711499999999999</v>
      </c>
      <c r="F33" s="30">
        <v>18</v>
      </c>
      <c r="G33" s="31">
        <f>311*80/2000</f>
        <v>12.44</v>
      </c>
      <c r="H33" s="30" t="s">
        <v>51</v>
      </c>
      <c r="I33" s="30" t="s">
        <v>51</v>
      </c>
      <c r="J33" s="30">
        <v>75.7</v>
      </c>
      <c r="K33" s="31">
        <f>1238/J33</f>
        <v>16.354029062087186</v>
      </c>
    </row>
    <row r="34" spans="1:11">
      <c r="A34" s="29" t="s">
        <v>29</v>
      </c>
      <c r="B34" s="30">
        <v>46.5</v>
      </c>
      <c r="C34" s="31">
        <f>425*85/2000</f>
        <v>18.0625</v>
      </c>
      <c r="D34" s="30">
        <v>9.6</v>
      </c>
      <c r="E34" s="31">
        <f>449*80/2000</f>
        <v>17.96</v>
      </c>
      <c r="F34" s="30">
        <v>17.5</v>
      </c>
      <c r="G34" s="31">
        <f>360*80/2000</f>
        <v>14.4</v>
      </c>
      <c r="H34" s="30" t="s">
        <v>51</v>
      </c>
      <c r="I34" s="30" t="s">
        <v>51</v>
      </c>
      <c r="J34" s="30">
        <v>73.599999999999994</v>
      </c>
      <c r="K34" s="31">
        <f>1264/J34</f>
        <v>17.173913043478262</v>
      </c>
    </row>
    <row r="35" spans="1:11">
      <c r="A35" s="29" t="s">
        <v>30</v>
      </c>
      <c r="B35" s="30">
        <v>45.5</v>
      </c>
      <c r="C35" s="31">
        <v>17.59</v>
      </c>
      <c r="D35" s="30">
        <v>9.6999999999999993</v>
      </c>
      <c r="E35" s="31">
        <v>16.48</v>
      </c>
      <c r="F35" s="30">
        <v>17</v>
      </c>
      <c r="G35" s="31">
        <v>11.28</v>
      </c>
      <c r="H35" s="30" t="s">
        <v>51</v>
      </c>
      <c r="I35" s="30" t="s">
        <v>51</v>
      </c>
      <c r="J35" s="30">
        <v>72.2</v>
      </c>
      <c r="K35" s="31">
        <v>15.97</v>
      </c>
    </row>
    <row r="36" spans="1:11">
      <c r="A36" s="32" t="s">
        <v>31</v>
      </c>
      <c r="B36" s="30">
        <v>44.9</v>
      </c>
      <c r="C36" s="31">
        <v>17.38</v>
      </c>
      <c r="D36" s="30">
        <v>10</v>
      </c>
      <c r="E36" s="31">
        <v>18</v>
      </c>
      <c r="F36" s="30">
        <v>16.5</v>
      </c>
      <c r="G36" s="31">
        <v>14.8</v>
      </c>
      <c r="H36" s="30" t="s">
        <v>51</v>
      </c>
      <c r="I36" s="30" t="s">
        <v>51</v>
      </c>
      <c r="J36" s="30">
        <v>71.400000000000006</v>
      </c>
      <c r="K36" s="31">
        <v>16.86</v>
      </c>
    </row>
    <row r="37" spans="1:11">
      <c r="A37" s="32" t="s">
        <v>32</v>
      </c>
      <c r="B37" s="30">
        <v>43.1</v>
      </c>
      <c r="C37" s="31">
        <v>15.43</v>
      </c>
      <c r="D37" s="30">
        <v>9.8000000000000007</v>
      </c>
      <c r="E37" s="31">
        <v>15.72</v>
      </c>
      <c r="F37" s="30">
        <v>16.600000000000001</v>
      </c>
      <c r="G37" s="31">
        <v>13.72</v>
      </c>
      <c r="H37" s="30" t="s">
        <v>51</v>
      </c>
      <c r="I37" s="30" t="s">
        <v>51</v>
      </c>
      <c r="J37" s="30">
        <v>69.5</v>
      </c>
      <c r="K37" s="31">
        <v>15.46</v>
      </c>
    </row>
    <row r="38" spans="1:11">
      <c r="A38" s="32" t="s">
        <v>33</v>
      </c>
      <c r="B38" s="30">
        <v>40.4</v>
      </c>
      <c r="C38" s="31">
        <f>319*85/2000</f>
        <v>13.557499999999999</v>
      </c>
      <c r="D38" s="30">
        <v>9.8000000000000007</v>
      </c>
      <c r="E38" s="31">
        <f>490*80/2000</f>
        <v>19.600000000000001</v>
      </c>
      <c r="F38" s="30">
        <v>17.100000000000001</v>
      </c>
      <c r="G38" s="31">
        <f>249*80/2000</f>
        <v>9.9600000000000009</v>
      </c>
      <c r="H38" s="30" t="s">
        <v>51</v>
      </c>
      <c r="I38" s="30" t="s">
        <v>51</v>
      </c>
      <c r="J38" s="30">
        <v>67.3</v>
      </c>
      <c r="K38" s="31">
        <f>910/J38</f>
        <v>13.521545319465082</v>
      </c>
    </row>
    <row r="39" spans="1:11">
      <c r="A39" s="32" t="s">
        <v>34</v>
      </c>
      <c r="B39" s="30">
        <v>37.5</v>
      </c>
      <c r="C39" s="31">
        <f>288*85/2000</f>
        <v>12.24</v>
      </c>
      <c r="D39" s="30">
        <v>9.5</v>
      </c>
      <c r="E39" s="31">
        <f>400*80/2000</f>
        <v>16</v>
      </c>
      <c r="F39" s="30">
        <v>17.100000000000001</v>
      </c>
      <c r="G39" s="31">
        <f>281*80/2000</f>
        <v>11.24</v>
      </c>
      <c r="H39" s="30" t="s">
        <v>51</v>
      </c>
      <c r="I39" s="30" t="s">
        <v>51</v>
      </c>
      <c r="J39" s="30">
        <v>64.099999999999994</v>
      </c>
      <c r="K39" s="31">
        <f>803/J39</f>
        <v>12.527301092043682</v>
      </c>
    </row>
    <row r="40" spans="1:11">
      <c r="A40" s="32" t="s">
        <v>35</v>
      </c>
      <c r="B40" s="30">
        <v>33.799999999999997</v>
      </c>
      <c r="C40" s="31">
        <f>230*85/2000</f>
        <v>9.7750000000000004</v>
      </c>
      <c r="D40" s="30">
        <v>9.4</v>
      </c>
      <c r="E40" s="31">
        <f>468*80/2000</f>
        <v>18.72</v>
      </c>
      <c r="F40" s="30">
        <v>16.399999999999999</v>
      </c>
      <c r="G40" s="31">
        <f>293*80/2000</f>
        <v>11.72</v>
      </c>
      <c r="H40" s="30" t="s">
        <v>51</v>
      </c>
      <c r="I40" s="30" t="s">
        <v>51</v>
      </c>
      <c r="J40" s="30">
        <v>59.6</v>
      </c>
      <c r="K40" s="31">
        <f>698/J40</f>
        <v>11.711409395973154</v>
      </c>
    </row>
    <row r="41" spans="1:11">
      <c r="A41" s="33" t="s">
        <v>36</v>
      </c>
      <c r="B41" s="34">
        <v>29.8</v>
      </c>
      <c r="C41" s="35">
        <f>130*85/2000</f>
        <v>5.5250000000000004</v>
      </c>
      <c r="D41" s="34">
        <v>9.3000000000000007</v>
      </c>
      <c r="E41" s="35">
        <f>430*80/2000</f>
        <v>17.2</v>
      </c>
      <c r="F41" s="34">
        <v>15.7</v>
      </c>
      <c r="G41" s="35">
        <f>306*80/2000</f>
        <v>12.24</v>
      </c>
      <c r="H41" s="34" t="s">
        <v>51</v>
      </c>
      <c r="I41" s="34" t="s">
        <v>51</v>
      </c>
      <c r="J41" s="34">
        <v>54.8</v>
      </c>
      <c r="K41" s="35">
        <f>517/J41</f>
        <v>9.4343065693430663</v>
      </c>
    </row>
    <row r="42" spans="1:11">
      <c r="A42" s="12" t="s">
        <v>52</v>
      </c>
      <c r="B42" s="13"/>
      <c r="C42" s="14"/>
      <c r="D42" s="13"/>
      <c r="E42" s="14"/>
      <c r="F42" s="13"/>
      <c r="G42" s="14"/>
      <c r="H42" s="15"/>
      <c r="I42" s="15"/>
      <c r="J42" s="10"/>
      <c r="K42" s="11"/>
    </row>
    <row r="43" spans="1:11">
      <c r="A43" s="5" t="s">
        <v>53</v>
      </c>
      <c r="B43" s="16"/>
      <c r="C43" s="16"/>
      <c r="D43" s="16"/>
      <c r="E43" s="16"/>
      <c r="F43" s="16"/>
      <c r="G43" s="16"/>
      <c r="H43" s="16"/>
      <c r="I43" s="16"/>
      <c r="J43" s="3"/>
      <c r="K43" s="3"/>
    </row>
    <row r="44" spans="1:11">
      <c r="A44" s="5" t="s">
        <v>54</v>
      </c>
      <c r="B44" s="16"/>
      <c r="C44" s="16"/>
      <c r="D44" s="16"/>
      <c r="E44" s="16"/>
      <c r="F44" s="16"/>
      <c r="G44" s="16"/>
      <c r="H44" s="16"/>
      <c r="I44" s="16"/>
      <c r="J44" s="3"/>
      <c r="K44" s="3"/>
    </row>
    <row r="45" spans="1:11">
      <c r="A45" s="5" t="s">
        <v>55</v>
      </c>
      <c r="B45" s="16"/>
      <c r="C45" s="16"/>
      <c r="D45" s="16"/>
      <c r="E45" s="16"/>
      <c r="F45" s="16"/>
      <c r="G45" s="16"/>
      <c r="H45" s="16"/>
      <c r="I45" s="16"/>
      <c r="J45" s="17"/>
      <c r="K4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9E3B-5C0A-1140-9808-189C4DAD4A21}">
  <dimension ref="A1:L44"/>
  <sheetViews>
    <sheetView tabSelected="1" zoomScale="120" zoomScaleNormal="120" workbookViewId="0"/>
  </sheetViews>
  <sheetFormatPr baseColWidth="10" defaultRowHeight="16"/>
  <sheetData>
    <row r="1" spans="1:10">
      <c r="A1" s="1" t="s">
        <v>61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/>
      <c r="B2" s="7" t="s">
        <v>39</v>
      </c>
      <c r="C2" s="7"/>
      <c r="D2" s="7"/>
      <c r="E2" s="7" t="s">
        <v>41</v>
      </c>
      <c r="F2" s="7"/>
      <c r="G2" s="7"/>
      <c r="H2" s="7" t="s">
        <v>42</v>
      </c>
      <c r="I2" s="7"/>
      <c r="J2" s="7"/>
    </row>
    <row r="3" spans="1:10">
      <c r="A3" s="8" t="s">
        <v>58</v>
      </c>
      <c r="B3" s="8" t="s">
        <v>56</v>
      </c>
      <c r="C3" s="8" t="s">
        <v>57</v>
      </c>
      <c r="D3" s="8" t="s">
        <v>56</v>
      </c>
      <c r="E3" s="8" t="s">
        <v>57</v>
      </c>
      <c r="F3" s="8" t="s">
        <v>56</v>
      </c>
      <c r="G3" s="8" t="s">
        <v>57</v>
      </c>
      <c r="H3" s="8" t="s">
        <v>56</v>
      </c>
      <c r="I3" s="8" t="s">
        <v>57</v>
      </c>
      <c r="J3" s="8" t="s">
        <v>56</v>
      </c>
    </row>
    <row r="4" spans="1:10">
      <c r="A4" s="21" t="s">
        <v>0</v>
      </c>
      <c r="B4" s="20">
        <v>52.7</v>
      </c>
      <c r="C4" s="19">
        <v>17.514231499051231</v>
      </c>
      <c r="D4" s="20">
        <v>923.4</v>
      </c>
      <c r="E4" s="19">
        <v>19.2</v>
      </c>
      <c r="F4" s="20">
        <v>13.854166666666668</v>
      </c>
      <c r="G4" s="19">
        <v>266</v>
      </c>
      <c r="H4" s="20">
        <v>71.900000000000006</v>
      </c>
      <c r="I4" s="19">
        <v>16.536856745479831</v>
      </c>
      <c r="J4" s="20">
        <v>1189.4000000000001</v>
      </c>
    </row>
    <row r="5" spans="1:10">
      <c r="A5" s="21" t="s">
        <v>1</v>
      </c>
      <c r="B5" s="20">
        <v>54.2</v>
      </c>
      <c r="C5" s="19">
        <v>12.970479704797047</v>
      </c>
      <c r="D5" s="20">
        <v>703</v>
      </c>
      <c r="E5" s="19">
        <v>21.6</v>
      </c>
      <c r="F5" s="20">
        <v>11.064814814814815</v>
      </c>
      <c r="G5" s="19">
        <v>239.4</v>
      </c>
      <c r="H5" s="20">
        <v>75.8</v>
      </c>
      <c r="I5" s="19">
        <v>12.42744063324538</v>
      </c>
      <c r="J5" s="20">
        <v>942.4</v>
      </c>
    </row>
    <row r="6" spans="1:10">
      <c r="A6" s="21" t="s">
        <v>2</v>
      </c>
      <c r="B6" s="20">
        <v>52</v>
      </c>
      <c r="C6" s="19">
        <v>14.826923076923077</v>
      </c>
      <c r="D6" s="20">
        <v>771.4</v>
      </c>
      <c r="E6" s="19">
        <v>19.5</v>
      </c>
      <c r="F6" s="20">
        <v>9.1794871794871788</v>
      </c>
      <c r="G6" s="19">
        <v>178.6</v>
      </c>
      <c r="H6" s="20">
        <v>71.5</v>
      </c>
      <c r="I6" s="19">
        <v>13.286713286713287</v>
      </c>
      <c r="J6" s="20">
        <v>950</v>
      </c>
    </row>
    <row r="7" spans="1:10">
      <c r="A7" s="21" t="s">
        <v>3</v>
      </c>
      <c r="B7" s="20">
        <v>51.5</v>
      </c>
      <c r="C7" s="19">
        <v>12.737864077669903</v>
      </c>
      <c r="D7" s="20">
        <v>655.5</v>
      </c>
      <c r="E7" s="19">
        <v>18.3</v>
      </c>
      <c r="F7" s="20">
        <v>7.2677595628415297</v>
      </c>
      <c r="G7" s="19">
        <v>133</v>
      </c>
      <c r="H7" s="20">
        <v>69.8</v>
      </c>
      <c r="I7" s="19">
        <v>11.289398280802292</v>
      </c>
      <c r="J7" s="20">
        <v>788.5</v>
      </c>
    </row>
    <row r="8" spans="1:10">
      <c r="A8" s="21" t="s">
        <v>4</v>
      </c>
      <c r="B8" s="20">
        <v>49.6</v>
      </c>
      <c r="C8" s="19">
        <v>15.161290322580644</v>
      </c>
      <c r="D8" s="20">
        <v>752.4</v>
      </c>
      <c r="E8" s="19">
        <v>17</v>
      </c>
      <c r="F8" s="20">
        <v>12.647058823529411</v>
      </c>
      <c r="G8" s="22">
        <v>214.7</v>
      </c>
      <c r="H8" s="20">
        <v>66.599999999999994</v>
      </c>
      <c r="I8" s="19">
        <v>14.519519519519521</v>
      </c>
      <c r="J8" s="20">
        <v>967.1</v>
      </c>
    </row>
    <row r="9" spans="1:10">
      <c r="A9" s="21" t="s">
        <v>5</v>
      </c>
      <c r="B9" s="20">
        <v>48.8</v>
      </c>
      <c r="C9" s="19">
        <v>11.762295081967213</v>
      </c>
      <c r="D9" s="20">
        <v>573.79999999999995</v>
      </c>
      <c r="E9" s="19">
        <v>16.5</v>
      </c>
      <c r="F9" s="20">
        <v>7.1515151515151514</v>
      </c>
      <c r="G9" s="19">
        <v>117.8</v>
      </c>
      <c r="H9" s="20">
        <v>65.3</v>
      </c>
      <c r="I9" s="19">
        <v>10.597243491577336</v>
      </c>
      <c r="J9" s="20">
        <v>691.6</v>
      </c>
    </row>
    <row r="10" spans="1:10">
      <c r="A10" s="21" t="s">
        <v>6</v>
      </c>
      <c r="B10" s="20">
        <v>48.4</v>
      </c>
      <c r="C10" s="19">
        <v>16.880165289256198</v>
      </c>
      <c r="D10" s="20">
        <v>817</v>
      </c>
      <c r="E10" s="19">
        <v>15.5</v>
      </c>
      <c r="F10" s="20">
        <v>17.419354838709676</v>
      </c>
      <c r="G10" s="19">
        <v>269.8</v>
      </c>
      <c r="H10" s="20">
        <v>63.9</v>
      </c>
      <c r="I10" s="19">
        <v>17.010954616588421</v>
      </c>
      <c r="J10" s="20">
        <v>1086.8</v>
      </c>
    </row>
    <row r="11" spans="1:10">
      <c r="A11" s="21" t="s">
        <v>7</v>
      </c>
      <c r="B11" s="20">
        <v>49</v>
      </c>
      <c r="C11" s="19">
        <v>13.183673469387756</v>
      </c>
      <c r="D11" s="20">
        <v>646</v>
      </c>
      <c r="E11" s="19">
        <v>15.5</v>
      </c>
      <c r="F11" s="20">
        <v>8.9677419354838701</v>
      </c>
      <c r="G11" s="19">
        <v>138.69999999999999</v>
      </c>
      <c r="H11" s="20">
        <v>64.5</v>
      </c>
      <c r="I11" s="19">
        <v>12.170542635658915</v>
      </c>
      <c r="J11" s="20">
        <v>784.7</v>
      </c>
    </row>
    <row r="12" spans="1:10">
      <c r="A12" s="21" t="s">
        <v>8</v>
      </c>
      <c r="B12" s="20">
        <v>48.4</v>
      </c>
      <c r="C12" s="19">
        <v>12.719008264462811</v>
      </c>
      <c r="D12" s="20">
        <v>615.6</v>
      </c>
      <c r="E12" s="19">
        <v>15.5</v>
      </c>
      <c r="F12" s="20">
        <v>9.3161290322580648</v>
      </c>
      <c r="G12" s="19">
        <v>144.4</v>
      </c>
      <c r="H12" s="20">
        <v>63.9</v>
      </c>
      <c r="I12" s="19">
        <v>11.893583724569641</v>
      </c>
      <c r="J12" s="20">
        <v>760</v>
      </c>
    </row>
    <row r="13" spans="1:10">
      <c r="A13" s="21" t="s">
        <v>9</v>
      </c>
      <c r="B13" s="20">
        <v>47.8</v>
      </c>
      <c r="C13" s="19">
        <v>12.560669456066947</v>
      </c>
      <c r="D13" s="20">
        <v>600.4</v>
      </c>
      <c r="E13" s="19">
        <v>15.5</v>
      </c>
      <c r="F13" s="20">
        <v>6.8645161290322587</v>
      </c>
      <c r="G13" s="19">
        <v>106.4</v>
      </c>
      <c r="H13" s="20">
        <v>63.3</v>
      </c>
      <c r="I13" s="19">
        <v>11.153238546603475</v>
      </c>
      <c r="J13" s="20">
        <v>706</v>
      </c>
    </row>
    <row r="14" spans="1:10">
      <c r="A14" s="21" t="s">
        <v>10</v>
      </c>
      <c r="B14" s="20">
        <v>46.7</v>
      </c>
      <c r="C14" s="19">
        <v>12.055674518201284</v>
      </c>
      <c r="D14" s="20">
        <v>563</v>
      </c>
      <c r="E14" s="19">
        <v>15.4</v>
      </c>
      <c r="F14" s="20">
        <v>10.116883116883118</v>
      </c>
      <c r="G14" s="22">
        <v>155.80000000000001</v>
      </c>
      <c r="H14" s="20">
        <v>62.1</v>
      </c>
      <c r="I14" s="19">
        <v>11.578099838969404</v>
      </c>
      <c r="J14" s="20">
        <v>719</v>
      </c>
    </row>
    <row r="15" spans="1:10">
      <c r="A15" s="21" t="s">
        <v>11</v>
      </c>
      <c r="B15" s="20">
        <v>46.4</v>
      </c>
      <c r="C15" s="19">
        <v>12.35</v>
      </c>
      <c r="D15" s="20">
        <v>573.79999999999995</v>
      </c>
      <c r="E15" s="19">
        <v>15.7</v>
      </c>
      <c r="F15" s="20">
        <v>12.35</v>
      </c>
      <c r="G15" s="19">
        <v>193.8</v>
      </c>
      <c r="H15" s="20">
        <v>62.1</v>
      </c>
      <c r="I15" s="19">
        <v>12.334943639291465</v>
      </c>
      <c r="J15" s="20">
        <v>766</v>
      </c>
    </row>
    <row r="16" spans="1:10">
      <c r="A16" s="21" t="s">
        <v>12</v>
      </c>
      <c r="B16" s="20">
        <v>46.4</v>
      </c>
      <c r="C16" s="19">
        <v>16.72</v>
      </c>
      <c r="D16" s="20">
        <v>775.2</v>
      </c>
      <c r="E16" s="19">
        <v>15.7</v>
      </c>
      <c r="F16" s="20">
        <v>10.64</v>
      </c>
      <c r="G16" s="19">
        <v>167.2</v>
      </c>
      <c r="H16" s="20">
        <v>62.1</v>
      </c>
      <c r="I16" s="19">
        <v>15.169082125603865</v>
      </c>
      <c r="J16" s="20">
        <v>942</v>
      </c>
    </row>
    <row r="17" spans="1:10">
      <c r="A17" s="21" t="s">
        <v>13</v>
      </c>
      <c r="B17" s="20">
        <v>45.5</v>
      </c>
      <c r="C17" s="19">
        <v>17.29</v>
      </c>
      <c r="D17" s="20">
        <v>786.6</v>
      </c>
      <c r="E17" s="19">
        <v>15.6</v>
      </c>
      <c r="F17" s="20">
        <v>12.654</v>
      </c>
      <c r="G17" s="19">
        <v>197.6</v>
      </c>
      <c r="H17" s="20">
        <v>61.1</v>
      </c>
      <c r="I17" s="19">
        <v>16.108019639934533</v>
      </c>
      <c r="J17" s="20">
        <v>984.2</v>
      </c>
    </row>
    <row r="18" spans="1:10">
      <c r="A18" s="21" t="s">
        <v>14</v>
      </c>
      <c r="B18" s="20">
        <v>45.7</v>
      </c>
      <c r="C18" s="19">
        <v>16.643999999999998</v>
      </c>
      <c r="D18" s="23">
        <v>760</v>
      </c>
      <c r="E18" s="19">
        <v>15.3</v>
      </c>
      <c r="F18" s="20">
        <v>8.93</v>
      </c>
      <c r="G18" s="19">
        <v>136.80000000000001</v>
      </c>
      <c r="H18" s="23">
        <v>61</v>
      </c>
      <c r="I18" s="19">
        <v>14.704918032786885</v>
      </c>
      <c r="J18" s="20">
        <v>897</v>
      </c>
    </row>
    <row r="19" spans="1:10">
      <c r="A19" s="26" t="s">
        <v>15</v>
      </c>
      <c r="B19" s="25">
        <v>46.4</v>
      </c>
      <c r="C19" s="24">
        <v>17.213999999999999</v>
      </c>
      <c r="D19" s="25">
        <v>798</v>
      </c>
      <c r="E19" s="24">
        <v>14.9</v>
      </c>
      <c r="F19" s="25">
        <v>12.996</v>
      </c>
      <c r="G19" s="24">
        <v>193.8</v>
      </c>
      <c r="H19" s="25">
        <v>61.3</v>
      </c>
      <c r="I19" s="24">
        <v>16.179445350734095</v>
      </c>
      <c r="J19" s="25">
        <v>991.8</v>
      </c>
    </row>
    <row r="20" spans="1:10">
      <c r="A20" s="26" t="s">
        <v>16</v>
      </c>
      <c r="B20" s="25">
        <v>47.4</v>
      </c>
      <c r="C20" s="24">
        <v>18.126000000000001</v>
      </c>
      <c r="D20" s="25">
        <v>858.8</v>
      </c>
      <c r="E20" s="24">
        <v>14.5</v>
      </c>
      <c r="F20" s="25">
        <v>7.0679999999999996</v>
      </c>
      <c r="G20" s="24">
        <v>102.6</v>
      </c>
      <c r="H20" s="25">
        <v>61.9</v>
      </c>
      <c r="I20" s="24">
        <v>15.541195476575121</v>
      </c>
      <c r="J20" s="25">
        <v>962</v>
      </c>
    </row>
    <row r="21" spans="1:10">
      <c r="A21" s="26" t="s">
        <v>17</v>
      </c>
      <c r="B21" s="25">
        <v>48.7</v>
      </c>
      <c r="C21" s="24">
        <v>16.378</v>
      </c>
      <c r="D21" s="25">
        <v>798</v>
      </c>
      <c r="E21" s="24">
        <v>14</v>
      </c>
      <c r="F21" s="25">
        <v>7.0679999999999996</v>
      </c>
      <c r="G21" s="24">
        <v>98.8</v>
      </c>
      <c r="H21" s="25">
        <v>62.7</v>
      </c>
      <c r="I21" s="24">
        <v>14.30622009569378</v>
      </c>
      <c r="J21" s="25">
        <v>897</v>
      </c>
    </row>
    <row r="22" spans="1:10">
      <c r="A22" s="26" t="s">
        <v>18</v>
      </c>
      <c r="B22" s="25">
        <v>49</v>
      </c>
      <c r="C22" s="24">
        <v>12.577999999999999</v>
      </c>
      <c r="D22" s="25">
        <v>615.6</v>
      </c>
      <c r="E22" s="24">
        <v>14.1</v>
      </c>
      <c r="F22" s="25">
        <v>9.31</v>
      </c>
      <c r="G22" s="24">
        <v>131.1</v>
      </c>
      <c r="H22" s="25">
        <v>63.1</v>
      </c>
      <c r="I22" s="24">
        <v>11.838351822503961</v>
      </c>
      <c r="J22" s="25">
        <v>747</v>
      </c>
    </row>
    <row r="23" spans="1:10">
      <c r="A23" s="28" t="s">
        <v>19</v>
      </c>
      <c r="B23" s="25">
        <v>49.5</v>
      </c>
      <c r="C23" s="24">
        <v>14.592000000000001</v>
      </c>
      <c r="D23" s="25">
        <v>722</v>
      </c>
      <c r="E23" s="24">
        <v>14.3</v>
      </c>
      <c r="F23" s="25">
        <v>8.2460000000000004</v>
      </c>
      <c r="G23" s="24">
        <v>117.8</v>
      </c>
      <c r="H23" s="25">
        <v>63.8</v>
      </c>
      <c r="I23" s="24">
        <v>13.16614420062696</v>
      </c>
      <c r="J23" s="25">
        <v>840</v>
      </c>
    </row>
    <row r="24" spans="1:10">
      <c r="A24" s="28" t="s">
        <v>20</v>
      </c>
      <c r="B24" s="25">
        <v>50.5</v>
      </c>
      <c r="C24" s="24">
        <v>17.024000000000001</v>
      </c>
      <c r="D24" s="25">
        <v>858.8</v>
      </c>
      <c r="E24" s="24">
        <v>14.8</v>
      </c>
      <c r="F24" s="25">
        <v>9.234</v>
      </c>
      <c r="G24" s="24">
        <v>136.80000000000001</v>
      </c>
      <c r="H24" s="25">
        <v>65.3</v>
      </c>
      <c r="I24" s="24">
        <v>15.252679938744258</v>
      </c>
      <c r="J24" s="25">
        <v>996</v>
      </c>
    </row>
    <row r="25" spans="1:10">
      <c r="A25" s="28" t="s">
        <v>21</v>
      </c>
      <c r="B25" s="25">
        <v>51</v>
      </c>
      <c r="C25" s="24">
        <v>13.641999999999999</v>
      </c>
      <c r="D25" s="25">
        <v>695.4</v>
      </c>
      <c r="E25" s="24">
        <v>14.8</v>
      </c>
      <c r="F25" s="25">
        <v>7.1820000000000004</v>
      </c>
      <c r="G25" s="24">
        <v>106.4</v>
      </c>
      <c r="H25" s="25">
        <v>65.8</v>
      </c>
      <c r="I25" s="24">
        <v>12.173252279635259</v>
      </c>
      <c r="J25" s="25">
        <v>801</v>
      </c>
    </row>
    <row r="26" spans="1:10">
      <c r="A26" s="28" t="s">
        <v>22</v>
      </c>
      <c r="B26" s="25">
        <v>50</v>
      </c>
      <c r="C26" s="24">
        <v>18.239999999999998</v>
      </c>
      <c r="D26" s="25">
        <v>912</v>
      </c>
      <c r="E26" s="24">
        <v>14.8</v>
      </c>
      <c r="F26" s="25">
        <v>7.7140000000000004</v>
      </c>
      <c r="G26" s="24">
        <v>114</v>
      </c>
      <c r="H26" s="25">
        <v>64.8</v>
      </c>
      <c r="I26" s="24">
        <v>15.833333333333334</v>
      </c>
      <c r="J26" s="25">
        <v>1026</v>
      </c>
    </row>
    <row r="27" spans="1:10">
      <c r="A27" s="26" t="s">
        <v>23</v>
      </c>
      <c r="B27" s="25">
        <v>48</v>
      </c>
      <c r="C27" s="24">
        <v>14.25</v>
      </c>
      <c r="D27" s="25">
        <v>684</v>
      </c>
      <c r="E27" s="24">
        <v>14</v>
      </c>
      <c r="F27" s="25">
        <v>8.1319999999999997</v>
      </c>
      <c r="G27" s="24">
        <v>114</v>
      </c>
      <c r="H27" s="25">
        <v>62</v>
      </c>
      <c r="I27" s="24">
        <v>12.870967741935484</v>
      </c>
      <c r="J27" s="25">
        <v>798</v>
      </c>
    </row>
    <row r="28" spans="1:10">
      <c r="A28" s="26" t="s">
        <v>24</v>
      </c>
      <c r="B28" s="25">
        <v>48</v>
      </c>
      <c r="C28" s="24">
        <v>16.225999999999999</v>
      </c>
      <c r="D28" s="25">
        <v>779</v>
      </c>
      <c r="E28" s="24">
        <v>13.5</v>
      </c>
      <c r="F28" s="25">
        <v>6.7640000000000002</v>
      </c>
      <c r="G28" s="24">
        <v>91.2</v>
      </c>
      <c r="H28" s="25">
        <v>61.5</v>
      </c>
      <c r="I28" s="24">
        <v>14.146341463414634</v>
      </c>
      <c r="J28" s="25">
        <v>870</v>
      </c>
    </row>
    <row r="29" spans="1:10">
      <c r="A29" s="26" t="s">
        <v>25</v>
      </c>
      <c r="B29" s="25">
        <v>48</v>
      </c>
      <c r="C29" s="24">
        <v>17.404</v>
      </c>
      <c r="D29" s="25">
        <v>836</v>
      </c>
      <c r="E29" s="24">
        <v>13</v>
      </c>
      <c r="F29" s="25">
        <v>11.096</v>
      </c>
      <c r="G29" s="24">
        <v>144.4</v>
      </c>
      <c r="H29" s="25">
        <v>61</v>
      </c>
      <c r="I29" s="24">
        <v>16.065573770491802</v>
      </c>
      <c r="J29" s="25">
        <v>980</v>
      </c>
    </row>
    <row r="30" spans="1:10">
      <c r="A30" s="26" t="s">
        <v>50</v>
      </c>
      <c r="B30" s="25">
        <v>48</v>
      </c>
      <c r="C30" s="24">
        <v>14.63</v>
      </c>
      <c r="D30" s="25">
        <v>703</v>
      </c>
      <c r="E30" s="24">
        <v>12.5</v>
      </c>
      <c r="F30" s="25">
        <v>7.6</v>
      </c>
      <c r="G30" s="24">
        <v>95</v>
      </c>
      <c r="H30" s="25">
        <v>60.5</v>
      </c>
      <c r="I30" s="24">
        <v>13.190082644628099</v>
      </c>
      <c r="J30" s="25">
        <v>798</v>
      </c>
    </row>
    <row r="31" spans="1:10">
      <c r="A31" s="26" t="s">
        <v>26</v>
      </c>
      <c r="B31" s="25">
        <v>47</v>
      </c>
      <c r="C31" s="24">
        <v>11.97</v>
      </c>
      <c r="D31" s="25">
        <v>562.4</v>
      </c>
      <c r="E31" s="24">
        <v>12</v>
      </c>
      <c r="F31" s="25">
        <v>4.75</v>
      </c>
      <c r="G31" s="24">
        <v>57</v>
      </c>
      <c r="H31" s="25">
        <v>59</v>
      </c>
      <c r="I31" s="24">
        <v>10.491525423728813</v>
      </c>
      <c r="J31" s="25">
        <v>619</v>
      </c>
    </row>
    <row r="32" spans="1:10">
      <c r="A32" s="29" t="s">
        <v>27</v>
      </c>
      <c r="B32" s="30">
        <v>47</v>
      </c>
      <c r="C32" s="31">
        <v>16.986000000000001</v>
      </c>
      <c r="D32" s="30">
        <v>798</v>
      </c>
      <c r="E32" s="31">
        <v>12</v>
      </c>
      <c r="F32" s="30">
        <v>9.5</v>
      </c>
      <c r="G32" s="31">
        <v>114</v>
      </c>
      <c r="H32" s="30">
        <v>59</v>
      </c>
      <c r="I32" s="31">
        <v>15.457627118644067</v>
      </c>
      <c r="J32" s="30">
        <v>912</v>
      </c>
    </row>
    <row r="33" spans="1:12">
      <c r="A33" s="29" t="s">
        <v>28</v>
      </c>
      <c r="B33" s="30">
        <v>46</v>
      </c>
      <c r="C33" s="31">
        <v>17.366</v>
      </c>
      <c r="D33" s="30">
        <v>798</v>
      </c>
      <c r="E33" s="31">
        <v>11</v>
      </c>
      <c r="F33" s="30">
        <v>7.6</v>
      </c>
      <c r="G33" s="31">
        <v>83.6</v>
      </c>
      <c r="H33" s="30">
        <v>57</v>
      </c>
      <c r="I33" s="30">
        <v>15.473684210526315</v>
      </c>
      <c r="J33" s="30">
        <v>882</v>
      </c>
    </row>
    <row r="34" spans="1:12">
      <c r="A34" s="29" t="s">
        <v>29</v>
      </c>
      <c r="B34" s="30">
        <v>45</v>
      </c>
      <c r="C34" s="31">
        <v>18.239999999999998</v>
      </c>
      <c r="D34" s="30">
        <v>820</v>
      </c>
      <c r="E34" s="31">
        <v>10</v>
      </c>
      <c r="F34" s="30">
        <v>10</v>
      </c>
      <c r="G34" s="31">
        <v>100</v>
      </c>
      <c r="H34" s="30">
        <v>55</v>
      </c>
      <c r="I34" s="30">
        <v>16.727272727272727</v>
      </c>
      <c r="J34" s="30">
        <v>920</v>
      </c>
    </row>
    <row r="35" spans="1:12">
      <c r="A35" s="29" t="s">
        <v>30</v>
      </c>
      <c r="B35" s="30">
        <v>45</v>
      </c>
      <c r="C35" s="31">
        <v>18.239999999999998</v>
      </c>
      <c r="D35" s="30">
        <v>820</v>
      </c>
      <c r="E35" s="31">
        <v>9.5</v>
      </c>
      <c r="F35" s="30">
        <v>3.16</v>
      </c>
      <c r="G35" s="31">
        <v>30</v>
      </c>
      <c r="H35" s="30">
        <v>54.5</v>
      </c>
      <c r="I35" s="30">
        <v>15.596330275229358</v>
      </c>
      <c r="J35" s="30">
        <v>850</v>
      </c>
    </row>
    <row r="36" spans="1:12">
      <c r="A36" s="32" t="s">
        <v>31</v>
      </c>
      <c r="B36" s="30">
        <v>45</v>
      </c>
      <c r="C36" s="31">
        <v>18.68</v>
      </c>
      <c r="D36" s="30">
        <v>840</v>
      </c>
      <c r="E36" s="31">
        <v>9</v>
      </c>
      <c r="F36" s="30">
        <v>8</v>
      </c>
      <c r="G36" s="31">
        <v>72</v>
      </c>
      <c r="H36" s="30">
        <v>54</v>
      </c>
      <c r="I36" s="30">
        <v>16.888888888888889</v>
      </c>
      <c r="J36" s="30">
        <v>912</v>
      </c>
    </row>
    <row r="37" spans="1:12">
      <c r="A37" s="32" t="s">
        <v>32</v>
      </c>
      <c r="B37" s="30">
        <v>46</v>
      </c>
      <c r="C37" s="31">
        <v>16.36</v>
      </c>
      <c r="D37" s="30">
        <v>752</v>
      </c>
      <c r="E37" s="31">
        <v>8.3000000000000007</v>
      </c>
      <c r="F37" s="30">
        <v>8.68</v>
      </c>
      <c r="G37" s="31">
        <v>72</v>
      </c>
      <c r="H37" s="30">
        <v>54.3</v>
      </c>
      <c r="I37" s="30">
        <v>15.174953959484347</v>
      </c>
      <c r="J37" s="30">
        <v>824</v>
      </c>
    </row>
    <row r="38" spans="1:12">
      <c r="A38" s="32" t="s">
        <v>33</v>
      </c>
      <c r="B38" s="30">
        <v>47</v>
      </c>
      <c r="C38" s="31">
        <v>17.52</v>
      </c>
      <c r="D38" s="30">
        <v>824</v>
      </c>
      <c r="E38" s="31">
        <v>8.3000000000000007</v>
      </c>
      <c r="F38" s="30">
        <v>9.64</v>
      </c>
      <c r="G38" s="31">
        <v>80</v>
      </c>
      <c r="H38" s="30">
        <v>55.3</v>
      </c>
      <c r="I38" s="30">
        <v>16.347197106690778</v>
      </c>
      <c r="J38" s="30">
        <v>904</v>
      </c>
    </row>
    <row r="39" spans="1:12">
      <c r="A39" s="32" t="s">
        <v>34</v>
      </c>
      <c r="B39" s="30">
        <v>47</v>
      </c>
      <c r="C39" s="31">
        <v>17.88</v>
      </c>
      <c r="D39" s="30">
        <v>840</v>
      </c>
      <c r="E39" s="31">
        <v>7.5</v>
      </c>
      <c r="F39" s="30">
        <v>8.52</v>
      </c>
      <c r="G39" s="31">
        <v>64</v>
      </c>
      <c r="H39" s="30">
        <v>54.5</v>
      </c>
      <c r="I39" s="30">
        <v>16.587155963302752</v>
      </c>
      <c r="J39" s="30">
        <v>904</v>
      </c>
    </row>
    <row r="40" spans="1:12">
      <c r="A40" s="32" t="s">
        <v>35</v>
      </c>
      <c r="B40" s="30">
        <v>47</v>
      </c>
      <c r="C40" s="31">
        <v>17.440000000000001</v>
      </c>
      <c r="D40" s="30">
        <v>820</v>
      </c>
      <c r="E40" s="31">
        <v>7.3</v>
      </c>
      <c r="F40" s="30">
        <v>8.48</v>
      </c>
      <c r="G40" s="31">
        <v>62</v>
      </c>
      <c r="H40" s="30">
        <v>54.3</v>
      </c>
      <c r="I40" s="30">
        <v>16.243093922651934</v>
      </c>
      <c r="J40" s="30">
        <v>882</v>
      </c>
    </row>
    <row r="41" spans="1:12">
      <c r="A41" s="33" t="s">
        <v>36</v>
      </c>
      <c r="B41" s="34">
        <v>47</v>
      </c>
      <c r="C41" s="35">
        <v>18.04</v>
      </c>
      <c r="D41" s="34">
        <v>848</v>
      </c>
      <c r="E41" s="35">
        <v>7.3</v>
      </c>
      <c r="F41" s="34">
        <v>5.48</v>
      </c>
      <c r="G41" s="35">
        <v>40</v>
      </c>
      <c r="H41" s="34">
        <v>54.3</v>
      </c>
      <c r="I41" s="34">
        <v>16.353591160220994</v>
      </c>
      <c r="J41" s="34">
        <v>888</v>
      </c>
    </row>
    <row r="43" spans="1:12">
      <c r="A43" s="18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5" t="s">
        <v>55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471E-02F2-A644-9656-99E3B7EDE5C4}">
  <dimension ref="A1:K47"/>
  <sheetViews>
    <sheetView zoomScale="120" zoomScaleNormal="120" workbookViewId="0">
      <selection activeCell="M40" sqref="M40"/>
    </sheetView>
  </sheetViews>
  <sheetFormatPr baseColWidth="10" defaultRowHeight="16"/>
  <sheetData>
    <row r="1" spans="1:11">
      <c r="A1" s="4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3"/>
      <c r="B2" s="7" t="s">
        <v>38</v>
      </c>
      <c r="C2" s="7"/>
      <c r="D2" s="7" t="s">
        <v>39</v>
      </c>
      <c r="E2" s="7"/>
      <c r="F2" s="7" t="s">
        <v>40</v>
      </c>
      <c r="G2" s="7"/>
      <c r="H2" s="7" t="s">
        <v>41</v>
      </c>
      <c r="I2" s="7"/>
      <c r="J2" s="7" t="s">
        <v>42</v>
      </c>
      <c r="K2" s="7"/>
    </row>
    <row r="3" spans="1:11">
      <c r="A3" s="8"/>
      <c r="B3" s="8" t="s">
        <v>43</v>
      </c>
      <c r="C3" s="8" t="s">
        <v>44</v>
      </c>
      <c r="D3" s="8" t="s">
        <v>43</v>
      </c>
      <c r="E3" s="8" t="s">
        <v>44</v>
      </c>
      <c r="F3" s="8" t="s">
        <v>43</v>
      </c>
      <c r="G3" s="8" t="s">
        <v>44</v>
      </c>
      <c r="H3" s="8" t="s">
        <v>43</v>
      </c>
      <c r="I3" s="8" t="s">
        <v>44</v>
      </c>
      <c r="J3" s="8" t="s">
        <v>43</v>
      </c>
      <c r="K3" s="8" t="s">
        <v>44</v>
      </c>
    </row>
    <row r="4" spans="1:11">
      <c r="A4" s="9" t="s">
        <v>62</v>
      </c>
      <c r="B4" s="8" t="s">
        <v>56</v>
      </c>
      <c r="C4" s="8" t="s">
        <v>57</v>
      </c>
      <c r="D4" s="8" t="s">
        <v>56</v>
      </c>
      <c r="E4" s="8" t="s">
        <v>57</v>
      </c>
      <c r="F4" s="8" t="s">
        <v>56</v>
      </c>
      <c r="G4" s="8" t="s">
        <v>57</v>
      </c>
      <c r="H4" s="8" t="s">
        <v>56</v>
      </c>
      <c r="I4" s="8" t="s">
        <v>57</v>
      </c>
      <c r="J4" s="8" t="s">
        <v>56</v>
      </c>
      <c r="K4" s="8" t="s">
        <v>57</v>
      </c>
    </row>
    <row r="5" spans="1:11">
      <c r="A5" s="21" t="s">
        <v>0</v>
      </c>
      <c r="B5" s="20">
        <v>573.4</v>
      </c>
      <c r="C5" s="19">
        <v>13.529822113707709</v>
      </c>
      <c r="D5" s="20">
        <v>182.7</v>
      </c>
      <c r="E5" s="19">
        <v>13.393541324575809</v>
      </c>
      <c r="F5" s="37">
        <v>25.3</v>
      </c>
      <c r="G5" s="19">
        <v>7.2727272727272725</v>
      </c>
      <c r="H5" s="20">
        <v>13.2</v>
      </c>
      <c r="I5" s="19">
        <v>7.4242424242424248</v>
      </c>
      <c r="J5" s="20">
        <v>794.6</v>
      </c>
      <c r="K5" s="19">
        <v>13.197835388874907</v>
      </c>
    </row>
    <row r="6" spans="1:11">
      <c r="A6" s="21" t="s">
        <v>1</v>
      </c>
      <c r="B6" s="20">
        <v>560.20000000000005</v>
      </c>
      <c r="C6" s="19">
        <v>10.105319528739734</v>
      </c>
      <c r="D6" s="20">
        <v>180.2</v>
      </c>
      <c r="E6" s="19">
        <v>8.7236403995560501</v>
      </c>
      <c r="F6" s="37">
        <v>23.7</v>
      </c>
      <c r="G6" s="19">
        <v>10.632911392405063</v>
      </c>
      <c r="H6" s="20">
        <v>13.6</v>
      </c>
      <c r="I6" s="19">
        <v>8.4558823529411775</v>
      </c>
      <c r="J6" s="20">
        <v>777.7</v>
      </c>
      <c r="K6" s="19">
        <v>9.7724058120097705</v>
      </c>
    </row>
    <row r="7" spans="1:11">
      <c r="A7" s="21" t="s">
        <v>2</v>
      </c>
      <c r="B7" s="20">
        <v>536.79999999999995</v>
      </c>
      <c r="C7" s="19">
        <v>11.702682563338302</v>
      </c>
      <c r="D7" s="20">
        <v>177.4</v>
      </c>
      <c r="E7" s="19">
        <v>16.087936865839911</v>
      </c>
      <c r="F7" s="37">
        <v>24</v>
      </c>
      <c r="G7" s="19">
        <v>10.041666666666666</v>
      </c>
      <c r="H7" s="20">
        <v>12.6</v>
      </c>
      <c r="I7" s="19">
        <v>11.269841269841271</v>
      </c>
      <c r="J7" s="20">
        <v>750.8</v>
      </c>
      <c r="K7" s="19">
        <v>12.678476291955249</v>
      </c>
    </row>
    <row r="8" spans="1:11">
      <c r="A8" s="21" t="s">
        <v>3</v>
      </c>
      <c r="B8" s="20">
        <v>474.2</v>
      </c>
      <c r="C8" s="19">
        <v>11.075495571488824</v>
      </c>
      <c r="D8" s="20">
        <v>177.1</v>
      </c>
      <c r="E8" s="19">
        <v>10.271033314511575</v>
      </c>
      <c r="F8" s="37">
        <v>24.3</v>
      </c>
      <c r="G8" s="19">
        <v>4.4032921810699586</v>
      </c>
      <c r="H8" s="20">
        <v>12.6</v>
      </c>
      <c r="I8" s="19">
        <v>5.1587301587301591</v>
      </c>
      <c r="J8" s="20">
        <v>688.2</v>
      </c>
      <c r="K8" s="19">
        <v>10.524556814879396</v>
      </c>
    </row>
    <row r="9" spans="1:11">
      <c r="A9" s="21" t="s">
        <v>4</v>
      </c>
      <c r="B9" s="20">
        <v>420.1</v>
      </c>
      <c r="C9" s="19">
        <v>11.130683170673649</v>
      </c>
      <c r="D9" s="20">
        <v>175.3</v>
      </c>
      <c r="E9" s="19">
        <v>11.215059897318881</v>
      </c>
      <c r="F9" s="37">
        <v>11.4</v>
      </c>
      <c r="G9" s="38" t="s">
        <v>63</v>
      </c>
      <c r="H9" s="20">
        <v>10.9</v>
      </c>
      <c r="I9" s="19">
        <v>7.0642201834862384</v>
      </c>
      <c r="J9" s="20">
        <v>617.70000000000005</v>
      </c>
      <c r="K9" s="19">
        <v>10.87744859964384</v>
      </c>
    </row>
    <row r="10" spans="1:11">
      <c r="A10" s="21" t="s">
        <v>5</v>
      </c>
      <c r="B10" s="20">
        <v>367.6</v>
      </c>
      <c r="C10" s="19">
        <v>14.591947769314471</v>
      </c>
      <c r="D10" s="20">
        <v>174.6</v>
      </c>
      <c r="E10" s="19">
        <v>11.580756013745704</v>
      </c>
      <c r="F10" s="37">
        <v>8.3000000000000007</v>
      </c>
      <c r="G10" s="19">
        <v>1.6867469879518071</v>
      </c>
      <c r="H10" s="20">
        <v>11</v>
      </c>
      <c r="I10" s="19">
        <v>6.9090909090909092</v>
      </c>
      <c r="J10" s="20">
        <v>561.5</v>
      </c>
      <c r="K10" s="19">
        <v>13.314336598397151</v>
      </c>
    </row>
    <row r="11" spans="1:11">
      <c r="A11" s="21" t="s">
        <v>6</v>
      </c>
      <c r="B11" s="20">
        <v>375.4</v>
      </c>
      <c r="C11" s="19">
        <v>14.350026638252531</v>
      </c>
      <c r="D11" s="20">
        <v>172.9</v>
      </c>
      <c r="E11" s="19">
        <v>12.562174667437825</v>
      </c>
      <c r="F11" s="37">
        <v>10.3</v>
      </c>
      <c r="G11" s="19">
        <v>3.5922330097087376</v>
      </c>
      <c r="H11" s="20">
        <v>10.9</v>
      </c>
      <c r="I11" s="19">
        <v>9.2660550458715587</v>
      </c>
      <c r="J11" s="20">
        <v>569.5</v>
      </c>
      <c r="K11" s="19">
        <v>13.515364354697105</v>
      </c>
    </row>
    <row r="12" spans="1:11">
      <c r="A12" s="21" t="s">
        <v>7</v>
      </c>
      <c r="B12" s="20">
        <v>380.2</v>
      </c>
      <c r="C12" s="19">
        <v>16.333508679642293</v>
      </c>
      <c r="D12" s="20">
        <v>172.6</v>
      </c>
      <c r="E12" s="19">
        <v>12.815758980301275</v>
      </c>
      <c r="F12" s="37">
        <v>11.1</v>
      </c>
      <c r="G12" s="19">
        <v>5.4954954954954953</v>
      </c>
      <c r="H12" s="20">
        <v>10.6</v>
      </c>
      <c r="I12" s="19">
        <v>6.4150943396226419</v>
      </c>
      <c r="J12" s="20">
        <v>574.5</v>
      </c>
      <c r="K12" s="19">
        <v>14.884247171453438</v>
      </c>
    </row>
    <row r="13" spans="1:11">
      <c r="A13" s="21" t="s">
        <v>46</v>
      </c>
      <c r="B13" s="20">
        <v>388.7</v>
      </c>
      <c r="C13" s="19">
        <v>16.971957808078209</v>
      </c>
      <c r="D13" s="20">
        <v>177.6</v>
      </c>
      <c r="E13" s="19">
        <v>12.438063063063064</v>
      </c>
      <c r="F13" s="37">
        <v>12</v>
      </c>
      <c r="G13" s="19">
        <v>6.583333333333333</v>
      </c>
      <c r="H13" s="20">
        <v>10.4</v>
      </c>
      <c r="I13" s="19">
        <v>6.1538461538461533</v>
      </c>
      <c r="J13" s="20">
        <v>588.70000000000005</v>
      </c>
      <c r="K13" s="19">
        <v>15.201290980125702</v>
      </c>
    </row>
    <row r="14" spans="1:11">
      <c r="A14" s="21" t="s">
        <v>47</v>
      </c>
      <c r="B14" s="20">
        <v>399.5</v>
      </c>
      <c r="C14" s="19">
        <v>12.410513141426783</v>
      </c>
      <c r="D14" s="20">
        <v>175.1</v>
      </c>
      <c r="E14" s="19">
        <v>15.288406624785837</v>
      </c>
      <c r="F14" s="37">
        <v>13</v>
      </c>
      <c r="G14" s="19">
        <v>3.9230769230769229</v>
      </c>
      <c r="H14" s="20">
        <v>10.199999999999999</v>
      </c>
      <c r="I14" s="19">
        <v>5.7843137254901968</v>
      </c>
      <c r="J14" s="20">
        <v>597.79999999999995</v>
      </c>
      <c r="K14" s="19">
        <v>12.955838072934091</v>
      </c>
    </row>
    <row r="15" spans="1:11">
      <c r="A15" s="21" t="s">
        <v>48</v>
      </c>
      <c r="B15" s="20">
        <v>420.9</v>
      </c>
      <c r="C15" s="19">
        <v>16.208125445473986</v>
      </c>
      <c r="D15" s="20">
        <v>178.4</v>
      </c>
      <c r="E15" s="19">
        <v>5.3867713004484301</v>
      </c>
      <c r="F15" s="37">
        <v>3.5</v>
      </c>
      <c r="G15" s="38" t="s">
        <v>64</v>
      </c>
      <c r="H15" s="20">
        <v>9.9</v>
      </c>
      <c r="I15" s="19">
        <v>6.5656565656565657</v>
      </c>
      <c r="J15" s="20">
        <v>612.70000000000005</v>
      </c>
      <c r="K15" s="19">
        <v>12.808878733474783</v>
      </c>
    </row>
    <row r="16" spans="1:11">
      <c r="A16" s="21" t="s">
        <v>11</v>
      </c>
      <c r="B16" s="20">
        <v>444.4</v>
      </c>
      <c r="C16" s="19">
        <f>315*90/2000</f>
        <v>14.175000000000001</v>
      </c>
      <c r="D16" s="20">
        <v>181.8</v>
      </c>
      <c r="E16" s="19">
        <f>371*75/2000</f>
        <v>13.9125</v>
      </c>
      <c r="F16" s="37">
        <v>3.5</v>
      </c>
      <c r="G16" s="19">
        <f>9*85/2000</f>
        <v>0.38250000000000001</v>
      </c>
      <c r="H16" s="20">
        <v>10.4</v>
      </c>
      <c r="I16" s="19">
        <f>229*75/2000</f>
        <v>8.5875000000000004</v>
      </c>
      <c r="J16" s="20">
        <v>640.1</v>
      </c>
      <c r="K16" s="19">
        <f>8909/J16</f>
        <v>13.91813779097016</v>
      </c>
    </row>
    <row r="17" spans="1:11">
      <c r="A17" s="21" t="s">
        <v>12</v>
      </c>
      <c r="B17" s="20">
        <v>489.2</v>
      </c>
      <c r="C17" s="19">
        <f>381*90/2000</f>
        <v>17.145</v>
      </c>
      <c r="D17" s="20">
        <v>184</v>
      </c>
      <c r="E17" s="19">
        <f>363*75/2000</f>
        <v>13.612500000000001</v>
      </c>
      <c r="F17" s="37">
        <v>4.42</v>
      </c>
      <c r="G17" s="19">
        <f>115*85/2000</f>
        <v>4.8875000000000002</v>
      </c>
      <c r="H17" s="20">
        <v>10.6</v>
      </c>
      <c r="I17" s="19">
        <f>175*75/2000</f>
        <v>6.5625</v>
      </c>
      <c r="J17" s="20">
        <v>688.2</v>
      </c>
      <c r="K17" s="19">
        <f>10992/J17</f>
        <v>15.972101133391455</v>
      </c>
    </row>
    <row r="18" spans="1:11">
      <c r="A18" s="21" t="s">
        <v>13</v>
      </c>
      <c r="B18" s="20">
        <v>510.8</v>
      </c>
      <c r="C18" s="19">
        <f>341*90/2000</f>
        <v>15.345000000000001</v>
      </c>
      <c r="D18" s="20">
        <v>185</v>
      </c>
      <c r="E18" s="19">
        <f>344*75/2000</f>
        <v>12.9</v>
      </c>
      <c r="F18" s="37">
        <v>5.45</v>
      </c>
      <c r="G18" s="19">
        <f>101*85/2000</f>
        <v>4.2925000000000004</v>
      </c>
      <c r="H18" s="20">
        <v>10.6</v>
      </c>
      <c r="I18" s="19">
        <f>179*75/2000</f>
        <v>6.7125000000000004</v>
      </c>
      <c r="J18" s="20">
        <v>711.85</v>
      </c>
      <c r="K18" s="19">
        <f>10329/J18</f>
        <v>14.51007937065393</v>
      </c>
    </row>
    <row r="19" spans="1:11">
      <c r="A19" s="21" t="s">
        <v>14</v>
      </c>
      <c r="B19" s="20">
        <v>562.79999999999995</v>
      </c>
      <c r="C19" s="19">
        <f>365*90/2000</f>
        <v>16.425000000000001</v>
      </c>
      <c r="D19" s="20">
        <v>191</v>
      </c>
      <c r="E19" s="19">
        <f>293*75/2000</f>
        <v>10.987500000000001</v>
      </c>
      <c r="F19" s="37">
        <v>6.97</v>
      </c>
      <c r="G19" s="19">
        <f>151*85/2000</f>
        <v>6.4175000000000004</v>
      </c>
      <c r="H19" s="20">
        <v>10.4</v>
      </c>
      <c r="I19" s="19">
        <f>101*75/2000</f>
        <v>3.7875000000000001</v>
      </c>
      <c r="J19" s="20">
        <v>771.17</v>
      </c>
      <c r="K19" s="19">
        <f>11432/J19</f>
        <v>14.824228120907193</v>
      </c>
    </row>
    <row r="20" spans="1:11">
      <c r="A20" s="26" t="s">
        <v>15</v>
      </c>
      <c r="B20" s="25">
        <v>594.79999999999995</v>
      </c>
      <c r="C20" s="24">
        <f>342*90/2000</f>
        <v>15.39</v>
      </c>
      <c r="D20" s="25">
        <v>196</v>
      </c>
      <c r="E20" s="24">
        <f>296*75/2000</f>
        <v>11.1</v>
      </c>
      <c r="F20" s="39">
        <v>7.9</v>
      </c>
      <c r="G20" s="24">
        <f>120*85/2000</f>
        <v>5.0999999999999996</v>
      </c>
      <c r="H20" s="25">
        <v>10.1</v>
      </c>
      <c r="I20" s="24">
        <f>163*75/2000</f>
        <v>6.1124999999999998</v>
      </c>
      <c r="J20" s="25">
        <v>808.8</v>
      </c>
      <c r="K20" s="24">
        <f>11426/J20</f>
        <v>14.1271018793274</v>
      </c>
    </row>
    <row r="21" spans="1:11">
      <c r="A21" s="26" t="s">
        <v>16</v>
      </c>
      <c r="B21" s="25">
        <v>624.9</v>
      </c>
      <c r="C21" s="24">
        <f>362*90/2000</f>
        <v>16.29</v>
      </c>
      <c r="D21" s="25">
        <v>200</v>
      </c>
      <c r="E21" s="24">
        <f>320*75/2000</f>
        <v>12</v>
      </c>
      <c r="F21" s="39">
        <v>8.6999999999999993</v>
      </c>
      <c r="G21" s="24">
        <f>163*85/2000</f>
        <v>6.9275000000000002</v>
      </c>
      <c r="H21" s="25">
        <v>10</v>
      </c>
      <c r="I21" s="24">
        <f>140*75/2000</f>
        <v>5.25</v>
      </c>
      <c r="J21" s="25">
        <v>843.6</v>
      </c>
      <c r="K21" s="24">
        <f>12692/J21</f>
        <v>15.045045045045045</v>
      </c>
    </row>
    <row r="22" spans="1:11">
      <c r="A22" s="26" t="s">
        <v>17</v>
      </c>
      <c r="B22" s="25">
        <v>609.20000000000005</v>
      </c>
      <c r="C22" s="24">
        <f>401*90/2000</f>
        <v>18.045000000000002</v>
      </c>
      <c r="D22" s="25">
        <v>202.2</v>
      </c>
      <c r="E22" s="24">
        <f>341*75/2000</f>
        <v>12.7875</v>
      </c>
      <c r="F22" s="39">
        <v>9.5</v>
      </c>
      <c r="G22" s="24">
        <f>161*85/2000</f>
        <v>6.8425000000000002</v>
      </c>
      <c r="H22" s="25">
        <v>9.1</v>
      </c>
      <c r="I22" s="24">
        <f>110*75/2000</f>
        <v>4.125</v>
      </c>
      <c r="J22" s="25">
        <v>830</v>
      </c>
      <c r="K22" s="24">
        <f>13670/J22</f>
        <v>16.46987951807229</v>
      </c>
    </row>
    <row r="23" spans="1:11">
      <c r="A23" s="26" t="s">
        <v>18</v>
      </c>
      <c r="B23" s="25">
        <v>612.6</v>
      </c>
      <c r="C23" s="24">
        <f>304*90/2000</f>
        <v>13.68</v>
      </c>
      <c r="D23" s="25">
        <v>203.5</v>
      </c>
      <c r="E23" s="24">
        <f>177*75/2000</f>
        <v>6.6375000000000002</v>
      </c>
      <c r="F23" s="39">
        <v>9.3000000000000007</v>
      </c>
      <c r="G23" s="24">
        <f>154*85/2000</f>
        <v>6.5449999999999999</v>
      </c>
      <c r="H23" s="25">
        <v>6.9</v>
      </c>
      <c r="I23" s="24">
        <f>167*75/2000</f>
        <v>6.2625000000000002</v>
      </c>
      <c r="J23" s="25">
        <v>832.3</v>
      </c>
      <c r="K23" s="24">
        <f>9824/J23</f>
        <v>11.803436260963595</v>
      </c>
    </row>
    <row r="24" spans="1:11">
      <c r="A24" s="28" t="s">
        <v>19</v>
      </c>
      <c r="B24" s="25">
        <v>602.1</v>
      </c>
      <c r="C24" s="24">
        <f>387*90/2000</f>
        <v>17.414999999999999</v>
      </c>
      <c r="D24" s="25">
        <v>199</v>
      </c>
      <c r="E24" s="24">
        <f>322*75/2000</f>
        <v>12.074999999999999</v>
      </c>
      <c r="F24" s="39">
        <v>9.3000000000000007</v>
      </c>
      <c r="G24" s="24">
        <f>178*85/2000</f>
        <v>7.5650000000000004</v>
      </c>
      <c r="H24" s="25">
        <v>6.2</v>
      </c>
      <c r="I24" s="24">
        <f>177*75/2000</f>
        <v>6.6375000000000002</v>
      </c>
      <c r="J24" s="25">
        <v>816.6</v>
      </c>
      <c r="K24" s="24">
        <f>12997/J24</f>
        <v>15.91599314229733</v>
      </c>
    </row>
    <row r="25" spans="1:11">
      <c r="A25" s="28" t="s">
        <v>20</v>
      </c>
      <c r="B25" s="25">
        <v>605</v>
      </c>
      <c r="C25" s="24">
        <f>369*90/2000</f>
        <v>16.605</v>
      </c>
      <c r="D25" s="25">
        <v>198</v>
      </c>
      <c r="E25" s="24">
        <f>275*75/2000</f>
        <v>10.3125</v>
      </c>
      <c r="F25" s="39">
        <v>9.3000000000000007</v>
      </c>
      <c r="G25" s="24">
        <f>240*85/2000</f>
        <v>10.199999999999999</v>
      </c>
      <c r="H25" s="25">
        <v>6.4</v>
      </c>
      <c r="I25" s="24">
        <f>141*75/2000</f>
        <v>5.2874999999999996</v>
      </c>
      <c r="J25" s="25">
        <v>818.7</v>
      </c>
      <c r="K25" s="24">
        <f>12221/J25</f>
        <v>14.927323806033955</v>
      </c>
    </row>
    <row r="26" spans="1:11">
      <c r="A26" s="26" t="s">
        <v>21</v>
      </c>
      <c r="B26" s="25">
        <v>586.9</v>
      </c>
      <c r="C26" s="24">
        <f>392*90/2000</f>
        <v>17.64</v>
      </c>
      <c r="D26" s="25">
        <v>195</v>
      </c>
      <c r="E26" s="24">
        <f>264*75/2000</f>
        <v>9.9</v>
      </c>
      <c r="F26" s="39">
        <v>9.3000000000000007</v>
      </c>
      <c r="G26" s="24">
        <f>187*85/2000</f>
        <v>7.9474999999999998</v>
      </c>
      <c r="H26" s="25">
        <v>6.4</v>
      </c>
      <c r="I26" s="24">
        <f>81*75/2000</f>
        <v>3.0375000000000001</v>
      </c>
      <c r="J26" s="25">
        <v>797.6</v>
      </c>
      <c r="K26" s="24">
        <f>12374/J26</f>
        <v>15.514042126379136</v>
      </c>
    </row>
    <row r="27" spans="1:11">
      <c r="A27" s="28" t="s">
        <v>22</v>
      </c>
      <c r="B27" s="25">
        <v>587.6</v>
      </c>
      <c r="C27" s="24">
        <f>345*90/2000</f>
        <v>15.525</v>
      </c>
      <c r="D27" s="25">
        <v>198</v>
      </c>
      <c r="E27" s="24">
        <f>313*75/2000</f>
        <v>11.737500000000001</v>
      </c>
      <c r="F27" s="39">
        <v>8.8000000000000007</v>
      </c>
      <c r="G27" s="24">
        <f>178*85/2000</f>
        <v>7.5650000000000004</v>
      </c>
      <c r="H27" s="25">
        <v>5.6</v>
      </c>
      <c r="I27" s="24">
        <f>84*75/2000</f>
        <v>3.15</v>
      </c>
      <c r="J27" s="25">
        <v>800</v>
      </c>
      <c r="K27" s="24">
        <f>11545/J27</f>
        <v>14.43125</v>
      </c>
    </row>
    <row r="28" spans="1:11">
      <c r="A28" s="26" t="s">
        <v>23</v>
      </c>
      <c r="B28" s="25">
        <v>564.79999999999995</v>
      </c>
      <c r="C28" s="24">
        <f>428*90/2000</f>
        <v>19.260000000000002</v>
      </c>
      <c r="D28" s="25">
        <v>193</v>
      </c>
      <c r="E28" s="24">
        <f>262*75/2000</f>
        <v>9.8249999999999993</v>
      </c>
      <c r="F28" s="39">
        <v>8.8000000000000007</v>
      </c>
      <c r="G28" s="24">
        <f>188*85/2000</f>
        <v>7.99</v>
      </c>
      <c r="H28" s="25">
        <v>4.9000000000000004</v>
      </c>
      <c r="I28" s="24">
        <f>96*75/2000</f>
        <v>3.6</v>
      </c>
      <c r="J28" s="25">
        <v>771.5</v>
      </c>
      <c r="K28" s="24">
        <f>12872/J28</f>
        <v>16.684381075826312</v>
      </c>
    </row>
    <row r="29" spans="1:11">
      <c r="A29" s="26" t="s">
        <v>24</v>
      </c>
      <c r="B29" s="25">
        <v>541.79999999999995</v>
      </c>
      <c r="C29" s="24">
        <f>276*90/2000</f>
        <v>12.42</v>
      </c>
      <c r="D29" s="25">
        <v>191</v>
      </c>
      <c r="E29" s="24">
        <f>338*75/2000</f>
        <v>12.675000000000001</v>
      </c>
      <c r="F29" s="39">
        <v>8.8000000000000007</v>
      </c>
      <c r="G29" s="24">
        <f>201*85/2000</f>
        <v>8.5425000000000004</v>
      </c>
      <c r="H29" s="25">
        <v>4.2</v>
      </c>
      <c r="I29" s="24">
        <f>102*75/2000</f>
        <v>3.8250000000000002</v>
      </c>
      <c r="J29" s="25">
        <v>745.8</v>
      </c>
      <c r="K29" s="24">
        <f>9251/J29</f>
        <v>12.404129793510325</v>
      </c>
    </row>
    <row r="30" spans="1:11">
      <c r="A30" s="26" t="s">
        <v>25</v>
      </c>
      <c r="B30" s="25">
        <v>491</v>
      </c>
      <c r="C30" s="24">
        <f>301*90/2000</f>
        <v>13.545</v>
      </c>
      <c r="D30" s="25">
        <v>190</v>
      </c>
      <c r="E30" s="24">
        <f>321*75/2000</f>
        <v>12.0375</v>
      </c>
      <c r="F30" s="39">
        <v>8.8000000000000007</v>
      </c>
      <c r="G30" s="24">
        <f>182*85/2000</f>
        <v>7.7350000000000003</v>
      </c>
      <c r="H30" s="25">
        <v>3.3</v>
      </c>
      <c r="I30" s="24">
        <f>136*75/2000</f>
        <v>5.0999999999999996</v>
      </c>
      <c r="J30" s="25">
        <v>693.1</v>
      </c>
      <c r="K30" s="24">
        <f>9020/J30</f>
        <v>13.013995094502958</v>
      </c>
    </row>
    <row r="31" spans="1:11">
      <c r="A31" s="26" t="s">
        <v>50</v>
      </c>
      <c r="B31" s="25">
        <v>475.9</v>
      </c>
      <c r="C31" s="24">
        <f>271*90/2000</f>
        <v>12.195</v>
      </c>
      <c r="D31" s="25">
        <v>190</v>
      </c>
      <c r="E31" s="24">
        <f>242*75/2000</f>
        <v>9.0749999999999993</v>
      </c>
      <c r="F31" s="39">
        <v>8.8000000000000007</v>
      </c>
      <c r="G31" s="24">
        <f>225*85/2000</f>
        <v>9.5625</v>
      </c>
      <c r="H31" s="25">
        <v>2.6</v>
      </c>
      <c r="I31" s="24">
        <f>115*75/2000</f>
        <v>4.3125</v>
      </c>
      <c r="J31" s="25">
        <v>677.3</v>
      </c>
      <c r="K31" s="24">
        <f>7625/J31</f>
        <v>11.257935922043409</v>
      </c>
    </row>
    <row r="32" spans="1:11">
      <c r="A32" s="26" t="s">
        <v>26</v>
      </c>
      <c r="B32" s="25">
        <v>463.9</v>
      </c>
      <c r="C32" s="24">
        <f>367*90/2000</f>
        <v>16.515000000000001</v>
      </c>
      <c r="D32" s="25">
        <v>188</v>
      </c>
      <c r="E32" s="24">
        <f>330*75/2000</f>
        <v>12.375</v>
      </c>
      <c r="F32" s="39">
        <v>8.5</v>
      </c>
      <c r="G32" s="24">
        <f>211*85/2000</f>
        <v>8.9674999999999994</v>
      </c>
      <c r="H32" s="25">
        <v>2.4</v>
      </c>
      <c r="I32" s="24">
        <f>158*75/2000</f>
        <v>5.9249999999999998</v>
      </c>
      <c r="J32" s="25">
        <v>662.8</v>
      </c>
      <c r="K32" s="24">
        <f>10076/J32</f>
        <v>15.202172601086302</v>
      </c>
    </row>
    <row r="33" spans="1:11">
      <c r="A33" s="26" t="s">
        <v>27</v>
      </c>
      <c r="B33" s="25">
        <v>459.1</v>
      </c>
      <c r="C33" s="24">
        <f>354*90/2000</f>
        <v>15.93</v>
      </c>
      <c r="D33" s="25">
        <v>186</v>
      </c>
      <c r="E33" s="24">
        <f>250*75/2000</f>
        <v>9.375</v>
      </c>
      <c r="F33" s="39">
        <v>8.5</v>
      </c>
      <c r="G33" s="24">
        <f>172*85/2000</f>
        <v>7.31</v>
      </c>
      <c r="H33" s="25">
        <v>2.4</v>
      </c>
      <c r="I33" s="24">
        <f>104*75/2000</f>
        <v>3.9</v>
      </c>
      <c r="J33" s="25">
        <v>656</v>
      </c>
      <c r="K33" s="24">
        <f>9128/J33</f>
        <v>13.914634146341463</v>
      </c>
    </row>
    <row r="34" spans="1:11">
      <c r="A34" s="26" t="s">
        <v>28</v>
      </c>
      <c r="B34" s="25">
        <v>451</v>
      </c>
      <c r="C34" s="24">
        <f>296*90/2000</f>
        <v>13.32</v>
      </c>
      <c r="D34" s="25">
        <v>183</v>
      </c>
      <c r="E34" s="24">
        <f>314*75/2000</f>
        <v>11.775</v>
      </c>
      <c r="F34" s="39">
        <v>8</v>
      </c>
      <c r="G34" s="24">
        <f>204*85/2000</f>
        <v>8.67</v>
      </c>
      <c r="H34" s="25" t="s">
        <v>65</v>
      </c>
      <c r="I34" s="25" t="s">
        <v>65</v>
      </c>
      <c r="J34" s="25">
        <v>642</v>
      </c>
      <c r="K34" s="24">
        <f>8243/J34</f>
        <v>12.839563862928349</v>
      </c>
    </row>
    <row r="35" spans="1:11">
      <c r="A35" s="26" t="s">
        <v>29</v>
      </c>
      <c r="B35" s="25">
        <v>440</v>
      </c>
      <c r="C35" s="24">
        <f>319*90/2000</f>
        <v>14.355</v>
      </c>
      <c r="D35" s="25">
        <v>180</v>
      </c>
      <c r="E35" s="24">
        <f>347*80/2000</f>
        <v>13.88</v>
      </c>
      <c r="F35" s="39">
        <v>8</v>
      </c>
      <c r="G35" s="24">
        <f>244*85/2000</f>
        <v>10.37</v>
      </c>
      <c r="H35" s="25" t="s">
        <v>65</v>
      </c>
      <c r="I35" s="25" t="s">
        <v>65</v>
      </c>
      <c r="J35" s="25">
        <v>628</v>
      </c>
      <c r="K35" s="24">
        <f>8905/J35</f>
        <v>14.179936305732484</v>
      </c>
    </row>
    <row r="36" spans="1:11">
      <c r="A36" s="26" t="s">
        <v>30</v>
      </c>
      <c r="B36" s="25">
        <v>433.4</v>
      </c>
      <c r="C36" s="24">
        <f>338*90/2000</f>
        <v>15.21</v>
      </c>
      <c r="D36" s="25">
        <v>177</v>
      </c>
      <c r="E36" s="24">
        <f>328*80/2000</f>
        <v>13.12</v>
      </c>
      <c r="F36" s="39">
        <v>8</v>
      </c>
      <c r="G36" s="24">
        <f>177*85/2000</f>
        <v>7.5225</v>
      </c>
      <c r="H36" s="25" t="s">
        <v>65</v>
      </c>
      <c r="I36" s="25" t="s">
        <v>65</v>
      </c>
      <c r="J36" s="25">
        <v>618.4</v>
      </c>
      <c r="K36" s="24">
        <f>8982/J36</f>
        <v>14.524579560155241</v>
      </c>
    </row>
    <row r="37" spans="1:11">
      <c r="A37" s="26" t="s">
        <v>31</v>
      </c>
      <c r="B37" s="25">
        <v>429.2</v>
      </c>
      <c r="C37" s="24">
        <f>311*90/2000</f>
        <v>13.994999999999999</v>
      </c>
      <c r="D37" s="25">
        <v>171</v>
      </c>
      <c r="E37" s="24">
        <f>319*80/2000</f>
        <v>12.76</v>
      </c>
      <c r="F37" s="39">
        <v>7</v>
      </c>
      <c r="G37" s="24">
        <f>256*85/2000</f>
        <v>10.88</v>
      </c>
      <c r="H37" s="25" t="s">
        <v>65</v>
      </c>
      <c r="I37" s="25" t="s">
        <v>65</v>
      </c>
      <c r="J37" s="25">
        <v>607.20000000000005</v>
      </c>
      <c r="K37" s="24">
        <f>8269/J37</f>
        <v>13.61824769433465</v>
      </c>
    </row>
    <row r="38" spans="1:11">
      <c r="A38" s="26" t="s">
        <v>32</v>
      </c>
      <c r="B38" s="25">
        <v>418.7</v>
      </c>
      <c r="C38" s="24">
        <f>250*90/2000</f>
        <v>11.25</v>
      </c>
      <c r="D38" s="25">
        <v>166</v>
      </c>
      <c r="E38" s="24">
        <f>298*80/2000</f>
        <v>11.92</v>
      </c>
      <c r="F38" s="39">
        <v>7.1</v>
      </c>
      <c r="G38" s="24">
        <f>250*85/2000</f>
        <v>10.625</v>
      </c>
      <c r="H38" s="25" t="s">
        <v>65</v>
      </c>
      <c r="I38" s="25" t="s">
        <v>65</v>
      </c>
      <c r="J38" s="25">
        <v>591.79999999999995</v>
      </c>
      <c r="K38" s="24">
        <f>6768/J38</f>
        <v>11.436296045961475</v>
      </c>
    </row>
    <row r="39" spans="1:11">
      <c r="A39" s="26" t="s">
        <v>33</v>
      </c>
      <c r="B39" s="25">
        <v>405.5</v>
      </c>
      <c r="C39" s="24">
        <f>239*90/2000</f>
        <v>10.755000000000001</v>
      </c>
      <c r="D39" s="25">
        <v>163</v>
      </c>
      <c r="E39" s="24">
        <f>296*80/2000</f>
        <v>11.84</v>
      </c>
      <c r="F39" s="39">
        <v>7.4</v>
      </c>
      <c r="G39" s="24">
        <f>196*85/2000</f>
        <v>8.33</v>
      </c>
      <c r="H39" s="25" t="s">
        <v>65</v>
      </c>
      <c r="I39" s="25" t="s">
        <v>65</v>
      </c>
      <c r="J39" s="25">
        <v>575.9</v>
      </c>
      <c r="K39" s="31">
        <f>6353/J39</f>
        <v>11.031429067546449</v>
      </c>
    </row>
    <row r="40" spans="1:11">
      <c r="A40" s="26" t="s">
        <v>34</v>
      </c>
      <c r="B40" s="25">
        <v>387</v>
      </c>
      <c r="C40" s="24">
        <f>211*90/2000</f>
        <v>9.4949999999999992</v>
      </c>
      <c r="D40" s="25">
        <v>157</v>
      </c>
      <c r="E40" s="24">
        <f>373*80/2000</f>
        <v>14.92</v>
      </c>
      <c r="F40" s="39">
        <v>7.4</v>
      </c>
      <c r="G40" s="24">
        <f>229*85/2000</f>
        <v>9.7324999999999999</v>
      </c>
      <c r="H40" s="25" t="s">
        <v>65</v>
      </c>
      <c r="I40" s="25" t="s">
        <v>65</v>
      </c>
      <c r="J40" s="25">
        <v>551.4</v>
      </c>
      <c r="K40" s="31">
        <f>6088/J40</f>
        <v>11.040986579615524</v>
      </c>
    </row>
    <row r="41" spans="1:11">
      <c r="A41" s="26" t="s">
        <v>35</v>
      </c>
      <c r="B41" s="25">
        <v>367.5</v>
      </c>
      <c r="C41" s="24">
        <f>187*90/2000</f>
        <v>8.4149999999999991</v>
      </c>
      <c r="D41" s="25">
        <v>152</v>
      </c>
      <c r="E41" s="24">
        <f>318*80/2000</f>
        <v>12.72</v>
      </c>
      <c r="F41" s="39">
        <v>8</v>
      </c>
      <c r="G41" s="24">
        <f>171*85/2000</f>
        <v>7.2675000000000001</v>
      </c>
      <c r="H41" s="25" t="s">
        <v>65</v>
      </c>
      <c r="I41" s="25" t="s">
        <v>65</v>
      </c>
      <c r="J41" s="25">
        <v>527.5</v>
      </c>
      <c r="K41" s="31">
        <f>5088/J41</f>
        <v>9.6454976303317537</v>
      </c>
    </row>
    <row r="42" spans="1:11">
      <c r="A42" s="40" t="s">
        <v>36</v>
      </c>
      <c r="B42" s="41">
        <v>361.8</v>
      </c>
      <c r="C42" s="42">
        <f>124*90/2000</f>
        <v>5.58</v>
      </c>
      <c r="D42" s="41">
        <v>147</v>
      </c>
      <c r="E42" s="42">
        <f>309*80/2000</f>
        <v>12.36</v>
      </c>
      <c r="F42" s="43">
        <v>8.6999999999999993</v>
      </c>
      <c r="G42" s="42">
        <f>216*85/2000</f>
        <v>9.18</v>
      </c>
      <c r="H42" s="41" t="s">
        <v>65</v>
      </c>
      <c r="I42" s="41" t="s">
        <v>65</v>
      </c>
      <c r="J42" s="41">
        <v>517.5</v>
      </c>
      <c r="K42" s="35">
        <f>3919/J42</f>
        <v>7.5729468599033813</v>
      </c>
    </row>
    <row r="44" spans="1:11">
      <c r="A44" s="36" t="s">
        <v>67</v>
      </c>
      <c r="B44" s="6"/>
      <c r="C44" s="10"/>
      <c r="D44" s="11"/>
      <c r="E44" s="6"/>
      <c r="F44" s="10"/>
      <c r="G44" s="11"/>
      <c r="H44" s="6"/>
      <c r="I44" s="27"/>
      <c r="J44" s="11"/>
      <c r="K44" s="6"/>
    </row>
    <row r="45" spans="1:11">
      <c r="A45" s="18" t="s">
        <v>68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5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Grapefruit</vt:lpstr>
      <vt:lpstr>Lemons</vt:lpstr>
      <vt:lpstr>Oranges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Plamann Wagoner</dc:creator>
  <cp:lastModifiedBy>Kara Plamann Wagoner</cp:lastModifiedBy>
  <dcterms:created xsi:type="dcterms:W3CDTF">2018-11-20T21:05:05Z</dcterms:created>
  <dcterms:modified xsi:type="dcterms:W3CDTF">2018-11-21T03:58:15Z</dcterms:modified>
</cp:coreProperties>
</file>