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hbit/koubbe/Containers/First experiments/results/"/>
    </mc:Choice>
  </mc:AlternateContent>
  <xr:revisionPtr revIDLastSave="0" documentId="13_ncr:1_{C2AB56DF-C0DF-7842-835F-46A1717683CE}" xr6:coauthVersionLast="36" xr6:coauthVersionMax="36" xr10:uidLastSave="{00000000-0000-0000-0000-000000000000}"/>
  <bookViews>
    <workbookView xWindow="860" yWindow="460" windowWidth="37540" windowHeight="21140" xr2:uid="{5C86F751-EA59-464C-941B-333EDFC81949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7" i="2" l="1"/>
  <c r="L177" i="2"/>
  <c r="K177" i="2"/>
  <c r="J177" i="2"/>
  <c r="F177" i="2"/>
  <c r="E177" i="2"/>
  <c r="D177" i="2"/>
  <c r="C177" i="2"/>
  <c r="M176" i="2"/>
  <c r="L176" i="2"/>
  <c r="K176" i="2"/>
  <c r="J176" i="2"/>
  <c r="F176" i="2"/>
  <c r="E176" i="2"/>
  <c r="D176" i="2"/>
  <c r="C176" i="2"/>
  <c r="M151" i="2" l="1"/>
  <c r="L151" i="2"/>
  <c r="K151" i="2"/>
  <c r="J151" i="2"/>
  <c r="F151" i="2"/>
  <c r="E151" i="2"/>
  <c r="D151" i="2"/>
  <c r="C151" i="2"/>
  <c r="M150" i="2"/>
  <c r="L150" i="2"/>
  <c r="K150" i="2"/>
  <c r="J150" i="2"/>
  <c r="F150" i="2"/>
  <c r="E150" i="2"/>
  <c r="D150" i="2"/>
  <c r="C150" i="2"/>
  <c r="M125" i="2" l="1"/>
  <c r="L125" i="2"/>
  <c r="K125" i="2"/>
  <c r="J125" i="2"/>
  <c r="F125" i="2"/>
  <c r="E125" i="2"/>
  <c r="D125" i="2"/>
  <c r="C125" i="2"/>
  <c r="M124" i="2"/>
  <c r="L124" i="2"/>
  <c r="K124" i="2"/>
  <c r="J124" i="2"/>
  <c r="F124" i="2"/>
  <c r="E124" i="2"/>
  <c r="D124" i="2"/>
  <c r="C124" i="2"/>
  <c r="K99" i="2" l="1"/>
  <c r="L99" i="2"/>
  <c r="M99" i="2"/>
  <c r="J99" i="2"/>
  <c r="D99" i="2"/>
  <c r="E99" i="2"/>
  <c r="F99" i="2"/>
  <c r="C99" i="2"/>
  <c r="M98" i="2" l="1"/>
  <c r="L98" i="2"/>
  <c r="K98" i="2"/>
  <c r="J98" i="2"/>
  <c r="F98" i="2"/>
  <c r="E98" i="2"/>
  <c r="D98" i="2"/>
  <c r="C98" i="2"/>
  <c r="O73" i="2"/>
  <c r="N73" i="2"/>
  <c r="M73" i="2"/>
  <c r="L73" i="2"/>
  <c r="O72" i="2"/>
  <c r="N72" i="2"/>
  <c r="M72" i="2"/>
  <c r="L72" i="2"/>
  <c r="F73" i="2"/>
  <c r="E73" i="2"/>
  <c r="D73" i="2"/>
  <c r="C73" i="2"/>
  <c r="F72" i="2"/>
  <c r="E72" i="2"/>
  <c r="D72" i="2"/>
  <c r="C72" i="2"/>
  <c r="C46" i="2"/>
  <c r="Q47" i="2"/>
  <c r="P47" i="2"/>
  <c r="O47" i="2"/>
  <c r="N47" i="2"/>
  <c r="M47" i="2"/>
  <c r="L47" i="2"/>
  <c r="Q46" i="2"/>
  <c r="P46" i="2"/>
  <c r="O46" i="2"/>
  <c r="N46" i="2"/>
  <c r="M46" i="2"/>
  <c r="L46" i="2"/>
  <c r="H47" i="2"/>
  <c r="G47" i="2"/>
  <c r="G46" i="2"/>
  <c r="H46" i="2"/>
  <c r="F47" i="2"/>
  <c r="E47" i="2"/>
  <c r="D47" i="2"/>
  <c r="C47" i="2"/>
  <c r="F46" i="2"/>
  <c r="E46" i="2"/>
  <c r="D46" i="2"/>
  <c r="F20" i="2"/>
  <c r="E20" i="2"/>
  <c r="D20" i="2"/>
  <c r="C20" i="2"/>
  <c r="F19" i="2"/>
  <c r="E19" i="2"/>
  <c r="D19" i="2"/>
  <c r="C19" i="2"/>
  <c r="M20" i="2"/>
  <c r="N20" i="2"/>
  <c r="O20" i="2"/>
  <c r="L20" i="2"/>
  <c r="O19" i="2"/>
  <c r="N19" i="2"/>
  <c r="M19" i="2"/>
  <c r="L19" i="2"/>
</calcChain>
</file>

<file path=xl/sharedStrings.xml><?xml version="1.0" encoding="utf-8"?>
<sst xmlns="http://schemas.openxmlformats.org/spreadsheetml/2006/main" count="109" uniqueCount="29">
  <si>
    <t>non-containerized</t>
  </si>
  <si>
    <t>containerized</t>
  </si>
  <si>
    <t>stress-ng-0.10.16 for 100s on two.radical using Docker</t>
  </si>
  <si>
    <t>stress-ng-0.10.16 for 100s on Bridges using Singularity</t>
  </si>
  <si>
    <t>MPI Hello World on two.radical using Docker</t>
  </si>
  <si>
    <t>1</t>
  </si>
  <si>
    <t>2</t>
  </si>
  <si>
    <t>4</t>
  </si>
  <si>
    <t>8</t>
  </si>
  <si>
    <t>Average</t>
  </si>
  <si>
    <t>Std Dev</t>
  </si>
  <si>
    <t>1/1/1</t>
  </si>
  <si>
    <t>2/2/1</t>
  </si>
  <si>
    <t>4/4/1</t>
  </si>
  <si>
    <t>8/8/1</t>
  </si>
  <si>
    <t>16/16/1</t>
  </si>
  <si>
    <t>32/32/2</t>
  </si>
  <si>
    <t>56/1/2</t>
  </si>
  <si>
    <t>112/2/4</t>
  </si>
  <si>
    <t>224/4/8</t>
  </si>
  <si>
    <t>448/8/16</t>
  </si>
  <si>
    <t>Intel MPI Hello World on Bridges using Singularity</t>
  </si>
  <si>
    <t>Intel MPI Hello World on Comet using Singularity</t>
  </si>
  <si>
    <t>48/1/2</t>
  </si>
  <si>
    <t>96/2/4</t>
  </si>
  <si>
    <t>192/4/8</t>
  </si>
  <si>
    <t>384/8/16</t>
  </si>
  <si>
    <t>MPICH Hello World on Comet using Singularity</t>
  </si>
  <si>
    <t>Intel MPI Hello World on Comet using Singularity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</si>
</sst>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two.radical machine using Docker </a:t>
            </a:r>
            <a:r>
              <a:rPr lang="en-US" sz="1800">
                <a:effectLst/>
              </a:rPr>
              <a:t>17.05.0-ce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4.2426406871195574E-2</c:v>
                  </c:pt>
                  <c:pt idx="1">
                    <c:v>3.6147844564603231E-2</c:v>
                  </c:pt>
                  <c:pt idx="2">
                    <c:v>7.7064186811314231E-2</c:v>
                  </c:pt>
                  <c:pt idx="3">
                    <c:v>6.1000910740012924E-2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Sheet1!$C$19:$F$19</c:f>
              <c:numCache>
                <c:formatCode>0.00</c:formatCode>
                <c:ptCount val="4"/>
                <c:pt idx="0">
                  <c:v>100.1</c:v>
                </c:pt>
                <c:pt idx="1">
                  <c:v>100.10799999999999</c:v>
                </c:pt>
                <c:pt idx="2">
                  <c:v>100.175</c:v>
                </c:pt>
                <c:pt idx="3">
                  <c:v>100.24100000000001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B-9947-98C7-6C6D67A4AE5E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512820512821263E-3"/>
                  <c:y val="-2.4475524475524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1B-9947-98C7-6C6D67A4AE5E}"/>
                </c:ext>
              </c:extLst>
            </c:dLbl>
            <c:dLbl>
              <c:idx val="3"/>
              <c:layout>
                <c:manualLayout>
                  <c:x val="0"/>
                  <c:y val="-3.146853146853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B-9947-98C7-6C6D67A4A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plus>
            <c:minus>
              <c:numRef>
                <c:f>Sheet1!$L$20:$O$20</c:f>
                <c:numCache>
                  <c:formatCode>General</c:formatCode>
                  <c:ptCount val="4"/>
                  <c:pt idx="0">
                    <c:v>0.13326664999166069</c:v>
                  </c:pt>
                  <c:pt idx="1">
                    <c:v>0.24117536266284631</c:v>
                  </c:pt>
                  <c:pt idx="2">
                    <c:v>0.35802700084397537</c:v>
                  </c:pt>
                  <c:pt idx="3">
                    <c:v>0.56141586883323447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Sheet1!$C$8:$F$8</c:f>
              <c:strCache>
                <c:ptCount val="4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</c:strCache>
            </c:strRef>
          </c:cat>
          <c:val>
            <c:numRef>
              <c:f>Sheet1!$L$19:$O$19</c:f>
              <c:numCache>
                <c:formatCode>0.00</c:formatCode>
                <c:ptCount val="4"/>
                <c:pt idx="0">
                  <c:v>102.20400000000002</c:v>
                </c:pt>
                <c:pt idx="1">
                  <c:v>102.83899999999998</c:v>
                </c:pt>
                <c:pt idx="2">
                  <c:v>104.505</c:v>
                </c:pt>
                <c:pt idx="3">
                  <c:v>107.23100000000002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9947-98C7-6C6D67A4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stress-ng-0.10.16 for 100 seconds on Bridges using Singularity 3.5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plus>
            <c:minus>
              <c:numRef>
                <c:f>Sheet1!$C$47:$H$47</c:f>
                <c:numCache>
                  <c:formatCode>General</c:formatCode>
                  <c:ptCount val="6"/>
                  <c:pt idx="0">
                    <c:v>0.19782427668121072</c:v>
                  </c:pt>
                  <c:pt idx="1">
                    <c:v>0.25180239165751317</c:v>
                  </c:pt>
                  <c:pt idx="2">
                    <c:v>0.21163123062954953</c:v>
                  </c:pt>
                  <c:pt idx="3">
                    <c:v>0.30335347918448979</c:v>
                  </c:pt>
                  <c:pt idx="4">
                    <c:v>0.2171021265057842</c:v>
                  </c:pt>
                  <c:pt idx="5">
                    <c:v>0.82368076340290941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Sheet1!$C$46:$H$46</c:f>
              <c:numCache>
                <c:formatCode>0.00</c:formatCode>
                <c:ptCount val="6"/>
                <c:pt idx="0">
                  <c:v>101.12700000000001</c:v>
                </c:pt>
                <c:pt idx="1">
                  <c:v>101.096</c:v>
                </c:pt>
                <c:pt idx="2">
                  <c:v>101.161</c:v>
                </c:pt>
                <c:pt idx="3">
                  <c:v>101.357</c:v>
                </c:pt>
                <c:pt idx="4">
                  <c:v>101.63000000000001</c:v>
                </c:pt>
                <c:pt idx="5">
                  <c:v>103.595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6142-B966-702B87D86511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plus>
            <c:minus>
              <c:numRef>
                <c:f>Sheet1!$L$47:$Q$47</c:f>
                <c:numCache>
                  <c:formatCode>General</c:formatCode>
                  <c:ptCount val="6"/>
                  <c:pt idx="0">
                    <c:v>0.23003622903070281</c:v>
                  </c:pt>
                  <c:pt idx="1">
                    <c:v>0.26315183618756754</c:v>
                  </c:pt>
                  <c:pt idx="2">
                    <c:v>0.30117547487580559</c:v>
                  </c:pt>
                  <c:pt idx="3">
                    <c:v>0.3333066655999149</c:v>
                  </c:pt>
                  <c:pt idx="4">
                    <c:v>0.38524018481980676</c:v>
                  </c:pt>
                  <c:pt idx="5">
                    <c:v>1.5162032258975791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Sheet1!$L$35:$Q$35</c:f>
              <c:strCache>
                <c:ptCount val="6"/>
                <c:pt idx="0">
                  <c:v>1/1/1</c:v>
                </c:pt>
                <c:pt idx="1">
                  <c:v>2/2/1</c:v>
                </c:pt>
                <c:pt idx="2">
                  <c:v>4/4/1</c:v>
                </c:pt>
                <c:pt idx="3">
                  <c:v>8/8/1</c:v>
                </c:pt>
                <c:pt idx="4">
                  <c:v>16/16/1</c:v>
                </c:pt>
                <c:pt idx="5">
                  <c:v>32/32/2</c:v>
                </c:pt>
              </c:strCache>
            </c:strRef>
          </c:cat>
          <c:val>
            <c:numRef>
              <c:f>Sheet1!$L$46:$Q$46</c:f>
              <c:numCache>
                <c:formatCode>0.00</c:formatCode>
                <c:ptCount val="6"/>
                <c:pt idx="0">
                  <c:v>101.52499999999999</c:v>
                </c:pt>
                <c:pt idx="1">
                  <c:v>101.596</c:v>
                </c:pt>
                <c:pt idx="2">
                  <c:v>101.502</c:v>
                </c:pt>
                <c:pt idx="3">
                  <c:v>101.63400000000001</c:v>
                </c:pt>
                <c:pt idx="4">
                  <c:v>102.089</c:v>
                </c:pt>
                <c:pt idx="5">
                  <c:v>103.88500000000002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9-6142-B966-702B87D8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Intel MPI 19.5 Hello World on Bridges using Singularity 3.5</a:t>
            </a:r>
            <a:endParaRPr lang="en-US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Sheet1!$C$99:$H$99</c:f>
                <c:numCache>
                  <c:formatCode>General</c:formatCode>
                  <c:ptCount val="6"/>
                  <c:pt idx="0">
                    <c:v>0.45693301235276923</c:v>
                  </c:pt>
                  <c:pt idx="1">
                    <c:v>0.64776538962806673</c:v>
                  </c:pt>
                  <c:pt idx="2">
                    <c:v>1.0213830492686531</c:v>
                  </c:pt>
                  <c:pt idx="3">
                    <c:v>0.75971924638864663</c:v>
                  </c:pt>
                </c:numCache>
              </c:numRef>
            </c:plus>
            <c:minus>
              <c:numRef>
                <c:f>Sheet1!$C$99:$H$99</c:f>
                <c:numCache>
                  <c:formatCode>General</c:formatCode>
                  <c:ptCount val="6"/>
                  <c:pt idx="0">
                    <c:v>0.45693301235276923</c:v>
                  </c:pt>
                  <c:pt idx="1">
                    <c:v>0.64776538962806673</c:v>
                  </c:pt>
                  <c:pt idx="2">
                    <c:v>1.0213830492686531</c:v>
                  </c:pt>
                  <c:pt idx="3">
                    <c:v>0.75971924638864663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Sheet1!$C$87:$F$87</c:f>
              <c:strCache>
                <c:ptCount val="4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</c:strCache>
            </c:strRef>
          </c:cat>
          <c:val>
            <c:numRef>
              <c:f>Sheet1!$C$98:$F$98</c:f>
              <c:numCache>
                <c:formatCode>0.00</c:formatCode>
                <c:ptCount val="4"/>
                <c:pt idx="0">
                  <c:v>1.8690000000000002</c:v>
                </c:pt>
                <c:pt idx="1">
                  <c:v>3.15</c:v>
                </c:pt>
                <c:pt idx="2">
                  <c:v>5.827</c:v>
                </c:pt>
                <c:pt idx="3">
                  <c:v>11.027999999999999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5D49-8521-CD792A8DB53D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Sheet1!$J$99:$O$99</c:f>
                <c:numCache>
                  <c:formatCode>General</c:formatCode>
                  <c:ptCount val="6"/>
                  <c:pt idx="0">
                    <c:v>0.33738372482646334</c:v>
                  </c:pt>
                  <c:pt idx="1">
                    <c:v>0.24349537983296515</c:v>
                  </c:pt>
                  <c:pt idx="2">
                    <c:v>0.25348460395938127</c:v>
                  </c:pt>
                  <c:pt idx="3">
                    <c:v>0.27421808028566513</c:v>
                  </c:pt>
                </c:numCache>
              </c:numRef>
            </c:plus>
            <c:minus>
              <c:numRef>
                <c:f>Sheet1!$J$99:$O$99</c:f>
                <c:numCache>
                  <c:formatCode>General</c:formatCode>
                  <c:ptCount val="6"/>
                  <c:pt idx="0">
                    <c:v>0.33738372482646334</c:v>
                  </c:pt>
                  <c:pt idx="1">
                    <c:v>0.24349537983296515</c:v>
                  </c:pt>
                  <c:pt idx="2">
                    <c:v>0.25348460395938127</c:v>
                  </c:pt>
                  <c:pt idx="3">
                    <c:v>0.27421808028566513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Sheet1!$C$87:$F$87</c:f>
              <c:strCache>
                <c:ptCount val="4"/>
                <c:pt idx="0">
                  <c:v>56/1/2</c:v>
                </c:pt>
                <c:pt idx="1">
                  <c:v>112/2/4</c:v>
                </c:pt>
                <c:pt idx="2">
                  <c:v>224/4/8</c:v>
                </c:pt>
                <c:pt idx="3">
                  <c:v>448/8/16</c:v>
                </c:pt>
              </c:strCache>
            </c:strRef>
          </c:cat>
          <c:val>
            <c:numRef>
              <c:f>Sheet1!$J$98:$M$98</c:f>
              <c:numCache>
                <c:formatCode>0.00</c:formatCode>
                <c:ptCount val="4"/>
                <c:pt idx="0">
                  <c:v>1.875</c:v>
                </c:pt>
                <c:pt idx="1">
                  <c:v>3.4370000000000003</c:v>
                </c:pt>
                <c:pt idx="2">
                  <c:v>6.4889999999999999</c:v>
                </c:pt>
                <c:pt idx="3">
                  <c:v>13.337999999999999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5D49-8521-CD792A8D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Intel MPI 18.1 Hello World on Comet using Singularity 3.5</a:t>
            </a:r>
            <a:endParaRPr lang="en-US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Sheet1!$C$125:$F$125</c:f>
                <c:numCache>
                  <c:formatCode>General</c:formatCode>
                  <c:ptCount val="4"/>
                  <c:pt idx="0">
                    <c:v>0.6811885038502794</c:v>
                  </c:pt>
                  <c:pt idx="1">
                    <c:v>0.45668978043695629</c:v>
                  </c:pt>
                  <c:pt idx="2">
                    <c:v>8.752698694942266</c:v>
                  </c:pt>
                  <c:pt idx="3">
                    <c:v>9.0459171883108542</c:v>
                  </c:pt>
                </c:numCache>
              </c:numRef>
            </c:plus>
            <c:minus>
              <c:numRef>
                <c:f>Sheet1!$C$125:$F$125</c:f>
                <c:numCache>
                  <c:formatCode>General</c:formatCode>
                  <c:ptCount val="4"/>
                  <c:pt idx="0">
                    <c:v>0.6811885038502794</c:v>
                  </c:pt>
                  <c:pt idx="1">
                    <c:v>0.45668978043695629</c:v>
                  </c:pt>
                  <c:pt idx="2">
                    <c:v>8.752698694942266</c:v>
                  </c:pt>
                  <c:pt idx="3">
                    <c:v>9.0459171883108542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Sheet1!$C$113:$F$113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Sheet1!$C$124:$F$124</c:f>
              <c:numCache>
                <c:formatCode>0.00</c:formatCode>
                <c:ptCount val="4"/>
                <c:pt idx="0">
                  <c:v>4.6379999999999999</c:v>
                </c:pt>
                <c:pt idx="1">
                  <c:v>9.7809999999999988</c:v>
                </c:pt>
                <c:pt idx="2">
                  <c:v>32.777000000000001</c:v>
                </c:pt>
                <c:pt idx="3">
                  <c:v>97.667999999999978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7-EC47-A3CD-A54E8EE7EB1C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Sheet1!$J$125:$M$125</c:f>
                <c:numCache>
                  <c:formatCode>General</c:formatCode>
                  <c:ptCount val="4"/>
                  <c:pt idx="0">
                    <c:v>0.50018774253052001</c:v>
                  </c:pt>
                  <c:pt idx="1">
                    <c:v>0.70455975221725853</c:v>
                  </c:pt>
                  <c:pt idx="2">
                    <c:v>1.196069488876887</c:v>
                  </c:pt>
                  <c:pt idx="3">
                    <c:v>1.3971514671724896</c:v>
                  </c:pt>
                </c:numCache>
              </c:numRef>
            </c:plus>
            <c:minus>
              <c:numRef>
                <c:f>Sheet1!$J$125:$M$125</c:f>
                <c:numCache>
                  <c:formatCode>General</c:formatCode>
                  <c:ptCount val="4"/>
                  <c:pt idx="0">
                    <c:v>0.50018774253052001</c:v>
                  </c:pt>
                  <c:pt idx="1">
                    <c:v>0.70455975221725853</c:v>
                  </c:pt>
                  <c:pt idx="2">
                    <c:v>1.196069488876887</c:v>
                  </c:pt>
                  <c:pt idx="3">
                    <c:v>1.3971514671724896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Sheet1!$C$113:$F$113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Sheet1!$J$124:$M$124</c:f>
              <c:numCache>
                <c:formatCode>0.00</c:formatCode>
                <c:ptCount val="4"/>
                <c:pt idx="0">
                  <c:v>1.069</c:v>
                </c:pt>
                <c:pt idx="1">
                  <c:v>2.3039999999999998</c:v>
                </c:pt>
                <c:pt idx="2">
                  <c:v>4.4960000000000004</c:v>
                </c:pt>
                <c:pt idx="3">
                  <c:v>6.8609999999999989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7-EC47-A3CD-A54E8EE7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MPICH 3.2.1 Hello World on Comet using Singularity 3.5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Sheet1!$C$151:$F$151</c:f>
                <c:numCache>
                  <c:formatCode>General</c:formatCode>
                  <c:ptCount val="4"/>
                  <c:pt idx="0">
                    <c:v>0.4622036588152717</c:v>
                  </c:pt>
                  <c:pt idx="1">
                    <c:v>1.0228174595476729</c:v>
                  </c:pt>
                  <c:pt idx="2">
                    <c:v>3.6813356573697846</c:v>
                  </c:pt>
                  <c:pt idx="3">
                    <c:v>3.876699770566598</c:v>
                  </c:pt>
                </c:numCache>
              </c:numRef>
            </c:plus>
            <c:minus>
              <c:numRef>
                <c:f>Sheet1!$C$151:$F$151</c:f>
                <c:numCache>
                  <c:formatCode>General</c:formatCode>
                  <c:ptCount val="4"/>
                  <c:pt idx="0">
                    <c:v>0.4622036588152717</c:v>
                  </c:pt>
                  <c:pt idx="1">
                    <c:v>1.0228174595476729</c:v>
                  </c:pt>
                  <c:pt idx="2">
                    <c:v>3.6813356573697846</c:v>
                  </c:pt>
                  <c:pt idx="3">
                    <c:v>3.876699770566598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Sheet1!$C$139:$F$139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Sheet1!$C$150:$F$150</c:f>
              <c:numCache>
                <c:formatCode>0.00</c:formatCode>
                <c:ptCount val="4"/>
                <c:pt idx="0">
                  <c:v>3.7490000000000001</c:v>
                </c:pt>
                <c:pt idx="1">
                  <c:v>11.059999999999999</c:v>
                </c:pt>
                <c:pt idx="2">
                  <c:v>38.228999999999999</c:v>
                </c:pt>
                <c:pt idx="3">
                  <c:v>142.767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BE4E-A54A-81031983FBAD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Sheet1!$J$151:$M$151</c:f>
                <c:numCache>
                  <c:formatCode>General</c:formatCode>
                  <c:ptCount val="4"/>
                  <c:pt idx="0">
                    <c:v>0.31304951684997046</c:v>
                  </c:pt>
                  <c:pt idx="1">
                    <c:v>0.60998087401710122</c:v>
                  </c:pt>
                  <c:pt idx="2">
                    <c:v>3.8132867130017325</c:v>
                  </c:pt>
                  <c:pt idx="3">
                    <c:v>5.2349900774606217</c:v>
                  </c:pt>
                </c:numCache>
              </c:numRef>
            </c:plus>
            <c:minus>
              <c:numRef>
                <c:f>Sheet1!$J$151:$M$151</c:f>
                <c:numCache>
                  <c:formatCode>General</c:formatCode>
                  <c:ptCount val="4"/>
                  <c:pt idx="0">
                    <c:v>0.31304951684997046</c:v>
                  </c:pt>
                  <c:pt idx="1">
                    <c:v>0.60998087401710122</c:v>
                  </c:pt>
                  <c:pt idx="2">
                    <c:v>3.8132867130017325</c:v>
                  </c:pt>
                  <c:pt idx="3">
                    <c:v>5.2349900774606217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Sheet1!$C$139:$F$139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Sheet1!$J$150:$M$150</c:f>
              <c:numCache>
                <c:formatCode>0.00</c:formatCode>
                <c:ptCount val="4"/>
                <c:pt idx="0">
                  <c:v>3.85</c:v>
                </c:pt>
                <c:pt idx="1">
                  <c:v>11.359000000000002</c:v>
                </c:pt>
                <c:pt idx="2">
                  <c:v>39.33</c:v>
                </c:pt>
                <c:pt idx="3">
                  <c:v>145.25900000000004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B-BE4E-A54A-81031983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0" i="0" baseline="0">
                <a:effectLst/>
              </a:rPr>
              <a:t>Intel MPI 18.1 Hello World on Comet using Singularity 3.5 (fixed)</a:t>
            </a:r>
            <a:endParaRPr lang="en-US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non-containerized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Sheet1!$C$177:$F$177</c:f>
                <c:numCache>
                  <c:formatCode>General</c:formatCode>
                  <c:ptCount val="4"/>
                  <c:pt idx="0">
                    <c:v>0.6811885038502794</c:v>
                  </c:pt>
                  <c:pt idx="1">
                    <c:v>0.45668978043695629</c:v>
                  </c:pt>
                  <c:pt idx="2">
                    <c:v>8.752698694942266</c:v>
                  </c:pt>
                  <c:pt idx="3">
                    <c:v>9.0459171883108542</c:v>
                  </c:pt>
                </c:numCache>
              </c:numRef>
            </c:plus>
            <c:minus>
              <c:numRef>
                <c:f>Sheet1!$C$177:$F$177</c:f>
                <c:numCache>
                  <c:formatCode>General</c:formatCode>
                  <c:ptCount val="4"/>
                  <c:pt idx="0">
                    <c:v>0.6811885038502794</c:v>
                  </c:pt>
                  <c:pt idx="1">
                    <c:v>0.45668978043695629</c:v>
                  </c:pt>
                  <c:pt idx="2">
                    <c:v>8.752698694942266</c:v>
                  </c:pt>
                  <c:pt idx="3">
                    <c:v>9.0459171883108542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Sheet1!$C$165:$F$165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Sheet1!$C$176:$F$176</c:f>
              <c:numCache>
                <c:formatCode>0.00</c:formatCode>
                <c:ptCount val="4"/>
                <c:pt idx="0">
                  <c:v>4.6379999999999999</c:v>
                </c:pt>
                <c:pt idx="1">
                  <c:v>9.7809999999999988</c:v>
                </c:pt>
                <c:pt idx="2">
                  <c:v>32.777000000000001</c:v>
                </c:pt>
                <c:pt idx="3">
                  <c:v>97.667999999999978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9-4C47-9CA1-E9D7AAA8A699}"/>
            </c:ext>
          </c:extLst>
        </c:ser>
        <c:ser>
          <c:idx val="0"/>
          <c:order val="1"/>
          <c:tx>
            <c:v>containerized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Sheet1!$J$177:$M$177</c:f>
                <c:numCache>
                  <c:formatCode>General</c:formatCode>
                  <c:ptCount val="4"/>
                  <c:pt idx="0">
                    <c:v>1.9435523032724265</c:v>
                  </c:pt>
                  <c:pt idx="1">
                    <c:v>1.0469155754989139</c:v>
                  </c:pt>
                  <c:pt idx="2">
                    <c:v>4.895857205615548</c:v>
                  </c:pt>
                  <c:pt idx="3">
                    <c:v>12.055468514790807</c:v>
                  </c:pt>
                </c:numCache>
              </c:numRef>
            </c:plus>
            <c:minus>
              <c:numRef>
                <c:f>Sheet1!$J$177:$M$177</c:f>
                <c:numCache>
                  <c:formatCode>General</c:formatCode>
                  <c:ptCount val="4"/>
                  <c:pt idx="0">
                    <c:v>1.9435523032724265</c:v>
                  </c:pt>
                  <c:pt idx="1">
                    <c:v>1.0469155754989139</c:v>
                  </c:pt>
                  <c:pt idx="2">
                    <c:v>4.895857205615548</c:v>
                  </c:pt>
                  <c:pt idx="3">
                    <c:v>12.055468514790807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Sheet1!$C$165:$F$165</c:f>
              <c:strCache>
                <c:ptCount val="4"/>
                <c:pt idx="0">
                  <c:v>48/1/2</c:v>
                </c:pt>
                <c:pt idx="1">
                  <c:v>96/2/4</c:v>
                </c:pt>
                <c:pt idx="2">
                  <c:v>192/4/8</c:v>
                </c:pt>
                <c:pt idx="3">
                  <c:v>384/8/16</c:v>
                </c:pt>
              </c:strCache>
            </c:strRef>
          </c:cat>
          <c:val>
            <c:numRef>
              <c:f>Sheet1!$J$176:$M$176</c:f>
              <c:numCache>
                <c:formatCode>0.00</c:formatCode>
                <c:ptCount val="4"/>
                <c:pt idx="0">
                  <c:v>5.1280000000000001</c:v>
                </c:pt>
                <c:pt idx="1">
                  <c:v>10.548999999999999</c:v>
                </c:pt>
                <c:pt idx="2">
                  <c:v>33.428000000000004</c:v>
                </c:pt>
                <c:pt idx="3">
                  <c:v>99.498999999999995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9-4C47-9CA1-E9D7AAA8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58432"/>
        <c:axId val="1766352896"/>
      </c:barChart>
      <c:catAx>
        <c:axId val="17437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cores/tasks/nodes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52896"/>
        <c:crosses val="autoZero"/>
        <c:auto val="1"/>
        <c:lblAlgn val="ctr"/>
        <c:lblOffset val="100"/>
        <c:noMultiLvlLbl val="0"/>
      </c:catAx>
      <c:valAx>
        <c:axId val="17663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TTX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114300</xdr:rowOff>
    </xdr:from>
    <xdr:to>
      <xdr:col>27</xdr:col>
      <xdr:colOff>114300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5202-065A-384A-928B-25F14A3C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29</xdr:row>
      <xdr:rowOff>139700</xdr:rowOff>
    </xdr:from>
    <xdr:to>
      <xdr:col>27</xdr:col>
      <xdr:colOff>127000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CED97-93C0-BC42-8862-8FBE0A5C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81</xdr:row>
      <xdr:rowOff>50800</xdr:rowOff>
    </xdr:from>
    <xdr:to>
      <xdr:col>27</xdr:col>
      <xdr:colOff>139700</xdr:colOff>
      <xdr:row>102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3F5EC-6D90-8C4E-AC07-BA547878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</xdr:colOff>
      <xdr:row>107</xdr:row>
      <xdr:rowOff>12700</xdr:rowOff>
    </xdr:from>
    <xdr:to>
      <xdr:col>27</xdr:col>
      <xdr:colOff>127000</xdr:colOff>
      <xdr:row>128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F5341-B71F-9448-8E02-DF055080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134</xdr:row>
      <xdr:rowOff>127000</xdr:rowOff>
    </xdr:from>
    <xdr:to>
      <xdr:col>27</xdr:col>
      <xdr:colOff>114300</xdr:colOff>
      <xdr:row>156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98F5C-4DD3-3B44-B0E2-BAF50CC96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161</xdr:row>
      <xdr:rowOff>0</xdr:rowOff>
    </xdr:from>
    <xdr:to>
      <xdr:col>27</xdr:col>
      <xdr:colOff>127000</xdr:colOff>
      <xdr:row>182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D3AE78-02C8-1742-A1D2-5BE0B466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51CF61-79E3-FF4F-B384-F02243D3273A}" name="Table12" displayName="Table12" ref="L8:O19" totalsRowCount="1" headerRowDxfId="147" dataDxfId="146">
  <autoFilter ref="L8:O18" xr:uid="{4157A701-19DE-9F43-9C32-34B7BD7CBED0}">
    <filterColumn colId="0" hiddenButton="1"/>
    <filterColumn colId="1" hiddenButton="1"/>
    <filterColumn colId="2" hiddenButton="1"/>
    <filterColumn colId="3" hiddenButton="1"/>
  </autoFilter>
  <tableColumns count="4">
    <tableColumn id="1" xr3:uid="{A2B04CA0-9DF0-5F41-B767-0E628D6F8EE7}" name="1/1/1" totalsRowFunction="custom" dataDxfId="145" totalsRowDxfId="144">
      <totalsRowFormula>AVERAGE(Table12[1/1/1])</totalsRowFormula>
    </tableColumn>
    <tableColumn id="2" xr3:uid="{C90CC318-E4DA-9B40-A32D-3102841F0921}" name="2/2/1" totalsRowFunction="average" dataDxfId="143" totalsRowDxfId="142"/>
    <tableColumn id="3" xr3:uid="{61A7C00A-F63D-C44A-AFA0-6B9EC0793A33}" name="4/4/1" totalsRowFunction="average" dataDxfId="141" totalsRowDxfId="140"/>
    <tableColumn id="4" xr3:uid="{56012B1C-DD0E-0744-9080-C13899D5A44A}" name="8/8/1" totalsRowFunction="average" dataDxfId="139" totalsRowDxfId="138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426DB4-14EA-2649-8CB2-1D2DAFDA3B15}" name="Table12141516205" displayName="Table12141516205" ref="J113:M124" totalsRowCount="1" headerRowDxfId="49" dataDxfId="48">
  <autoFilter ref="J113:M123" xr:uid="{F034FC1F-3CF7-B942-B308-85E14F5AA64F}">
    <filterColumn colId="0" hiddenButton="1"/>
    <filterColumn colId="1" hiddenButton="1"/>
    <filterColumn colId="2" hiddenButton="1"/>
    <filterColumn colId="3" hiddenButton="1"/>
  </autoFilter>
  <tableColumns count="4">
    <tableColumn id="1" xr3:uid="{B23176C4-4048-7E4C-93F7-48A12948FA7D}" name="48/1/2" totalsRowFunction="custom" dataDxfId="47" totalsRowDxfId="46">
      <totalsRowFormula>AVERAGE(Table12141516205[48/1/2])</totalsRowFormula>
    </tableColumn>
    <tableColumn id="2" xr3:uid="{A9911769-69F4-A741-BA92-8BC1FDB2B783}" name="96/2/4" totalsRowFunction="average" dataDxfId="45" totalsRowDxfId="44"/>
    <tableColumn id="3" xr3:uid="{9AF887F1-C47A-B242-89FA-FF10EAAE3937}" name="192/4/8" totalsRowFunction="average" dataDxfId="43" totalsRowDxfId="42"/>
    <tableColumn id="4" xr3:uid="{D8B4360F-298E-3248-9842-128248D56CBF}" name="384/8/16" totalsRowFunction="average" dataDxfId="41" totalsRowDxfId="4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A6B2D-529B-7041-9E85-89062843DDC9}" name="Table1214151942" displayName="Table1214151942" ref="C139:F150" totalsRowCount="1" headerRowDxfId="39" dataDxfId="38">
  <autoFilter ref="C139:F149" xr:uid="{5CC8DAB3-56BF-304B-8AA6-4ABCC8E25A47}">
    <filterColumn colId="0" hiddenButton="1"/>
    <filterColumn colId="1" hiddenButton="1"/>
    <filterColumn colId="2" hiddenButton="1"/>
    <filterColumn colId="3" hiddenButton="1"/>
  </autoFilter>
  <tableColumns count="4">
    <tableColumn id="1" xr3:uid="{80FFCD29-7FFB-4843-88BF-E804A443100B}" name="48/1/2" totalsRowFunction="custom" dataDxfId="37" totalsRowDxfId="36">
      <totalsRowFormula>AVERAGE(Table1214151942[48/1/2])</totalsRowFormula>
    </tableColumn>
    <tableColumn id="2" xr3:uid="{CB857AE9-7A40-B24A-8805-7506FAE90C8B}" name="96/2/4" totalsRowFunction="average" dataDxfId="35" totalsRowDxfId="34"/>
    <tableColumn id="3" xr3:uid="{4359834E-C961-8F47-8E92-F4BCCDE23C4D}" name="192/4/8" totalsRowFunction="average" dataDxfId="33" totalsRowDxfId="32"/>
    <tableColumn id="4" xr3:uid="{7CF08588-9CC6-1F48-A9DD-1E58099385A1}" name="384/8/16" totalsRowFunction="average" dataDxfId="31" totalsRowDxfId="3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0FD551-31C1-3B4A-A986-A3047FFF7F09}" name="Table121415162053" displayName="Table121415162053" ref="J139:M150" totalsRowCount="1" headerRowDxfId="29" dataDxfId="28">
  <autoFilter ref="J139:M149" xr:uid="{9A0998A7-66D7-E147-AE87-15B6065D5680}">
    <filterColumn colId="0" hiddenButton="1"/>
    <filterColumn colId="1" hiddenButton="1"/>
    <filterColumn colId="2" hiddenButton="1"/>
    <filterColumn colId="3" hiddenButton="1"/>
  </autoFilter>
  <tableColumns count="4">
    <tableColumn id="1" xr3:uid="{DC37C131-5F5D-0D4E-BD10-6CC8ACC3AA71}" name="48/1/2" totalsRowFunction="custom" dataDxfId="27" totalsRowDxfId="26">
      <totalsRowFormula>AVERAGE(Table121415162053[48/1/2])</totalsRowFormula>
    </tableColumn>
    <tableColumn id="2" xr3:uid="{0D5AD745-3B14-2246-8E4D-3737E94C3424}" name="96/2/4" totalsRowFunction="average" dataDxfId="25" totalsRowDxfId="24"/>
    <tableColumn id="3" xr3:uid="{5E528244-6336-8C4A-B9DD-00D93BBBC769}" name="192/4/8" totalsRowFunction="average" dataDxfId="23" totalsRowDxfId="22"/>
    <tableColumn id="4" xr3:uid="{3F6E5AFC-81CA-4545-9EF3-6621EC1CBE68}" name="384/8/16" totalsRowFunction="average" dataDxfId="21" totalsRowDxfId="20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9F7965-3998-5D49-B11F-3DF0D24AAD15}" name="Table1214151946" displayName="Table1214151946" ref="C165:F176" totalsRowCount="1" headerRowDxfId="19" dataDxfId="18">
  <autoFilter ref="C165:F175" xr:uid="{252395B1-FCBA-604D-947D-EC3CED3250D2}">
    <filterColumn colId="0" hiddenButton="1"/>
    <filterColumn colId="1" hiddenButton="1"/>
    <filterColumn colId="2" hiddenButton="1"/>
    <filterColumn colId="3" hiddenButton="1"/>
  </autoFilter>
  <tableColumns count="4">
    <tableColumn id="1" xr3:uid="{560C5431-9E7C-594F-94D1-38A5BB2A40BA}" name="48/1/2" totalsRowFunction="custom" dataDxfId="15" totalsRowDxfId="14">
      <totalsRowFormula>AVERAGE(Table1214151946[48/1/2])</totalsRowFormula>
    </tableColumn>
    <tableColumn id="2" xr3:uid="{D7D78837-32B5-4B47-B2EB-2A7953479D93}" name="96/2/4" totalsRowFunction="average" dataDxfId="13" totalsRowDxfId="12"/>
    <tableColumn id="3" xr3:uid="{CEDC4E69-4D96-2E47-954C-56E3508B8983}" name="192/4/8" totalsRowFunction="average" dataDxfId="11" totalsRowDxfId="10"/>
    <tableColumn id="4" xr3:uid="{5CBBD9D5-2AE5-D94A-B67E-B26FF3012E37}" name="384/8/16" totalsRowFunction="average" dataDxfId="9" totalsRowDxfId="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DCEAEF-EBDA-2B4E-8505-3C9554636F7A}" name="Table121415162057" displayName="Table121415162057" ref="J165:M176" totalsRowCount="1" headerRowDxfId="17" dataDxfId="16">
  <autoFilter ref="J165:M175" xr:uid="{7657ECBD-E043-5542-90A4-BECD3CC767AF}">
    <filterColumn colId="0" hiddenButton="1"/>
    <filterColumn colId="1" hiddenButton="1"/>
    <filterColumn colId="2" hiddenButton="1"/>
    <filterColumn colId="3" hiddenButton="1"/>
  </autoFilter>
  <tableColumns count="4">
    <tableColumn id="1" xr3:uid="{58C2753F-F5E6-8B42-A667-28423163DFE6}" name="48/1/2" totalsRowFunction="custom" dataDxfId="7" totalsRowDxfId="3">
      <totalsRowFormula>AVERAGE(Table121415162057[48/1/2])</totalsRowFormula>
    </tableColumn>
    <tableColumn id="2" xr3:uid="{70DEBB54-4814-404A-A690-729BEE15B64B}" name="96/2/4" totalsRowFunction="average" dataDxfId="6" totalsRowDxfId="2"/>
    <tableColumn id="3" xr3:uid="{0D2A8966-2EBA-6347-AEFE-F81D2A1E797B}" name="192/4/8" totalsRowFunction="average" dataDxfId="5" totalsRowDxfId="1"/>
    <tableColumn id="4" xr3:uid="{C7B840E3-DF2D-6B4D-82D8-C265A8CFA334}" name="384/8/16" totalsRowFunction="average" dataDxfId="4" totalsRow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882465-33C1-8E45-8C5B-6E2796C69C30}" name="Table1214" displayName="Table1214" ref="C8:F19" totalsRowCount="1" headerRowDxfId="137" dataDxfId="136">
  <autoFilter ref="C8:F18" xr:uid="{26D4EAA6-0F6B-D847-AC4C-A1E1EF972243}">
    <filterColumn colId="0" hiddenButton="1"/>
    <filterColumn colId="1" hiddenButton="1"/>
    <filterColumn colId="2" hiddenButton="1"/>
    <filterColumn colId="3" hiddenButton="1"/>
  </autoFilter>
  <tableColumns count="4">
    <tableColumn id="1" xr3:uid="{ECEFB9F6-16FE-E04E-844A-AACC7B293BB2}" name="1/1/1" totalsRowFunction="custom" dataDxfId="135" totalsRowDxfId="134">
      <totalsRowFormula>AVERAGE(Table1214[1/1/1])</totalsRowFormula>
    </tableColumn>
    <tableColumn id="2" xr3:uid="{55F72C56-FCA4-AC43-B626-4AF6B7483939}" name="2/2/1" totalsRowFunction="average" dataDxfId="133" totalsRowDxfId="132"/>
    <tableColumn id="3" xr3:uid="{7C069732-E830-8045-A0B0-B3BF291610EF}" name="4/4/1" totalsRowFunction="average" dataDxfId="131" totalsRowDxfId="130"/>
    <tableColumn id="4" xr3:uid="{8CDDC8E9-E772-C14C-B2C1-6A75594F5FBE}" name="8/8/1" totalsRowFunction="average" dataDxfId="129" totalsRowDxfId="12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66060-A7BD-2048-ABFD-3FD69B515A68}" name="Table121415" displayName="Table121415" ref="C35:H46" totalsRowCount="1" headerRowDxfId="127" dataDxfId="126">
  <autoFilter ref="C35:H45" xr:uid="{B8E8E606-9A74-0D4F-AA01-6A7104D5FD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B90E881-6C60-454E-86BB-086695E6CAF8}" name="1/1/1" totalsRowFunction="custom" dataDxfId="125" totalsRowDxfId="124">
      <totalsRowFormula>AVERAGE(Table121415[1/1/1])</totalsRowFormula>
    </tableColumn>
    <tableColumn id="2" xr3:uid="{D531CACF-18B4-1041-B0C1-6D0252E32A8A}" name="2/2/1" totalsRowFunction="average" dataDxfId="123" totalsRowDxfId="122"/>
    <tableColumn id="3" xr3:uid="{D0898416-43B5-3E4A-BDC1-7C89C1F0D5E0}" name="4/4/1" totalsRowFunction="average" dataDxfId="121" totalsRowDxfId="120"/>
    <tableColumn id="4" xr3:uid="{4392AEA4-B357-F647-A208-E130D063C6E1}" name="8/8/1" totalsRowFunction="average" dataDxfId="119" totalsRowDxfId="118"/>
    <tableColumn id="6" xr3:uid="{0A1338EF-4B77-1D48-8777-D4CA34460AB0}" name="16/16/1" totalsRowFunction="average" dataDxfId="117" totalsRowDxfId="116"/>
    <tableColumn id="7" xr3:uid="{B90FEE84-6896-1641-8E20-B1872987B7BE}" name="32/32/2" totalsRowFunction="average" dataDxfId="115" totalsRowDxfId="1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0771168-9D09-C749-AC55-A312881E4A86}" name="Table12141516" displayName="Table12141516" ref="L35:Q46" totalsRowCount="1" headerRowDxfId="113" dataDxfId="112">
  <autoFilter ref="L35:Q45" xr:uid="{4EFDE026-18DB-0845-B41D-7D7B774A1B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F8BB35C-BA7F-414F-98E1-50F3192CFD83}" name="1/1/1" totalsRowFunction="custom" dataDxfId="111" totalsRowDxfId="110">
      <totalsRowFormula>AVERAGE(Table12141516[1/1/1])</totalsRowFormula>
    </tableColumn>
    <tableColumn id="2" xr3:uid="{070B7708-5F3C-5747-BB02-C79FC61D286A}" name="2/2/1" totalsRowFunction="average" dataDxfId="109" totalsRowDxfId="108"/>
    <tableColumn id="3" xr3:uid="{58E0425E-3A2E-5C45-8330-41CFB638FBEE}" name="4/4/1" totalsRowFunction="average" dataDxfId="107" totalsRowDxfId="106"/>
    <tableColumn id="4" xr3:uid="{21D6854D-0C08-4B4A-86CE-586C1F6F99EF}" name="8/8/1" totalsRowFunction="average" dataDxfId="105" totalsRowDxfId="104"/>
    <tableColumn id="6" xr3:uid="{6E478822-1027-2D40-94B7-591A68C43394}" name="16/16/1" totalsRowFunction="average" dataDxfId="103" totalsRowDxfId="102"/>
    <tableColumn id="7" xr3:uid="{063A683F-E92B-DC4C-8BF0-A3E1B5948664}" name="32/32/2" totalsRowFunction="average" dataDxfId="101" totalsRowDxfId="10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DB260-BC51-9943-9AA6-EF26448D4AB0}" name="Table121417" displayName="Table121417" ref="C61:F72" totalsRowCount="1" headerRowDxfId="99" dataDxfId="98">
  <autoFilter ref="C61:F71" xr:uid="{77973C46-8BAA-9E42-9CF9-1BC781EFFEBC}">
    <filterColumn colId="0" hiddenButton="1"/>
    <filterColumn colId="1" hiddenButton="1"/>
    <filterColumn colId="2" hiddenButton="1"/>
    <filterColumn colId="3" hiddenButton="1"/>
  </autoFilter>
  <tableColumns count="4">
    <tableColumn id="1" xr3:uid="{611F1749-0588-F848-9620-3D32DE58D012}" name="1" totalsRowFunction="custom" dataDxfId="97" totalsRowDxfId="96">
      <totalsRowFormula>AVERAGE(Table121417[1])</totalsRowFormula>
    </tableColumn>
    <tableColumn id="2" xr3:uid="{5C8112FE-A4B8-2842-B70E-44A2DC4E2C86}" name="2" totalsRowFunction="average" dataDxfId="95" totalsRowDxfId="94"/>
    <tableColumn id="3" xr3:uid="{4BB710EE-2F6B-104C-91C2-4D5DE8B5EA8D}" name="4" totalsRowFunction="average" dataDxfId="93" totalsRowDxfId="92"/>
    <tableColumn id="4" xr3:uid="{A0144014-194E-4444-8B54-6D61F558C222}" name="8" totalsRowFunction="average" dataDxfId="91" totalsRowDxfId="9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96C44-A2F7-6046-A581-DE00E1A64495}" name="Table12141718" displayName="Table12141718" ref="L61:O72" totalsRowCount="1" headerRowDxfId="89" dataDxfId="88">
  <autoFilter ref="L61:O71" xr:uid="{2A271704-5B21-F64E-8049-792EF620B77A}">
    <filterColumn colId="0" hiddenButton="1"/>
    <filterColumn colId="1" hiddenButton="1"/>
    <filterColumn colId="2" hiddenButton="1"/>
    <filterColumn colId="3" hiddenButton="1"/>
  </autoFilter>
  <tableColumns count="4">
    <tableColumn id="1" xr3:uid="{D743CB9F-8265-124F-92C6-6757D444A101}" name="1" totalsRowFunction="custom" dataDxfId="87" totalsRowDxfId="86">
      <totalsRowFormula>AVERAGE(Table12141718[1])</totalsRowFormula>
    </tableColumn>
    <tableColumn id="2" xr3:uid="{5C8613A6-D77C-1E41-8FFD-A8DB9B432EFA}" name="2" totalsRowFunction="average" dataDxfId="85" totalsRowDxfId="84"/>
    <tableColumn id="3" xr3:uid="{844C3824-E977-A14C-8C1A-147CFABDF145}" name="4" totalsRowFunction="average" dataDxfId="83" totalsRowDxfId="82"/>
    <tableColumn id="4" xr3:uid="{245E9196-FB1E-2B4A-926B-2633671BC3A4}" name="8" totalsRowFunction="average" dataDxfId="81" totalsRowDxfId="8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B36BD-3777-BD47-B388-C694D27FBE74}" name="Table12141519" displayName="Table12141519" ref="C87:F98" totalsRowCount="1" headerRowDxfId="79" dataDxfId="78">
  <autoFilter ref="C87:F97" xr:uid="{1F757434-E3E5-594B-8FFA-2545970AF61F}">
    <filterColumn colId="0" hiddenButton="1"/>
    <filterColumn colId="1" hiddenButton="1"/>
    <filterColumn colId="2" hiddenButton="1"/>
    <filterColumn colId="3" hiddenButton="1"/>
  </autoFilter>
  <tableColumns count="4">
    <tableColumn id="1" xr3:uid="{9E17C061-277B-7145-AC08-E3828B5A8FB5}" name="56/1/2" totalsRowFunction="custom" dataDxfId="77" totalsRowDxfId="76">
      <totalsRowFormula>AVERAGE(Table12141519[56/1/2])</totalsRowFormula>
    </tableColumn>
    <tableColumn id="2" xr3:uid="{49DD9B33-6A59-EC46-9C7E-E574A972BCE4}" name="112/2/4" totalsRowFunction="average" dataDxfId="75" totalsRowDxfId="74"/>
    <tableColumn id="3" xr3:uid="{7C11F312-D5FE-DE47-9FE3-98A59213BB44}" name="224/4/8" totalsRowFunction="average" dataDxfId="73" totalsRowDxfId="72"/>
    <tableColumn id="4" xr3:uid="{505390BD-3EED-7C4E-811B-893A241116FD}" name="448/8/16" totalsRowFunction="average" dataDxfId="71" totalsRowDxfId="7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88BB5D-67F0-BB43-9F21-59AFA57E8AF4}" name="Table1214151620" displayName="Table1214151620" ref="J87:M98" totalsRowCount="1" headerRowDxfId="69" dataDxfId="68">
  <autoFilter ref="J87:M97" xr:uid="{5512B521-6B77-F843-A5B4-F0AB0FB6DFB5}">
    <filterColumn colId="0" hiddenButton="1"/>
    <filterColumn colId="1" hiddenButton="1"/>
    <filterColumn colId="2" hiddenButton="1"/>
    <filterColumn colId="3" hiddenButton="1"/>
  </autoFilter>
  <tableColumns count="4">
    <tableColumn id="1" xr3:uid="{DB504DAF-52D8-1649-87BC-A7AB49A17859}" name="56/1/2" totalsRowFunction="custom" dataDxfId="67" totalsRowDxfId="66">
      <totalsRowFormula>AVERAGE(Table1214151620[56/1/2])</totalsRowFormula>
    </tableColumn>
    <tableColumn id="2" xr3:uid="{EC6E11B1-7660-A14C-98A7-F5546CF00337}" name="112/2/4" totalsRowFunction="average" dataDxfId="65" totalsRowDxfId="64"/>
    <tableColumn id="3" xr3:uid="{209F27B7-05A6-E84B-99C5-22633169F39F}" name="224/4/8" totalsRowFunction="average" dataDxfId="63" totalsRowDxfId="62"/>
    <tableColumn id="4" xr3:uid="{8A07B38D-10AE-B547-8DB0-B10F4A88768B}" name="448/8/16" totalsRowFunction="average" dataDxfId="61" totalsRowDxfId="60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C52A3-984F-2F45-AC25-3FF834E387F5}" name="Table121415194" displayName="Table121415194" ref="C113:F124" totalsRowCount="1" headerRowDxfId="59" dataDxfId="58">
  <autoFilter ref="C113:F123" xr:uid="{BADBF933-19E9-6F49-B79D-95C8A79A3C27}">
    <filterColumn colId="0" hiddenButton="1"/>
    <filterColumn colId="1" hiddenButton="1"/>
    <filterColumn colId="2" hiddenButton="1"/>
    <filterColumn colId="3" hiddenButton="1"/>
  </autoFilter>
  <tableColumns count="4">
    <tableColumn id="1" xr3:uid="{98F9AAF6-7D4C-C94D-92F3-F62953919301}" name="48/1/2" totalsRowFunction="custom" dataDxfId="57" totalsRowDxfId="56">
      <totalsRowFormula>AVERAGE(Table121415194[48/1/2])</totalsRowFormula>
    </tableColumn>
    <tableColumn id="2" xr3:uid="{EE88288C-1811-744F-A47E-F666E41AFEBA}" name="96/2/4" totalsRowFunction="average" dataDxfId="55" totalsRowDxfId="54"/>
    <tableColumn id="3" xr3:uid="{D30EAA85-D358-D547-ABB8-61D1166DE7CE}" name="192/4/8" totalsRowFunction="average" dataDxfId="53" totalsRowDxfId="52"/>
    <tableColumn id="4" xr3:uid="{7CF5ACA5-A5FD-1C42-8AFE-7C2BD7973668}" name="384/8/16" totalsRowFunction="average" dataDxfId="51" totalsRowDxfId="5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4666-87E2-F84B-9806-2702F4658363}">
  <dimension ref="A1:AG177"/>
  <sheetViews>
    <sheetView tabSelected="1" topLeftCell="A137" workbookViewId="0">
      <selection activeCell="P180" sqref="P180"/>
    </sheetView>
  </sheetViews>
  <sheetFormatPr baseColWidth="10" defaultRowHeight="16" x14ac:dyDescent="0.2"/>
  <cols>
    <col min="2" max="2" width="15.83203125" bestFit="1" customWidth="1"/>
    <col min="9" max="9" width="12.1640625" bestFit="1" customWidth="1"/>
    <col min="11" max="11" width="12.1640625" bestFit="1" customWidth="1"/>
  </cols>
  <sheetData>
    <row r="1" spans="1:15" x14ac:dyDescent="0.2">
      <c r="A1" s="3" t="s">
        <v>2</v>
      </c>
      <c r="B1" s="3"/>
      <c r="C1" s="2"/>
      <c r="D1" s="2"/>
    </row>
    <row r="8" spans="1:15" x14ac:dyDescent="0.2">
      <c r="C8" s="8" t="s">
        <v>11</v>
      </c>
      <c r="D8" s="8" t="s">
        <v>12</v>
      </c>
      <c r="E8" s="8" t="s">
        <v>13</v>
      </c>
      <c r="F8" s="8" t="s">
        <v>14</v>
      </c>
      <c r="L8" s="8" t="s">
        <v>11</v>
      </c>
      <c r="M8" s="8" t="s">
        <v>12</v>
      </c>
      <c r="N8" s="8" t="s">
        <v>13</v>
      </c>
      <c r="O8" s="8" t="s">
        <v>14</v>
      </c>
    </row>
    <row r="9" spans="1:15" x14ac:dyDescent="0.2">
      <c r="B9" s="10" t="s">
        <v>0</v>
      </c>
      <c r="C9" s="4">
        <v>100.18</v>
      </c>
      <c r="D9" s="4">
        <v>100.12</v>
      </c>
      <c r="E9" s="4">
        <v>100.16</v>
      </c>
      <c r="F9" s="4">
        <v>100.26</v>
      </c>
      <c r="K9" s="10" t="s">
        <v>1</v>
      </c>
      <c r="L9" s="6">
        <v>102.15</v>
      </c>
      <c r="M9" s="6">
        <v>102.55</v>
      </c>
      <c r="N9" s="6">
        <v>104.34</v>
      </c>
      <c r="O9" s="6">
        <v>107.35</v>
      </c>
    </row>
    <row r="10" spans="1:15" x14ac:dyDescent="0.2">
      <c r="B10" s="10"/>
      <c r="C10" s="4">
        <v>100.1</v>
      </c>
      <c r="D10" s="4">
        <v>100.03</v>
      </c>
      <c r="E10" s="4">
        <v>100.11</v>
      </c>
      <c r="F10" s="4">
        <v>100.25</v>
      </c>
      <c r="K10" s="10"/>
      <c r="L10" s="6">
        <v>102.34</v>
      </c>
      <c r="M10" s="6">
        <v>103</v>
      </c>
      <c r="N10" s="6">
        <v>104.5</v>
      </c>
      <c r="O10" s="6">
        <v>106.64</v>
      </c>
    </row>
    <row r="11" spans="1:15" x14ac:dyDescent="0.2">
      <c r="B11" s="10"/>
      <c r="C11" s="4">
        <v>100.09</v>
      </c>
      <c r="D11" s="4">
        <v>100.13</v>
      </c>
      <c r="E11" s="4">
        <v>100.34</v>
      </c>
      <c r="F11" s="4">
        <v>100.25</v>
      </c>
      <c r="K11" s="10"/>
      <c r="L11" s="6">
        <v>102.3</v>
      </c>
      <c r="M11" s="6">
        <v>102.85</v>
      </c>
      <c r="N11" s="6">
        <v>104.5</v>
      </c>
      <c r="O11" s="6">
        <v>107.61</v>
      </c>
    </row>
    <row r="12" spans="1:15" x14ac:dyDescent="0.2">
      <c r="B12" s="10"/>
      <c r="C12" s="4">
        <v>100.02</v>
      </c>
      <c r="D12" s="4">
        <v>100.14</v>
      </c>
      <c r="E12" s="4">
        <v>100.13</v>
      </c>
      <c r="F12" s="4">
        <v>100.14</v>
      </c>
      <c r="K12" s="10"/>
      <c r="L12" s="6">
        <v>102.17</v>
      </c>
      <c r="M12" s="6">
        <v>103.24</v>
      </c>
      <c r="N12" s="6">
        <v>104.57</v>
      </c>
      <c r="O12" s="6">
        <v>107.61</v>
      </c>
    </row>
    <row r="13" spans="1:15" x14ac:dyDescent="0.2">
      <c r="B13" s="10"/>
      <c r="C13" s="4">
        <v>100.12</v>
      </c>
      <c r="D13" s="4">
        <v>100.09</v>
      </c>
      <c r="E13" s="4">
        <v>100.26</v>
      </c>
      <c r="F13" s="4">
        <v>100.26</v>
      </c>
      <c r="K13" s="10"/>
      <c r="L13" s="6">
        <v>102.22</v>
      </c>
      <c r="M13" s="6">
        <v>102.57</v>
      </c>
      <c r="N13" s="6">
        <v>104.13</v>
      </c>
      <c r="O13" s="6">
        <v>108.38</v>
      </c>
    </row>
    <row r="14" spans="1:15" x14ac:dyDescent="0.2">
      <c r="B14" s="10"/>
      <c r="C14" s="4">
        <v>100.12</v>
      </c>
      <c r="D14" s="4">
        <v>100.11</v>
      </c>
      <c r="E14" s="4">
        <v>100.22</v>
      </c>
      <c r="F14" s="4">
        <v>100.24</v>
      </c>
      <c r="K14" s="10"/>
      <c r="L14" s="6">
        <v>101.97</v>
      </c>
      <c r="M14" s="6">
        <v>102.87</v>
      </c>
      <c r="N14" s="6">
        <v>105.08</v>
      </c>
      <c r="O14" s="6">
        <v>106.85</v>
      </c>
    </row>
    <row r="15" spans="1:15" x14ac:dyDescent="0.2">
      <c r="B15" s="10"/>
      <c r="C15" s="4">
        <v>100.12</v>
      </c>
      <c r="D15" s="4">
        <v>100.11</v>
      </c>
      <c r="E15" s="4">
        <v>100.14</v>
      </c>
      <c r="F15" s="4">
        <v>100.16</v>
      </c>
      <c r="K15" s="10"/>
      <c r="L15" s="6">
        <v>102.44</v>
      </c>
      <c r="M15" s="6">
        <v>102.93</v>
      </c>
      <c r="N15" s="6">
        <v>104.96</v>
      </c>
      <c r="O15" s="6">
        <v>106.62</v>
      </c>
    </row>
    <row r="16" spans="1:15" x14ac:dyDescent="0.2">
      <c r="B16" s="10"/>
      <c r="C16" s="4">
        <v>100.11</v>
      </c>
      <c r="D16" s="4">
        <v>100.13</v>
      </c>
      <c r="E16" s="4">
        <v>100.17</v>
      </c>
      <c r="F16" s="4">
        <v>100.33</v>
      </c>
      <c r="K16" s="10"/>
      <c r="L16" s="6">
        <v>102.22</v>
      </c>
      <c r="M16" s="6">
        <v>103.1</v>
      </c>
      <c r="N16" s="6">
        <v>104.34</v>
      </c>
      <c r="O16" s="6">
        <v>107.31</v>
      </c>
    </row>
    <row r="17" spans="1:15" x14ac:dyDescent="0.2">
      <c r="B17" s="10"/>
      <c r="C17" s="4">
        <v>100.08</v>
      </c>
      <c r="D17" s="4">
        <v>100.15</v>
      </c>
      <c r="E17" s="4">
        <v>100.09</v>
      </c>
      <c r="F17" s="4">
        <v>100.32</v>
      </c>
      <c r="K17" s="10"/>
      <c r="L17" s="6">
        <v>102.09</v>
      </c>
      <c r="M17" s="6">
        <v>102.53</v>
      </c>
      <c r="N17" s="6">
        <v>103.9</v>
      </c>
      <c r="O17" s="6">
        <v>107.29</v>
      </c>
    </row>
    <row r="18" spans="1:15" x14ac:dyDescent="0.2">
      <c r="B18" s="10"/>
      <c r="C18" s="4">
        <v>100.06</v>
      </c>
      <c r="D18" s="4">
        <v>100.07</v>
      </c>
      <c r="E18" s="4">
        <v>100.13</v>
      </c>
      <c r="F18" s="4">
        <v>100.2</v>
      </c>
      <c r="K18" s="10"/>
      <c r="L18" s="6">
        <v>102.14</v>
      </c>
      <c r="M18" s="6">
        <v>102.75</v>
      </c>
      <c r="N18" s="6">
        <v>104.73</v>
      </c>
      <c r="O18" s="6">
        <v>106.65</v>
      </c>
    </row>
    <row r="19" spans="1:15" x14ac:dyDescent="0.2">
      <c r="B19" s="5" t="s">
        <v>9</v>
      </c>
      <c r="C19" s="6">
        <f>AVERAGE(Table1214[1/1/1])</f>
        <v>100.1</v>
      </c>
      <c r="D19" s="6">
        <f>SUBTOTAL(101,Table1214[2/2/1])</f>
        <v>100.10799999999999</v>
      </c>
      <c r="E19" s="6">
        <f>SUBTOTAL(101,Table1214[4/4/1])</f>
        <v>100.175</v>
      </c>
      <c r="F19" s="6">
        <f>SUBTOTAL(101,Table1214[8/8/1])</f>
        <v>100.24100000000001</v>
      </c>
      <c r="K19" s="5" t="s">
        <v>9</v>
      </c>
      <c r="L19" s="6">
        <f>AVERAGE(Table12[1/1/1])</f>
        <v>102.20400000000002</v>
      </c>
      <c r="M19" s="6">
        <f>SUBTOTAL(101,Table12[2/2/1])</f>
        <v>102.83899999999998</v>
      </c>
      <c r="N19" s="6">
        <f>SUBTOTAL(101,Table12[4/4/1])</f>
        <v>104.505</v>
      </c>
      <c r="O19" s="6">
        <f>SUBTOTAL(101,Table12[8/8/1])</f>
        <v>107.23100000000002</v>
      </c>
    </row>
    <row r="20" spans="1:15" x14ac:dyDescent="0.2">
      <c r="B20" s="5" t="s">
        <v>10</v>
      </c>
      <c r="C20" s="7">
        <f>STDEV(C9:C18)</f>
        <v>4.2426406871195574E-2</v>
      </c>
      <c r="D20" s="7">
        <f>STDEV(D9:D18)</f>
        <v>3.6147844564603231E-2</v>
      </c>
      <c r="E20" s="7">
        <f>STDEV(E9:E18)</f>
        <v>7.7064186811314231E-2</v>
      </c>
      <c r="F20" s="7">
        <f>STDEV(F9:F18)</f>
        <v>6.1000910740012924E-2</v>
      </c>
      <c r="K20" s="5" t="s">
        <v>10</v>
      </c>
      <c r="L20" s="7">
        <f>STDEV(L9:L18)</f>
        <v>0.13326664999166069</v>
      </c>
      <c r="M20" s="7">
        <f>STDEV(M9:M18)</f>
        <v>0.24117536266284631</v>
      </c>
      <c r="N20" s="7">
        <f>STDEV(N9:N18)</f>
        <v>0.35802700084397537</v>
      </c>
      <c r="O20" s="7">
        <f>STDEV(O9:O18)</f>
        <v>0.56141586883323447</v>
      </c>
    </row>
    <row r="28" spans="1:15" x14ac:dyDescent="0.2">
      <c r="A28" s="3" t="s">
        <v>3</v>
      </c>
      <c r="B28" s="3"/>
      <c r="C28" s="2"/>
      <c r="D28" s="2"/>
    </row>
    <row r="34" spans="2:33" x14ac:dyDescent="0.2"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2">
      <c r="C35" s="8" t="s">
        <v>11</v>
      </c>
      <c r="D35" s="8" t="s">
        <v>12</v>
      </c>
      <c r="E35" s="8" t="s">
        <v>13</v>
      </c>
      <c r="F35" s="8" t="s">
        <v>14</v>
      </c>
      <c r="G35" s="8" t="s">
        <v>15</v>
      </c>
      <c r="H35" s="8" t="s">
        <v>16</v>
      </c>
      <c r="L35" s="8" t="s">
        <v>11</v>
      </c>
      <c r="M35" s="8" t="s">
        <v>12</v>
      </c>
      <c r="N35" s="8" t="s">
        <v>13</v>
      </c>
      <c r="O35" s="8" t="s">
        <v>14</v>
      </c>
      <c r="P35" s="8" t="s">
        <v>15</v>
      </c>
      <c r="Q35" s="8" t="s">
        <v>16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2">
      <c r="B36" s="10" t="s">
        <v>0</v>
      </c>
      <c r="C36" s="4">
        <v>101.12</v>
      </c>
      <c r="D36" s="4">
        <v>101.11</v>
      </c>
      <c r="E36" s="4">
        <v>100.78</v>
      </c>
      <c r="F36" s="4">
        <v>102.04</v>
      </c>
      <c r="G36" s="4">
        <v>101.45</v>
      </c>
      <c r="H36" s="4">
        <v>104.24</v>
      </c>
      <c r="K36" s="10" t="s">
        <v>1</v>
      </c>
      <c r="L36" s="4">
        <v>101.12</v>
      </c>
      <c r="M36" s="4">
        <v>101.51</v>
      </c>
      <c r="N36" s="4">
        <v>101.94</v>
      </c>
      <c r="O36" s="4">
        <v>101.91</v>
      </c>
      <c r="P36" s="4">
        <v>102.64</v>
      </c>
      <c r="Q36" s="4">
        <v>105.91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2">
      <c r="B37" s="10"/>
      <c r="C37" s="4">
        <v>101.24</v>
      </c>
      <c r="D37" s="4">
        <v>100.76</v>
      </c>
      <c r="E37" s="4">
        <v>101.39</v>
      </c>
      <c r="F37" s="4">
        <v>101.45</v>
      </c>
      <c r="G37" s="4">
        <v>101.47</v>
      </c>
      <c r="H37" s="4">
        <v>102.83</v>
      </c>
      <c r="K37" s="10"/>
      <c r="L37" s="4">
        <v>101.63</v>
      </c>
      <c r="M37" s="4">
        <v>101.46</v>
      </c>
      <c r="N37" s="4">
        <v>101.17</v>
      </c>
      <c r="O37" s="4">
        <v>102.13</v>
      </c>
      <c r="P37" s="4">
        <v>102.77</v>
      </c>
      <c r="Q37" s="4">
        <v>107.34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2">
      <c r="B38" s="10"/>
      <c r="C38" s="4">
        <v>100.8</v>
      </c>
      <c r="D38" s="4">
        <v>101.23</v>
      </c>
      <c r="E38" s="4">
        <v>101.11</v>
      </c>
      <c r="F38" s="4">
        <v>100.86</v>
      </c>
      <c r="G38" s="4">
        <v>101.41</v>
      </c>
      <c r="H38" s="4">
        <v>103.89</v>
      </c>
      <c r="K38" s="10"/>
      <c r="L38" s="4">
        <v>101.38</v>
      </c>
      <c r="M38" s="4">
        <v>101.79</v>
      </c>
      <c r="N38" s="4">
        <v>101.1</v>
      </c>
      <c r="O38" s="4">
        <v>102.01</v>
      </c>
      <c r="P38" s="4">
        <v>101.85</v>
      </c>
      <c r="Q38" s="4">
        <v>103.67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10"/>
      <c r="C39" s="4">
        <v>101.21</v>
      </c>
      <c r="D39" s="4">
        <v>101.26</v>
      </c>
      <c r="E39" s="4">
        <v>100.83</v>
      </c>
      <c r="F39" s="4">
        <v>101.27</v>
      </c>
      <c r="G39" s="4">
        <v>101.59</v>
      </c>
      <c r="H39" s="4">
        <v>102.88</v>
      </c>
      <c r="K39" s="10"/>
      <c r="L39" s="4">
        <v>101.55</v>
      </c>
      <c r="M39" s="4">
        <v>101.49</v>
      </c>
      <c r="N39" s="4">
        <v>101.78</v>
      </c>
      <c r="O39" s="4">
        <v>101.62</v>
      </c>
      <c r="P39" s="4">
        <v>101.79</v>
      </c>
      <c r="Q39" s="4">
        <v>102.63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2">
      <c r="B40" s="10"/>
      <c r="C40" s="4">
        <v>101.33</v>
      </c>
      <c r="D40" s="4">
        <v>100.73</v>
      </c>
      <c r="E40" s="4">
        <v>101.13</v>
      </c>
      <c r="F40" s="4">
        <v>101.31</v>
      </c>
      <c r="G40" s="4">
        <v>101.63</v>
      </c>
      <c r="H40" s="4">
        <v>104.92</v>
      </c>
      <c r="K40" s="10"/>
      <c r="L40" s="4">
        <v>101.97</v>
      </c>
      <c r="M40" s="4">
        <v>101.61</v>
      </c>
      <c r="N40" s="4">
        <v>101.64</v>
      </c>
      <c r="O40" s="4">
        <v>101.41</v>
      </c>
      <c r="P40" s="4">
        <v>101.68</v>
      </c>
      <c r="Q40" s="4">
        <v>103.42</v>
      </c>
    </row>
    <row r="41" spans="2:33" x14ac:dyDescent="0.2">
      <c r="B41" s="10"/>
      <c r="C41" s="4">
        <v>100.78</v>
      </c>
      <c r="D41" s="4">
        <v>101.32</v>
      </c>
      <c r="E41" s="4">
        <v>101.33</v>
      </c>
      <c r="F41" s="4">
        <v>101.47</v>
      </c>
      <c r="G41" s="4">
        <v>101.49</v>
      </c>
      <c r="H41" s="4">
        <v>103.58</v>
      </c>
      <c r="K41" s="10"/>
      <c r="L41" s="4">
        <v>101.44</v>
      </c>
      <c r="M41" s="4">
        <v>101.61</v>
      </c>
      <c r="N41" s="4">
        <v>101.49</v>
      </c>
      <c r="O41" s="4">
        <v>101.74</v>
      </c>
      <c r="P41" s="4">
        <v>101.77</v>
      </c>
      <c r="Q41" s="4">
        <v>103.51</v>
      </c>
    </row>
    <row r="42" spans="2:33" x14ac:dyDescent="0.2">
      <c r="B42" s="10"/>
      <c r="C42" s="4">
        <v>101.36</v>
      </c>
      <c r="D42" s="4">
        <v>101.28</v>
      </c>
      <c r="E42" s="4">
        <v>101.36</v>
      </c>
      <c r="F42" s="4">
        <v>101.27</v>
      </c>
      <c r="G42" s="4">
        <v>101.88</v>
      </c>
      <c r="H42" s="4">
        <v>102.9</v>
      </c>
      <c r="K42" s="10"/>
      <c r="L42" s="4">
        <v>101.77</v>
      </c>
      <c r="M42" s="4">
        <v>101.49</v>
      </c>
      <c r="N42" s="4">
        <v>101.65</v>
      </c>
      <c r="O42" s="4">
        <v>101.61</v>
      </c>
      <c r="P42" s="4">
        <v>101.95</v>
      </c>
      <c r="Q42" s="4">
        <v>102.97</v>
      </c>
    </row>
    <row r="43" spans="2:33" x14ac:dyDescent="0.2">
      <c r="B43" s="10"/>
      <c r="C43" s="4">
        <v>101.1</v>
      </c>
      <c r="D43" s="4">
        <v>101.26</v>
      </c>
      <c r="E43" s="4">
        <v>101.27</v>
      </c>
      <c r="F43" s="4">
        <v>101.51</v>
      </c>
      <c r="G43" s="4">
        <v>101.75</v>
      </c>
      <c r="H43" s="4">
        <v>102.74</v>
      </c>
      <c r="K43" s="10"/>
      <c r="L43" s="4">
        <v>101.49</v>
      </c>
      <c r="M43" s="4">
        <v>102.24</v>
      </c>
      <c r="N43" s="4">
        <v>101.15</v>
      </c>
      <c r="O43" s="4">
        <v>101.2</v>
      </c>
      <c r="P43" s="4">
        <v>102.3</v>
      </c>
      <c r="Q43" s="4">
        <v>103</v>
      </c>
    </row>
    <row r="44" spans="2:33" x14ac:dyDescent="0.2">
      <c r="B44" s="10"/>
      <c r="C44" s="4">
        <v>101.11</v>
      </c>
      <c r="D44" s="4">
        <v>101.28</v>
      </c>
      <c r="E44" s="4">
        <v>101.27</v>
      </c>
      <c r="F44" s="4">
        <v>101.2</v>
      </c>
      <c r="G44" s="4">
        <v>101.54</v>
      </c>
      <c r="H44" s="4">
        <v>103.2</v>
      </c>
      <c r="K44" s="10"/>
      <c r="L44" s="4">
        <v>101.48</v>
      </c>
      <c r="M44" s="4">
        <v>101.5</v>
      </c>
      <c r="N44" s="4">
        <v>101.78</v>
      </c>
      <c r="O44" s="4">
        <v>101.61</v>
      </c>
      <c r="P44" s="4">
        <v>102.28</v>
      </c>
      <c r="Q44" s="4">
        <v>102.96</v>
      </c>
    </row>
    <row r="45" spans="2:33" x14ac:dyDescent="0.2">
      <c r="B45" s="10"/>
      <c r="C45" s="4">
        <v>101.22</v>
      </c>
      <c r="D45" s="4">
        <v>100.73</v>
      </c>
      <c r="E45" s="4">
        <v>101.14</v>
      </c>
      <c r="F45" s="4">
        <v>101.19</v>
      </c>
      <c r="G45" s="4">
        <v>102.09</v>
      </c>
      <c r="H45" s="4">
        <v>104.77</v>
      </c>
      <c r="K45" s="10"/>
      <c r="L45" s="4">
        <v>101.42</v>
      </c>
      <c r="M45" s="4">
        <v>101.26</v>
      </c>
      <c r="N45" s="4">
        <v>101.32</v>
      </c>
      <c r="O45" s="4">
        <v>101.1</v>
      </c>
      <c r="P45" s="4">
        <v>101.86</v>
      </c>
      <c r="Q45" s="4">
        <v>103.44</v>
      </c>
    </row>
    <row r="46" spans="2:33" x14ac:dyDescent="0.2">
      <c r="B46" s="5" t="s">
        <v>9</v>
      </c>
      <c r="C46" s="6">
        <f>AVERAGE(Table121415[1/1/1])</f>
        <v>101.12700000000001</v>
      </c>
      <c r="D46" s="6">
        <f>SUBTOTAL(101,Table121415[2/2/1])</f>
        <v>101.096</v>
      </c>
      <c r="E46" s="6">
        <f>SUBTOTAL(101,Table121415[4/4/1])</f>
        <v>101.161</v>
      </c>
      <c r="F46" s="6">
        <f>SUBTOTAL(101,Table121415[8/8/1])</f>
        <v>101.357</v>
      </c>
      <c r="G46" s="6">
        <f>SUBTOTAL(101,Table121415[16/16/1])</f>
        <v>101.63000000000001</v>
      </c>
      <c r="H46" s="6">
        <f>SUBTOTAL(101,Table121415[32/32/2])</f>
        <v>103.595</v>
      </c>
      <c r="K46" s="5" t="s">
        <v>9</v>
      </c>
      <c r="L46" s="6">
        <f>AVERAGE(Table12141516[1/1/1])</f>
        <v>101.52499999999999</v>
      </c>
      <c r="M46" s="6">
        <f>SUBTOTAL(101,Table12141516[2/2/1])</f>
        <v>101.596</v>
      </c>
      <c r="N46" s="6">
        <f>SUBTOTAL(101,Table12141516[4/4/1])</f>
        <v>101.502</v>
      </c>
      <c r="O46" s="6">
        <f>SUBTOTAL(101,Table12141516[8/8/1])</f>
        <v>101.63400000000001</v>
      </c>
      <c r="P46" s="6">
        <f>SUBTOTAL(101,Table12141516[16/16/1])</f>
        <v>102.089</v>
      </c>
      <c r="Q46" s="6">
        <f>SUBTOTAL(101,Table12141516[32/32/2])</f>
        <v>103.88500000000002</v>
      </c>
    </row>
    <row r="47" spans="2:33" x14ac:dyDescent="0.2">
      <c r="B47" s="5" t="s">
        <v>10</v>
      </c>
      <c r="C47" s="7">
        <f>STDEV(C36:C45)</f>
        <v>0.19782427668121072</v>
      </c>
      <c r="D47" s="7">
        <f t="shared" ref="D47:H47" si="0">STDEV(D36:D45)</f>
        <v>0.25180239165751317</v>
      </c>
      <c r="E47" s="7">
        <f t="shared" si="0"/>
        <v>0.21163123062954953</v>
      </c>
      <c r="F47" s="7">
        <f t="shared" si="0"/>
        <v>0.30335347918448979</v>
      </c>
      <c r="G47" s="7">
        <f t="shared" si="0"/>
        <v>0.2171021265057842</v>
      </c>
      <c r="H47" s="7">
        <f t="shared" si="0"/>
        <v>0.82368076340290941</v>
      </c>
      <c r="K47" s="5" t="s">
        <v>10</v>
      </c>
      <c r="L47" s="7">
        <f>STDEV(L36:L45)</f>
        <v>0.23003622903070281</v>
      </c>
      <c r="M47" s="7">
        <f t="shared" ref="M47:Q47" si="1">STDEV(M36:M45)</f>
        <v>0.26315183618756754</v>
      </c>
      <c r="N47" s="7">
        <f t="shared" si="1"/>
        <v>0.30117547487580559</v>
      </c>
      <c r="O47" s="7">
        <f t="shared" si="1"/>
        <v>0.3333066655999149</v>
      </c>
      <c r="P47" s="7">
        <f t="shared" si="1"/>
        <v>0.38524018481980676</v>
      </c>
      <c r="Q47" s="7">
        <f t="shared" si="1"/>
        <v>1.5162032258975791</v>
      </c>
    </row>
    <row r="54" spans="1:29" x14ac:dyDescent="0.2">
      <c r="A54" s="3" t="s">
        <v>4</v>
      </c>
      <c r="B54" s="3"/>
      <c r="C54" s="2"/>
    </row>
    <row r="61" spans="1:29" x14ac:dyDescent="0.2">
      <c r="C61" s="1" t="s">
        <v>5</v>
      </c>
      <c r="D61" s="1" t="s">
        <v>6</v>
      </c>
      <c r="E61" s="1" t="s">
        <v>7</v>
      </c>
      <c r="F61" s="1" t="s">
        <v>8</v>
      </c>
      <c r="L61" s="1" t="s">
        <v>5</v>
      </c>
      <c r="M61" s="1" t="s">
        <v>6</v>
      </c>
      <c r="N61" s="1" t="s">
        <v>7</v>
      </c>
      <c r="O61" s="1" t="s">
        <v>8</v>
      </c>
    </row>
    <row r="62" spans="1:29" x14ac:dyDescent="0.2">
      <c r="B62" s="10" t="s">
        <v>0</v>
      </c>
      <c r="C62" s="4">
        <v>0</v>
      </c>
      <c r="D62" s="4">
        <v>0</v>
      </c>
      <c r="E62" s="4">
        <v>0</v>
      </c>
      <c r="F62" s="4">
        <v>0</v>
      </c>
      <c r="K62" s="10" t="s">
        <v>1</v>
      </c>
      <c r="L62" s="4">
        <v>0</v>
      </c>
      <c r="M62" s="4">
        <v>0</v>
      </c>
      <c r="N62" s="4">
        <v>0</v>
      </c>
      <c r="O62" s="4"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B63" s="10"/>
      <c r="C63" s="4">
        <v>0</v>
      </c>
      <c r="D63" s="4">
        <v>0</v>
      </c>
      <c r="E63" s="4">
        <v>0</v>
      </c>
      <c r="F63" s="4">
        <v>0</v>
      </c>
      <c r="K63" s="10"/>
      <c r="L63" s="4">
        <v>0</v>
      </c>
      <c r="M63" s="4">
        <v>0</v>
      </c>
      <c r="N63" s="4">
        <v>0</v>
      </c>
      <c r="O63" s="4"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B64" s="10"/>
      <c r="C64" s="4">
        <v>0</v>
      </c>
      <c r="D64" s="4">
        <v>0</v>
      </c>
      <c r="E64" s="4">
        <v>0</v>
      </c>
      <c r="F64" s="4">
        <v>0</v>
      </c>
      <c r="K64" s="10"/>
      <c r="L64" s="4">
        <v>0</v>
      </c>
      <c r="M64" s="4">
        <v>0</v>
      </c>
      <c r="N64" s="4">
        <v>0</v>
      </c>
      <c r="O64" s="4"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B65" s="10"/>
      <c r="C65" s="4">
        <v>0</v>
      </c>
      <c r="D65" s="4">
        <v>0</v>
      </c>
      <c r="E65" s="4">
        <v>0</v>
      </c>
      <c r="F65" s="4">
        <v>0</v>
      </c>
      <c r="K65" s="10"/>
      <c r="L65" s="4">
        <v>0</v>
      </c>
      <c r="M65" s="4">
        <v>0</v>
      </c>
      <c r="N65" s="4">
        <v>0</v>
      </c>
      <c r="O65" s="4"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B66" s="10"/>
      <c r="C66" s="4">
        <v>0</v>
      </c>
      <c r="D66" s="4">
        <v>0</v>
      </c>
      <c r="E66" s="4">
        <v>0</v>
      </c>
      <c r="F66" s="4">
        <v>0</v>
      </c>
      <c r="K66" s="10"/>
      <c r="L66" s="4">
        <v>0</v>
      </c>
      <c r="M66" s="4">
        <v>0</v>
      </c>
      <c r="N66" s="4">
        <v>0</v>
      </c>
      <c r="O66" s="4">
        <v>0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B67" s="10"/>
      <c r="C67" s="4">
        <v>0</v>
      </c>
      <c r="D67" s="4">
        <v>0</v>
      </c>
      <c r="E67" s="4">
        <v>0</v>
      </c>
      <c r="F67" s="4">
        <v>0</v>
      </c>
      <c r="K67" s="10"/>
      <c r="L67" s="4">
        <v>0</v>
      </c>
      <c r="M67" s="4">
        <v>0</v>
      </c>
      <c r="N67" s="4">
        <v>0</v>
      </c>
      <c r="O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B68" s="10"/>
      <c r="C68" s="4">
        <v>0</v>
      </c>
      <c r="D68" s="4">
        <v>0</v>
      </c>
      <c r="E68" s="4">
        <v>0</v>
      </c>
      <c r="F68" s="4">
        <v>0</v>
      </c>
      <c r="K68" s="10"/>
      <c r="L68" s="4">
        <v>0</v>
      </c>
      <c r="M68" s="4">
        <v>0</v>
      </c>
      <c r="N68" s="4">
        <v>0</v>
      </c>
      <c r="O68" s="4">
        <v>0</v>
      </c>
    </row>
    <row r="69" spans="1:29" x14ac:dyDescent="0.2">
      <c r="B69" s="10"/>
      <c r="C69" s="4">
        <v>0</v>
      </c>
      <c r="D69" s="4">
        <v>0</v>
      </c>
      <c r="E69" s="4">
        <v>0</v>
      </c>
      <c r="F69" s="4">
        <v>0</v>
      </c>
      <c r="K69" s="10"/>
      <c r="L69" s="4">
        <v>0</v>
      </c>
      <c r="M69" s="4">
        <v>0</v>
      </c>
      <c r="N69" s="4">
        <v>0</v>
      </c>
      <c r="O69" s="4">
        <v>0</v>
      </c>
    </row>
    <row r="70" spans="1:29" x14ac:dyDescent="0.2">
      <c r="B70" s="10"/>
      <c r="C70" s="4">
        <v>0</v>
      </c>
      <c r="D70" s="4">
        <v>0</v>
      </c>
      <c r="E70" s="4">
        <v>0</v>
      </c>
      <c r="F70" s="4">
        <v>0</v>
      </c>
      <c r="K70" s="10"/>
      <c r="L70" s="4">
        <v>0</v>
      </c>
      <c r="M70" s="4">
        <v>0</v>
      </c>
      <c r="N70" s="4">
        <v>0</v>
      </c>
      <c r="O70" s="4">
        <v>0</v>
      </c>
    </row>
    <row r="71" spans="1:29" x14ac:dyDescent="0.2">
      <c r="B71" s="10"/>
      <c r="C71" s="4">
        <v>0</v>
      </c>
      <c r="D71" s="4">
        <v>0</v>
      </c>
      <c r="E71" s="4">
        <v>0</v>
      </c>
      <c r="F71" s="4">
        <v>0</v>
      </c>
      <c r="K71" s="10"/>
      <c r="L71" s="4">
        <v>0</v>
      </c>
      <c r="M71" s="4">
        <v>0</v>
      </c>
      <c r="N71" s="4">
        <v>0</v>
      </c>
      <c r="O71" s="4">
        <v>0</v>
      </c>
    </row>
    <row r="72" spans="1:29" x14ac:dyDescent="0.2">
      <c r="B72" s="5" t="s">
        <v>9</v>
      </c>
      <c r="C72" s="6">
        <f>AVERAGE(Table121417[1])</f>
        <v>0</v>
      </c>
      <c r="D72" s="6">
        <f>SUBTOTAL(101,Table121417[2])</f>
        <v>0</v>
      </c>
      <c r="E72" s="6">
        <f>SUBTOTAL(101,Table121417[4])</f>
        <v>0</v>
      </c>
      <c r="F72" s="6">
        <f>SUBTOTAL(101,Table121417[8])</f>
        <v>0</v>
      </c>
      <c r="K72" s="5" t="s">
        <v>9</v>
      </c>
      <c r="L72" s="6">
        <f>AVERAGE(Table12141718[1])</f>
        <v>0</v>
      </c>
      <c r="M72" s="6">
        <f>SUBTOTAL(101,Table12141718[2])</f>
        <v>0</v>
      </c>
      <c r="N72" s="6">
        <f>SUBTOTAL(101,Table12141718[4])</f>
        <v>0</v>
      </c>
      <c r="O72" s="6">
        <f>SUBTOTAL(101,Table12141718[8])</f>
        <v>0</v>
      </c>
    </row>
    <row r="73" spans="1:29" x14ac:dyDescent="0.2">
      <c r="B73" s="5" t="s">
        <v>10</v>
      </c>
      <c r="C73" s="7">
        <f>STDEV(C62:C71)</f>
        <v>0</v>
      </c>
      <c r="D73" s="7">
        <f t="shared" ref="D73:F73" si="2">STDEV(D62:D71)</f>
        <v>0</v>
      </c>
      <c r="E73" s="7">
        <f t="shared" si="2"/>
        <v>0</v>
      </c>
      <c r="F73" s="7">
        <f t="shared" si="2"/>
        <v>0</v>
      </c>
      <c r="K73" s="5" t="s">
        <v>10</v>
      </c>
      <c r="L73" s="7">
        <f>STDEV(L62:L71)</f>
        <v>0</v>
      </c>
      <c r="M73" s="7">
        <f t="shared" ref="M73:O73" si="3">STDEV(M62:M71)</f>
        <v>0</v>
      </c>
      <c r="N73" s="7">
        <f t="shared" si="3"/>
        <v>0</v>
      </c>
      <c r="O73" s="7">
        <f t="shared" si="3"/>
        <v>0</v>
      </c>
    </row>
    <row r="80" spans="1:29" x14ac:dyDescent="0.2">
      <c r="A80" s="3" t="s">
        <v>21</v>
      </c>
      <c r="B80" s="3"/>
      <c r="C80" s="2"/>
      <c r="D80" s="2"/>
    </row>
    <row r="87" spans="2:13" x14ac:dyDescent="0.2">
      <c r="C87" s="8" t="s">
        <v>17</v>
      </c>
      <c r="D87" s="8" t="s">
        <v>18</v>
      </c>
      <c r="E87" s="8" t="s">
        <v>19</v>
      </c>
      <c r="F87" s="8" t="s">
        <v>20</v>
      </c>
      <c r="J87" s="8" t="s">
        <v>17</v>
      </c>
      <c r="K87" s="8" t="s">
        <v>18</v>
      </c>
      <c r="L87" s="8" t="s">
        <v>19</v>
      </c>
      <c r="M87" s="8" t="s">
        <v>20</v>
      </c>
    </row>
    <row r="88" spans="2:13" x14ac:dyDescent="0.2">
      <c r="B88" s="10" t="s">
        <v>0</v>
      </c>
      <c r="C88" s="9">
        <v>2.98</v>
      </c>
      <c r="D88" s="9">
        <v>2.8</v>
      </c>
      <c r="E88" s="9">
        <v>5.39</v>
      </c>
      <c r="F88" s="9">
        <v>12.04</v>
      </c>
      <c r="I88" s="10" t="s">
        <v>1</v>
      </c>
      <c r="J88">
        <v>2.65</v>
      </c>
      <c r="K88">
        <v>3.82</v>
      </c>
      <c r="L88">
        <v>6.57</v>
      </c>
      <c r="M88">
        <v>13.07</v>
      </c>
    </row>
    <row r="89" spans="2:13" x14ac:dyDescent="0.2">
      <c r="B89" s="10"/>
      <c r="C89" s="9">
        <v>1.7</v>
      </c>
      <c r="D89" s="9">
        <v>3.03</v>
      </c>
      <c r="E89" s="9">
        <v>5.37</v>
      </c>
      <c r="F89" s="9">
        <v>10.37</v>
      </c>
      <c r="I89" s="10"/>
      <c r="J89">
        <v>1.94</v>
      </c>
      <c r="K89">
        <v>3.51</v>
      </c>
      <c r="L89">
        <v>6.46</v>
      </c>
      <c r="M89">
        <v>13.7</v>
      </c>
    </row>
    <row r="90" spans="2:13" x14ac:dyDescent="0.2">
      <c r="B90" s="10"/>
      <c r="C90" s="9">
        <v>1.61</v>
      </c>
      <c r="D90" s="9">
        <v>2.73</v>
      </c>
      <c r="E90" s="9">
        <v>8.07</v>
      </c>
      <c r="F90" s="9">
        <v>10.36</v>
      </c>
      <c r="I90" s="10"/>
      <c r="J90">
        <v>1.72</v>
      </c>
      <c r="K90">
        <v>3.45</v>
      </c>
      <c r="L90">
        <v>6.49</v>
      </c>
      <c r="M90">
        <v>13.6</v>
      </c>
    </row>
    <row r="91" spans="2:13" x14ac:dyDescent="0.2">
      <c r="B91" s="10"/>
      <c r="C91" s="9">
        <v>1.67</v>
      </c>
      <c r="D91" s="9">
        <v>2.75</v>
      </c>
      <c r="E91" s="9">
        <v>7.12</v>
      </c>
      <c r="F91" s="9">
        <v>11.13</v>
      </c>
      <c r="I91" s="10"/>
      <c r="J91">
        <v>2.06</v>
      </c>
      <c r="K91">
        <v>3.32</v>
      </c>
      <c r="L91">
        <v>6.89</v>
      </c>
      <c r="M91">
        <v>12.84</v>
      </c>
    </row>
    <row r="92" spans="2:13" x14ac:dyDescent="0.2">
      <c r="B92" s="10"/>
      <c r="C92" s="9">
        <v>2.36</v>
      </c>
      <c r="D92" s="9">
        <v>3.83</v>
      </c>
      <c r="E92" s="9">
        <v>5.39</v>
      </c>
      <c r="F92" s="9">
        <v>10.92</v>
      </c>
      <c r="I92" s="10"/>
      <c r="J92">
        <v>1.55</v>
      </c>
      <c r="K92">
        <v>3.22</v>
      </c>
      <c r="L92">
        <v>6.08</v>
      </c>
      <c r="M92">
        <v>13.59</v>
      </c>
    </row>
    <row r="93" spans="2:13" x14ac:dyDescent="0.2">
      <c r="B93" s="10"/>
      <c r="C93" s="9">
        <v>1.88</v>
      </c>
      <c r="D93" s="9">
        <v>3.9</v>
      </c>
      <c r="E93" s="9">
        <v>6.31</v>
      </c>
      <c r="F93" s="9">
        <v>11.06</v>
      </c>
      <c r="I93" s="10"/>
      <c r="J93">
        <v>1.61</v>
      </c>
      <c r="K93">
        <v>3.05</v>
      </c>
      <c r="L93">
        <v>6.38</v>
      </c>
      <c r="M93">
        <v>13.53</v>
      </c>
    </row>
    <row r="94" spans="2:13" x14ac:dyDescent="0.2">
      <c r="B94" s="10"/>
      <c r="C94" s="9">
        <v>1.64</v>
      </c>
      <c r="D94" s="9">
        <v>2.62</v>
      </c>
      <c r="E94" s="9">
        <v>5.24</v>
      </c>
      <c r="F94" s="9">
        <v>10.11</v>
      </c>
      <c r="I94" s="10"/>
      <c r="J94">
        <v>2.11</v>
      </c>
      <c r="K94">
        <v>3.38</v>
      </c>
      <c r="L94">
        <v>6.21</v>
      </c>
      <c r="M94">
        <v>13.2</v>
      </c>
    </row>
    <row r="95" spans="2:13" x14ac:dyDescent="0.2">
      <c r="B95" s="10"/>
      <c r="C95" s="9">
        <v>1.49</v>
      </c>
      <c r="D95" s="9">
        <v>4.41</v>
      </c>
      <c r="E95" s="9">
        <v>5.29</v>
      </c>
      <c r="F95" s="9">
        <v>11.77</v>
      </c>
      <c r="I95" s="10"/>
      <c r="J95">
        <v>1.63</v>
      </c>
      <c r="K95">
        <v>3.67</v>
      </c>
      <c r="L95">
        <v>6.33</v>
      </c>
      <c r="M95">
        <v>13.29</v>
      </c>
    </row>
    <row r="96" spans="2:13" x14ac:dyDescent="0.2">
      <c r="B96" s="10"/>
      <c r="C96" s="9">
        <v>1.7</v>
      </c>
      <c r="D96" s="9">
        <v>2.59</v>
      </c>
      <c r="E96" s="9">
        <v>5.0999999999999996</v>
      </c>
      <c r="F96" s="9">
        <v>10.32</v>
      </c>
      <c r="I96" s="10"/>
      <c r="J96">
        <v>1.87</v>
      </c>
      <c r="K96">
        <v>3.71</v>
      </c>
      <c r="L96">
        <v>6.71</v>
      </c>
      <c r="M96">
        <v>13.16</v>
      </c>
    </row>
    <row r="97" spans="1:15" x14ac:dyDescent="0.2">
      <c r="B97" s="10"/>
      <c r="C97" s="9">
        <v>1.66</v>
      </c>
      <c r="D97" s="9">
        <v>2.84</v>
      </c>
      <c r="E97" s="9">
        <v>4.99</v>
      </c>
      <c r="F97" s="9">
        <v>12.2</v>
      </c>
      <c r="I97" s="10"/>
      <c r="J97">
        <v>1.61</v>
      </c>
      <c r="K97">
        <v>3.24</v>
      </c>
      <c r="L97">
        <v>6.77</v>
      </c>
      <c r="M97">
        <v>13.4</v>
      </c>
    </row>
    <row r="98" spans="1:15" x14ac:dyDescent="0.2">
      <c r="B98" s="5" t="s">
        <v>9</v>
      </c>
      <c r="C98" s="6">
        <f>AVERAGE(Table12141519[56/1/2])</f>
        <v>1.8690000000000002</v>
      </c>
      <c r="D98" s="6">
        <f>SUBTOTAL(101,Table12141519[112/2/4])</f>
        <v>3.15</v>
      </c>
      <c r="E98" s="6">
        <f>SUBTOTAL(101,Table12141519[224/4/8])</f>
        <v>5.827</v>
      </c>
      <c r="F98" s="6">
        <f>SUBTOTAL(101,Table12141519[448/8/16])</f>
        <v>11.027999999999999</v>
      </c>
      <c r="I98" s="5" t="s">
        <v>9</v>
      </c>
      <c r="J98" s="6">
        <f>AVERAGE(Table1214151620[56/1/2])</f>
        <v>1.875</v>
      </c>
      <c r="K98" s="6">
        <f>SUBTOTAL(101,Table1214151620[112/2/4])</f>
        <v>3.4370000000000003</v>
      </c>
      <c r="L98" s="6">
        <f>SUBTOTAL(101,Table1214151620[224/4/8])</f>
        <v>6.4889999999999999</v>
      </c>
      <c r="M98" s="6">
        <f>SUBTOTAL(101,Table1214151620[448/8/16])</f>
        <v>13.337999999999999</v>
      </c>
    </row>
    <row r="99" spans="1:15" x14ac:dyDescent="0.2">
      <c r="B99" s="5" t="s">
        <v>10</v>
      </c>
      <c r="C99" s="7">
        <f>STDEV(C88:C97)</f>
        <v>0.45693301235276923</v>
      </c>
      <c r="D99" s="7">
        <f t="shared" ref="D99:F99" si="4">STDEV(D88:D97)</f>
        <v>0.64776538962806673</v>
      </c>
      <c r="E99" s="7">
        <f t="shared" si="4"/>
        <v>1.0213830492686531</v>
      </c>
      <c r="F99" s="7">
        <f t="shared" si="4"/>
        <v>0.75971924638864663</v>
      </c>
      <c r="G99" s="7"/>
      <c r="H99" s="7"/>
      <c r="I99" s="5" t="s">
        <v>10</v>
      </c>
      <c r="J99" s="7">
        <f>STDEV(J88:J97)</f>
        <v>0.33738372482646334</v>
      </c>
      <c r="K99" s="7">
        <f t="shared" ref="K99:M99" si="5">STDEV(K88:K97)</f>
        <v>0.24349537983296515</v>
      </c>
      <c r="L99" s="7">
        <f t="shared" si="5"/>
        <v>0.25348460395938127</v>
      </c>
      <c r="M99" s="7">
        <f t="shared" si="5"/>
        <v>0.27421808028566513</v>
      </c>
      <c r="N99" s="7"/>
      <c r="O99" s="7"/>
    </row>
    <row r="106" spans="1:15" x14ac:dyDescent="0.2">
      <c r="A106" s="3" t="s">
        <v>22</v>
      </c>
      <c r="B106" s="3"/>
      <c r="C106" s="2"/>
      <c r="D106" s="2"/>
    </row>
    <row r="113" spans="2:13" x14ac:dyDescent="0.2">
      <c r="C113" s="8" t="s">
        <v>23</v>
      </c>
      <c r="D113" s="8" t="s">
        <v>24</v>
      </c>
      <c r="E113" s="8" t="s">
        <v>25</v>
      </c>
      <c r="F113" s="8" t="s">
        <v>26</v>
      </c>
      <c r="J113" s="8" t="s">
        <v>23</v>
      </c>
      <c r="K113" s="8" t="s">
        <v>24</v>
      </c>
      <c r="L113" s="8" t="s">
        <v>25</v>
      </c>
      <c r="M113" s="8" t="s">
        <v>26</v>
      </c>
    </row>
    <row r="114" spans="2:13" x14ac:dyDescent="0.2">
      <c r="B114" s="10" t="s">
        <v>0</v>
      </c>
      <c r="C114">
        <v>4.8</v>
      </c>
      <c r="D114">
        <v>9.5500000000000007</v>
      </c>
      <c r="E114">
        <v>50.17</v>
      </c>
      <c r="F114">
        <v>93.39</v>
      </c>
      <c r="I114" s="10" t="s">
        <v>1</v>
      </c>
      <c r="J114">
        <v>1.24</v>
      </c>
      <c r="K114">
        <v>3.55</v>
      </c>
      <c r="L114">
        <v>6.72</v>
      </c>
      <c r="M114">
        <v>5.97</v>
      </c>
    </row>
    <row r="115" spans="2:13" x14ac:dyDescent="0.2">
      <c r="B115" s="10"/>
      <c r="C115">
        <v>5.81</v>
      </c>
      <c r="D115">
        <v>10.16</v>
      </c>
      <c r="E115">
        <v>27.43</v>
      </c>
      <c r="F115">
        <v>88.43</v>
      </c>
      <c r="I115" s="10"/>
      <c r="J115">
        <v>0.61</v>
      </c>
      <c r="K115">
        <v>1.51</v>
      </c>
      <c r="L115">
        <v>5.59</v>
      </c>
      <c r="M115">
        <v>5.05</v>
      </c>
    </row>
    <row r="116" spans="2:13" x14ac:dyDescent="0.2">
      <c r="B116" s="10"/>
      <c r="C116">
        <v>3.61</v>
      </c>
      <c r="D116">
        <v>9.34</v>
      </c>
      <c r="E116">
        <v>27.71</v>
      </c>
      <c r="F116">
        <v>87.41</v>
      </c>
      <c r="I116" s="10"/>
      <c r="J116">
        <v>0.69</v>
      </c>
      <c r="K116">
        <v>2.5499999999999998</v>
      </c>
      <c r="L116">
        <v>3.4</v>
      </c>
      <c r="M116">
        <v>7.99</v>
      </c>
    </row>
    <row r="117" spans="2:13" x14ac:dyDescent="0.2">
      <c r="B117" s="10"/>
      <c r="C117">
        <v>3.84</v>
      </c>
      <c r="D117">
        <v>9.6</v>
      </c>
      <c r="E117">
        <v>26.55</v>
      </c>
      <c r="F117">
        <v>91.08</v>
      </c>
      <c r="I117" s="10"/>
      <c r="J117">
        <v>1.02</v>
      </c>
      <c r="K117">
        <v>2.62</v>
      </c>
      <c r="L117">
        <v>5.54</v>
      </c>
      <c r="M117">
        <v>5.34</v>
      </c>
    </row>
    <row r="118" spans="2:13" x14ac:dyDescent="0.2">
      <c r="B118" s="10"/>
      <c r="C118">
        <v>4.92</v>
      </c>
      <c r="D118">
        <v>10.199999999999999</v>
      </c>
      <c r="E118">
        <v>28.57</v>
      </c>
      <c r="F118">
        <v>114.01</v>
      </c>
      <c r="I118" s="10"/>
      <c r="J118">
        <v>1.1100000000000001</v>
      </c>
      <c r="K118">
        <v>2.1800000000000002</v>
      </c>
      <c r="L118">
        <v>4.3499999999999996</v>
      </c>
      <c r="M118">
        <v>7.71</v>
      </c>
    </row>
    <row r="119" spans="2:13" x14ac:dyDescent="0.2">
      <c r="B119" s="10"/>
      <c r="C119">
        <v>4.13</v>
      </c>
      <c r="D119">
        <v>9.61</v>
      </c>
      <c r="E119">
        <v>46.28</v>
      </c>
      <c r="F119">
        <v>94.72</v>
      </c>
      <c r="I119" s="10"/>
      <c r="J119">
        <v>0.9</v>
      </c>
      <c r="K119">
        <v>3.37</v>
      </c>
      <c r="L119">
        <v>3.39</v>
      </c>
      <c r="M119">
        <v>8.59</v>
      </c>
    </row>
    <row r="120" spans="2:13" x14ac:dyDescent="0.2">
      <c r="B120" s="10"/>
      <c r="C120">
        <v>4.83</v>
      </c>
      <c r="D120">
        <v>9.6</v>
      </c>
      <c r="E120">
        <v>26.56</v>
      </c>
      <c r="F120">
        <v>107.57</v>
      </c>
      <c r="I120" s="10"/>
      <c r="J120">
        <v>2.36</v>
      </c>
      <c r="K120">
        <v>1.76</v>
      </c>
      <c r="L120">
        <v>3.73</v>
      </c>
      <c r="M120">
        <v>7.24</v>
      </c>
    </row>
    <row r="121" spans="2:13" x14ac:dyDescent="0.2">
      <c r="B121" s="10"/>
      <c r="C121">
        <v>5.37</v>
      </c>
      <c r="D121">
        <v>9.6300000000000008</v>
      </c>
      <c r="E121">
        <v>28.26</v>
      </c>
      <c r="F121">
        <v>102.38</v>
      </c>
      <c r="I121" s="10"/>
      <c r="J121">
        <v>0.73</v>
      </c>
      <c r="K121">
        <v>1.92</v>
      </c>
      <c r="L121">
        <v>3.31</v>
      </c>
      <c r="M121">
        <v>5.79</v>
      </c>
    </row>
    <row r="122" spans="2:13" x14ac:dyDescent="0.2">
      <c r="B122" s="10"/>
      <c r="C122">
        <v>4.8099999999999996</v>
      </c>
      <c r="D122">
        <v>9.34</v>
      </c>
      <c r="E122">
        <v>37.28</v>
      </c>
      <c r="F122">
        <v>105.38</v>
      </c>
      <c r="I122" s="10"/>
      <c r="J122">
        <v>1.17</v>
      </c>
      <c r="K122">
        <v>1.77</v>
      </c>
      <c r="L122">
        <v>3.69</v>
      </c>
      <c r="M122">
        <v>6.02</v>
      </c>
    </row>
    <row r="123" spans="2:13" x14ac:dyDescent="0.2">
      <c r="B123" s="10"/>
      <c r="C123">
        <v>4.26</v>
      </c>
      <c r="D123">
        <v>10.78</v>
      </c>
      <c r="E123">
        <v>28.96</v>
      </c>
      <c r="F123">
        <v>92.31</v>
      </c>
      <c r="I123" s="10"/>
      <c r="J123">
        <v>0.86</v>
      </c>
      <c r="K123">
        <v>1.81</v>
      </c>
      <c r="L123">
        <v>5.24</v>
      </c>
      <c r="M123">
        <v>8.91</v>
      </c>
    </row>
    <row r="124" spans="2:13" x14ac:dyDescent="0.2">
      <c r="B124" s="5" t="s">
        <v>9</v>
      </c>
      <c r="C124" s="6">
        <f>AVERAGE(Table121415194[48/1/2])</f>
        <v>4.6379999999999999</v>
      </c>
      <c r="D124" s="6">
        <f>SUBTOTAL(101,Table121415194[96/2/4])</f>
        <v>9.7809999999999988</v>
      </c>
      <c r="E124" s="6">
        <f>SUBTOTAL(101,Table121415194[192/4/8])</f>
        <v>32.777000000000001</v>
      </c>
      <c r="F124" s="6">
        <f>SUBTOTAL(101,Table121415194[384/8/16])</f>
        <v>97.667999999999978</v>
      </c>
      <c r="I124" s="5" t="s">
        <v>9</v>
      </c>
      <c r="J124" s="6">
        <f>AVERAGE(Table12141516205[48/1/2])</f>
        <v>1.069</v>
      </c>
      <c r="K124" s="6">
        <f>SUBTOTAL(101,Table12141516205[96/2/4])</f>
        <v>2.3039999999999998</v>
      </c>
      <c r="L124" s="6">
        <f>SUBTOTAL(101,Table12141516205[192/4/8])</f>
        <v>4.4960000000000004</v>
      </c>
      <c r="M124" s="6">
        <f>SUBTOTAL(101,Table12141516205[384/8/16])</f>
        <v>6.8609999999999989</v>
      </c>
    </row>
    <row r="125" spans="2:13" x14ac:dyDescent="0.2">
      <c r="B125" s="5" t="s">
        <v>10</v>
      </c>
      <c r="C125" s="7">
        <f>STDEV(C114:C123)</f>
        <v>0.6811885038502794</v>
      </c>
      <c r="D125" s="7">
        <f t="shared" ref="D125:F125" si="6">STDEV(D114:D123)</f>
        <v>0.45668978043695629</v>
      </c>
      <c r="E125" s="7">
        <f t="shared" si="6"/>
        <v>8.752698694942266</v>
      </c>
      <c r="F125" s="7">
        <f t="shared" si="6"/>
        <v>9.0459171883108542</v>
      </c>
      <c r="G125" s="7"/>
      <c r="H125" s="7"/>
      <c r="I125" s="5" t="s">
        <v>10</v>
      </c>
      <c r="J125" s="7">
        <f>STDEV(J114:J123)</f>
        <v>0.50018774253052001</v>
      </c>
      <c r="K125" s="7">
        <f t="shared" ref="K125:M125" si="7">STDEV(K114:K123)</f>
        <v>0.70455975221725853</v>
      </c>
      <c r="L125" s="7">
        <f t="shared" si="7"/>
        <v>1.196069488876887</v>
      </c>
      <c r="M125" s="7">
        <f t="shared" si="7"/>
        <v>1.3971514671724896</v>
      </c>
    </row>
    <row r="132" spans="1:13" x14ac:dyDescent="0.2">
      <c r="A132" s="3" t="s">
        <v>27</v>
      </c>
      <c r="B132" s="3"/>
      <c r="C132" s="2"/>
      <c r="D132" s="2"/>
    </row>
    <row r="139" spans="1:13" x14ac:dyDescent="0.2">
      <c r="C139" s="8" t="s">
        <v>23</v>
      </c>
      <c r="D139" s="8" t="s">
        <v>24</v>
      </c>
      <c r="E139" s="8" t="s">
        <v>25</v>
      </c>
      <c r="F139" s="8" t="s">
        <v>26</v>
      </c>
      <c r="J139" s="8" t="s">
        <v>23</v>
      </c>
      <c r="K139" s="8" t="s">
        <v>24</v>
      </c>
      <c r="L139" s="8" t="s">
        <v>25</v>
      </c>
      <c r="M139" s="8" t="s">
        <v>26</v>
      </c>
    </row>
    <row r="140" spans="1:13" x14ac:dyDescent="0.2">
      <c r="B140" s="10" t="s">
        <v>0</v>
      </c>
      <c r="C140">
        <v>3.68</v>
      </c>
      <c r="D140">
        <v>10.76</v>
      </c>
      <c r="E140">
        <v>35.81</v>
      </c>
      <c r="F140">
        <v>146.74</v>
      </c>
      <c r="I140" s="10" t="s">
        <v>1</v>
      </c>
      <c r="J140">
        <v>3.64</v>
      </c>
      <c r="K140">
        <v>11.59</v>
      </c>
      <c r="L140">
        <v>36.14</v>
      </c>
      <c r="M140">
        <v>141.32</v>
      </c>
    </row>
    <row r="141" spans="1:13" x14ac:dyDescent="0.2">
      <c r="B141" s="10"/>
      <c r="C141">
        <v>4.87</v>
      </c>
      <c r="D141">
        <v>11.22</v>
      </c>
      <c r="E141">
        <v>34.9</v>
      </c>
      <c r="F141">
        <v>145.38999999999999</v>
      </c>
      <c r="I141" s="10"/>
      <c r="J141">
        <v>3.62</v>
      </c>
      <c r="K141">
        <v>12.61</v>
      </c>
      <c r="L141">
        <v>40.61</v>
      </c>
      <c r="M141">
        <v>145.37</v>
      </c>
    </row>
    <row r="142" spans="1:13" x14ac:dyDescent="0.2">
      <c r="B142" s="10"/>
      <c r="C142">
        <v>3.83</v>
      </c>
      <c r="D142">
        <v>13.56</v>
      </c>
      <c r="E142">
        <v>36.96</v>
      </c>
      <c r="F142">
        <v>147.81</v>
      </c>
      <c r="I142" s="10"/>
      <c r="J142">
        <v>4.5199999999999996</v>
      </c>
      <c r="K142">
        <v>10.83</v>
      </c>
      <c r="L142">
        <v>42.85</v>
      </c>
      <c r="M142">
        <v>143.38</v>
      </c>
    </row>
    <row r="143" spans="1:13" x14ac:dyDescent="0.2">
      <c r="B143" s="10"/>
      <c r="C143">
        <v>3.67</v>
      </c>
      <c r="D143">
        <v>11.64</v>
      </c>
      <c r="E143">
        <v>35.130000000000003</v>
      </c>
      <c r="F143">
        <v>143.83000000000001</v>
      </c>
      <c r="I143" s="10"/>
      <c r="J143">
        <v>3.66</v>
      </c>
      <c r="K143">
        <v>11.26</v>
      </c>
      <c r="L143">
        <v>36.14</v>
      </c>
      <c r="M143">
        <v>144.83000000000001</v>
      </c>
    </row>
    <row r="144" spans="1:13" x14ac:dyDescent="0.2">
      <c r="B144" s="10"/>
      <c r="C144">
        <v>3.32</v>
      </c>
      <c r="D144">
        <v>10.06</v>
      </c>
      <c r="E144">
        <v>43.27</v>
      </c>
      <c r="F144">
        <v>139.6</v>
      </c>
      <c r="I144" s="10"/>
      <c r="J144">
        <v>3.96</v>
      </c>
      <c r="K144">
        <v>10.77</v>
      </c>
      <c r="L144">
        <v>37.18</v>
      </c>
      <c r="M144">
        <v>137.07</v>
      </c>
    </row>
    <row r="145" spans="1:13" x14ac:dyDescent="0.2">
      <c r="B145" s="10"/>
      <c r="C145">
        <v>4.01</v>
      </c>
      <c r="D145">
        <v>11.2</v>
      </c>
      <c r="E145">
        <v>37.1</v>
      </c>
      <c r="F145">
        <v>137.13</v>
      </c>
      <c r="I145" s="10"/>
      <c r="J145">
        <v>4.05</v>
      </c>
      <c r="K145">
        <v>11.17</v>
      </c>
      <c r="L145">
        <v>37.06</v>
      </c>
      <c r="M145">
        <v>150.61000000000001</v>
      </c>
    </row>
    <row r="146" spans="1:13" x14ac:dyDescent="0.2">
      <c r="B146" s="10"/>
      <c r="C146">
        <v>3.69</v>
      </c>
      <c r="D146">
        <v>10.18</v>
      </c>
      <c r="E146">
        <v>35.74</v>
      </c>
      <c r="F146">
        <v>139.44</v>
      </c>
      <c r="I146" s="10"/>
      <c r="J146">
        <v>3.52</v>
      </c>
      <c r="K146">
        <v>11.04</v>
      </c>
      <c r="L146">
        <v>36.36</v>
      </c>
      <c r="M146">
        <v>140.96</v>
      </c>
    </row>
    <row r="147" spans="1:13" x14ac:dyDescent="0.2">
      <c r="B147" s="10"/>
      <c r="C147">
        <v>3.23</v>
      </c>
      <c r="D147">
        <v>10.49</v>
      </c>
      <c r="E147">
        <v>36.32</v>
      </c>
      <c r="F147">
        <v>141.02000000000001</v>
      </c>
      <c r="I147" s="10"/>
      <c r="J147">
        <v>3.55</v>
      </c>
      <c r="K147">
        <v>11.06</v>
      </c>
      <c r="L147">
        <v>43.7</v>
      </c>
      <c r="M147">
        <v>152.49</v>
      </c>
    </row>
    <row r="148" spans="1:13" x14ac:dyDescent="0.2">
      <c r="B148" s="10"/>
      <c r="C148">
        <v>3.79</v>
      </c>
      <c r="D148">
        <v>11.19</v>
      </c>
      <c r="E148">
        <v>44.27</v>
      </c>
      <c r="F148">
        <v>147.19</v>
      </c>
      <c r="I148" s="10"/>
      <c r="J148">
        <v>3.92</v>
      </c>
      <c r="K148">
        <v>11.03</v>
      </c>
      <c r="L148">
        <v>36.72</v>
      </c>
      <c r="M148">
        <v>143.66</v>
      </c>
    </row>
    <row r="149" spans="1:13" x14ac:dyDescent="0.2">
      <c r="B149" s="10"/>
      <c r="C149">
        <v>3.4</v>
      </c>
      <c r="D149">
        <v>10.3</v>
      </c>
      <c r="E149">
        <v>42.79</v>
      </c>
      <c r="F149">
        <v>139.52000000000001</v>
      </c>
      <c r="I149" s="10"/>
      <c r="J149">
        <v>4.0599999999999996</v>
      </c>
      <c r="K149">
        <v>12.23</v>
      </c>
      <c r="L149">
        <v>46.54</v>
      </c>
      <c r="M149">
        <v>152.9</v>
      </c>
    </row>
    <row r="150" spans="1:13" x14ac:dyDescent="0.2">
      <c r="B150" s="5" t="s">
        <v>9</v>
      </c>
      <c r="C150" s="6">
        <f>AVERAGE(Table1214151942[48/1/2])</f>
        <v>3.7490000000000001</v>
      </c>
      <c r="D150" s="6">
        <f>SUBTOTAL(101,Table1214151942[96/2/4])</f>
        <v>11.059999999999999</v>
      </c>
      <c r="E150" s="6">
        <f>SUBTOTAL(101,Table1214151942[192/4/8])</f>
        <v>38.228999999999999</v>
      </c>
      <c r="F150" s="6">
        <f>SUBTOTAL(101,Table1214151942[384/8/16])</f>
        <v>142.767</v>
      </c>
      <c r="I150" s="5" t="s">
        <v>9</v>
      </c>
      <c r="J150" s="6">
        <f>AVERAGE(Table121415162053[48/1/2])</f>
        <v>3.85</v>
      </c>
      <c r="K150" s="6">
        <f>SUBTOTAL(101,Table121415162053[96/2/4])</f>
        <v>11.359000000000002</v>
      </c>
      <c r="L150" s="6">
        <f>SUBTOTAL(101,Table121415162053[192/4/8])</f>
        <v>39.33</v>
      </c>
      <c r="M150" s="6">
        <f>SUBTOTAL(101,Table121415162053[384/8/16])</f>
        <v>145.25900000000004</v>
      </c>
    </row>
    <row r="151" spans="1:13" x14ac:dyDescent="0.2">
      <c r="B151" s="5" t="s">
        <v>10</v>
      </c>
      <c r="C151" s="7">
        <f>STDEV(C140:C149)</f>
        <v>0.4622036588152717</v>
      </c>
      <c r="D151" s="7">
        <f t="shared" ref="D151:F151" si="8">STDEV(D140:D149)</f>
        <v>1.0228174595476729</v>
      </c>
      <c r="E151" s="7">
        <f t="shared" si="8"/>
        <v>3.6813356573697846</v>
      </c>
      <c r="F151" s="7">
        <f t="shared" si="8"/>
        <v>3.876699770566598</v>
      </c>
      <c r="G151" s="7"/>
      <c r="H151" s="7"/>
      <c r="I151" s="5" t="s">
        <v>10</v>
      </c>
      <c r="J151" s="7">
        <f>STDEV(J140:J149)</f>
        <v>0.31304951684997046</v>
      </c>
      <c r="K151" s="7">
        <f t="shared" ref="K151:M151" si="9">STDEV(K140:K149)</f>
        <v>0.60998087401710122</v>
      </c>
      <c r="L151" s="7">
        <f t="shared" si="9"/>
        <v>3.8132867130017325</v>
      </c>
      <c r="M151" s="7">
        <f t="shared" si="9"/>
        <v>5.2349900774606217</v>
      </c>
    </row>
    <row r="158" spans="1:13" x14ac:dyDescent="0.2">
      <c r="A158" s="3" t="s">
        <v>28</v>
      </c>
      <c r="B158" s="3"/>
      <c r="C158" s="2"/>
      <c r="D158" s="2"/>
    </row>
    <row r="165" spans="2:13" x14ac:dyDescent="0.2">
      <c r="C165" s="8" t="s">
        <v>23</v>
      </c>
      <c r="D165" s="8" t="s">
        <v>24</v>
      </c>
      <c r="E165" s="8" t="s">
        <v>25</v>
      </c>
      <c r="F165" s="8" t="s">
        <v>26</v>
      </c>
      <c r="J165" s="8" t="s">
        <v>23</v>
      </c>
      <c r="K165" s="8" t="s">
        <v>24</v>
      </c>
      <c r="L165" s="8" t="s">
        <v>25</v>
      </c>
      <c r="M165" s="8" t="s">
        <v>26</v>
      </c>
    </row>
    <row r="166" spans="2:13" x14ac:dyDescent="0.2">
      <c r="B166" s="10" t="s">
        <v>0</v>
      </c>
      <c r="C166">
        <v>4.8</v>
      </c>
      <c r="D166">
        <v>9.5500000000000007</v>
      </c>
      <c r="E166">
        <v>50.17</v>
      </c>
      <c r="F166">
        <v>93.39</v>
      </c>
      <c r="I166" s="10" t="s">
        <v>1</v>
      </c>
      <c r="J166">
        <v>4.26</v>
      </c>
      <c r="K166">
        <v>9.99</v>
      </c>
      <c r="L166">
        <v>34.31</v>
      </c>
      <c r="M166">
        <v>89.56</v>
      </c>
    </row>
    <row r="167" spans="2:13" x14ac:dyDescent="0.2">
      <c r="B167" s="10"/>
      <c r="C167">
        <v>5.81</v>
      </c>
      <c r="D167">
        <v>10.16</v>
      </c>
      <c r="E167">
        <v>27.43</v>
      </c>
      <c r="F167">
        <v>88.43</v>
      </c>
      <c r="I167" s="10"/>
      <c r="J167">
        <v>5.65</v>
      </c>
      <c r="K167">
        <v>13.01</v>
      </c>
      <c r="L167">
        <v>33.78</v>
      </c>
      <c r="M167">
        <v>93.68</v>
      </c>
    </row>
    <row r="168" spans="2:13" x14ac:dyDescent="0.2">
      <c r="B168" s="10"/>
      <c r="C168">
        <v>3.61</v>
      </c>
      <c r="D168">
        <v>9.34</v>
      </c>
      <c r="E168">
        <v>27.71</v>
      </c>
      <c r="F168">
        <v>87.41</v>
      </c>
      <c r="I168" s="10"/>
      <c r="J168">
        <v>4.34</v>
      </c>
      <c r="K168">
        <v>10.1</v>
      </c>
      <c r="L168">
        <v>46.18</v>
      </c>
      <c r="M168">
        <v>101.8</v>
      </c>
    </row>
    <row r="169" spans="2:13" x14ac:dyDescent="0.2">
      <c r="B169" s="10"/>
      <c r="C169">
        <v>3.84</v>
      </c>
      <c r="D169">
        <v>9.6</v>
      </c>
      <c r="E169">
        <v>26.55</v>
      </c>
      <c r="F169">
        <v>91.08</v>
      </c>
      <c r="I169" s="10"/>
      <c r="J169">
        <v>3.92</v>
      </c>
      <c r="K169">
        <v>10.11</v>
      </c>
      <c r="L169">
        <v>28.35</v>
      </c>
      <c r="M169">
        <v>83.35</v>
      </c>
    </row>
    <row r="170" spans="2:13" x14ac:dyDescent="0.2">
      <c r="B170" s="10"/>
      <c r="C170">
        <v>4.92</v>
      </c>
      <c r="D170">
        <v>10.199999999999999</v>
      </c>
      <c r="E170">
        <v>28.57</v>
      </c>
      <c r="F170">
        <v>114.01</v>
      </c>
      <c r="I170" s="10"/>
      <c r="J170">
        <v>3.86</v>
      </c>
      <c r="K170">
        <v>10.39</v>
      </c>
      <c r="L170">
        <v>29.76</v>
      </c>
      <c r="M170">
        <v>89.19</v>
      </c>
    </row>
    <row r="171" spans="2:13" x14ac:dyDescent="0.2">
      <c r="B171" s="10"/>
      <c r="C171">
        <v>4.13</v>
      </c>
      <c r="D171">
        <v>9.61</v>
      </c>
      <c r="E171">
        <v>46.28</v>
      </c>
      <c r="F171">
        <v>94.72</v>
      </c>
      <c r="I171" s="10"/>
      <c r="J171">
        <v>4.26</v>
      </c>
      <c r="K171">
        <v>10.58</v>
      </c>
      <c r="L171">
        <v>30.37</v>
      </c>
      <c r="M171">
        <v>94.73</v>
      </c>
    </row>
    <row r="172" spans="2:13" x14ac:dyDescent="0.2">
      <c r="B172" s="10"/>
      <c r="C172">
        <v>4.83</v>
      </c>
      <c r="D172">
        <v>9.6</v>
      </c>
      <c r="E172">
        <v>26.56</v>
      </c>
      <c r="F172">
        <v>107.57</v>
      </c>
      <c r="I172" s="10"/>
      <c r="J172">
        <v>5.05</v>
      </c>
      <c r="K172">
        <v>9.6</v>
      </c>
      <c r="L172">
        <v>31.8</v>
      </c>
      <c r="M172">
        <v>98.57</v>
      </c>
    </row>
    <row r="173" spans="2:13" x14ac:dyDescent="0.2">
      <c r="B173" s="10"/>
      <c r="C173">
        <v>5.37</v>
      </c>
      <c r="D173">
        <v>9.6300000000000008</v>
      </c>
      <c r="E173">
        <v>28.26</v>
      </c>
      <c r="F173">
        <v>102.38</v>
      </c>
      <c r="I173" s="10"/>
      <c r="J173">
        <v>4.6500000000000004</v>
      </c>
      <c r="K173">
        <v>11.77</v>
      </c>
      <c r="L173">
        <v>32.99</v>
      </c>
      <c r="M173">
        <v>110.94</v>
      </c>
    </row>
    <row r="174" spans="2:13" x14ac:dyDescent="0.2">
      <c r="B174" s="10"/>
      <c r="C174">
        <v>4.8099999999999996</v>
      </c>
      <c r="D174">
        <v>9.34</v>
      </c>
      <c r="E174">
        <v>37.28</v>
      </c>
      <c r="F174">
        <v>105.38</v>
      </c>
      <c r="I174" s="10"/>
      <c r="J174">
        <v>10.44</v>
      </c>
      <c r="K174">
        <v>9.89</v>
      </c>
      <c r="L174">
        <v>32.75</v>
      </c>
      <c r="M174">
        <v>110.9</v>
      </c>
    </row>
    <row r="175" spans="2:13" x14ac:dyDescent="0.2">
      <c r="B175" s="10"/>
      <c r="C175">
        <v>4.26</v>
      </c>
      <c r="D175">
        <v>10.78</v>
      </c>
      <c r="E175">
        <v>28.96</v>
      </c>
      <c r="F175">
        <v>92.31</v>
      </c>
      <c r="I175" s="10"/>
      <c r="J175">
        <v>4.8499999999999996</v>
      </c>
      <c r="K175">
        <v>10.050000000000001</v>
      </c>
      <c r="L175">
        <v>33.99</v>
      </c>
      <c r="M175">
        <v>122.27</v>
      </c>
    </row>
    <row r="176" spans="2:13" x14ac:dyDescent="0.2">
      <c r="B176" s="5" t="s">
        <v>9</v>
      </c>
      <c r="C176" s="6">
        <f>AVERAGE(Table1214151946[48/1/2])</f>
        <v>4.6379999999999999</v>
      </c>
      <c r="D176" s="6">
        <f>SUBTOTAL(101,Table1214151946[96/2/4])</f>
        <v>9.7809999999999988</v>
      </c>
      <c r="E176" s="6">
        <f>SUBTOTAL(101,Table1214151946[192/4/8])</f>
        <v>32.777000000000001</v>
      </c>
      <c r="F176" s="6">
        <f>SUBTOTAL(101,Table1214151946[384/8/16])</f>
        <v>97.667999999999978</v>
      </c>
      <c r="I176" s="5" t="s">
        <v>9</v>
      </c>
      <c r="J176" s="6">
        <f>AVERAGE(Table121415162057[48/1/2])</f>
        <v>5.1280000000000001</v>
      </c>
      <c r="K176" s="6">
        <f>SUBTOTAL(101,Table121415162057[96/2/4])</f>
        <v>10.548999999999999</v>
      </c>
      <c r="L176" s="6">
        <f>SUBTOTAL(101,Table121415162057[192/4/8])</f>
        <v>33.428000000000004</v>
      </c>
      <c r="M176" s="6">
        <f>SUBTOTAL(101,Table121415162057[384/8/16])</f>
        <v>99.498999999999995</v>
      </c>
    </row>
    <row r="177" spans="2:13" x14ac:dyDescent="0.2">
      <c r="B177" s="5" t="s">
        <v>10</v>
      </c>
      <c r="C177" s="7">
        <f>STDEV(C166:C175)</f>
        <v>0.6811885038502794</v>
      </c>
      <c r="D177" s="7">
        <f t="shared" ref="D177:F177" si="10">STDEV(D166:D175)</f>
        <v>0.45668978043695629</v>
      </c>
      <c r="E177" s="7">
        <f t="shared" si="10"/>
        <v>8.752698694942266</v>
      </c>
      <c r="F177" s="7">
        <f t="shared" si="10"/>
        <v>9.0459171883108542</v>
      </c>
      <c r="G177" s="7"/>
      <c r="H177" s="7"/>
      <c r="I177" s="5" t="s">
        <v>10</v>
      </c>
      <c r="J177" s="7">
        <f>STDEV(J166:J175)</f>
        <v>1.9435523032724265</v>
      </c>
      <c r="K177" s="7">
        <f t="shared" ref="K177:M177" si="11">STDEV(K166:K175)</f>
        <v>1.0469155754989139</v>
      </c>
      <c r="L177" s="7">
        <f t="shared" si="11"/>
        <v>4.895857205615548</v>
      </c>
      <c r="M177" s="7">
        <f t="shared" si="11"/>
        <v>12.055468514790807</v>
      </c>
    </row>
  </sheetData>
  <mergeCells count="14">
    <mergeCell ref="B166:B175"/>
    <mergeCell ref="I166:I175"/>
    <mergeCell ref="B140:B149"/>
    <mergeCell ref="I140:I149"/>
    <mergeCell ref="K9:K18"/>
    <mergeCell ref="B36:B45"/>
    <mergeCell ref="K36:K45"/>
    <mergeCell ref="B62:B71"/>
    <mergeCell ref="K62:K71"/>
    <mergeCell ref="B114:B123"/>
    <mergeCell ref="I114:I123"/>
    <mergeCell ref="B88:B97"/>
    <mergeCell ref="I88:I97"/>
    <mergeCell ref="B9:B18"/>
  </mergeCells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Koubbe</dc:creator>
  <cp:lastModifiedBy>George Koubbe</cp:lastModifiedBy>
  <dcterms:created xsi:type="dcterms:W3CDTF">2020-01-27T23:21:19Z</dcterms:created>
  <dcterms:modified xsi:type="dcterms:W3CDTF">2020-04-20T03:43:01Z</dcterms:modified>
</cp:coreProperties>
</file>