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30" activeTab="2"/>
  </bookViews>
  <sheets>
    <sheet name="Geometry" sheetId="1" r:id="rId1"/>
    <sheet name="Graph" sheetId="4" r:id="rId2"/>
    <sheet name="Hydraulic CRDM-Laminar" sheetId="3" r:id="rId3"/>
  </sheets>
  <calcPr calcId="144525"/>
</workbook>
</file>

<file path=xl/sharedStrings.xml><?xml version="1.0" encoding="utf-8"?>
<sst xmlns="http://schemas.openxmlformats.org/spreadsheetml/2006/main" count="92" uniqueCount="88">
  <si>
    <r>
      <rPr>
        <sz val="11"/>
        <color theme="1"/>
        <rFont val="Calibri"/>
        <charset val="134"/>
        <scheme val="minor"/>
      </rPr>
      <t>General</t>
    </r>
  </si>
  <si>
    <t>Power (W-th)</t>
  </si>
  <si>
    <r>
      <rPr>
        <sz val="11"/>
        <color theme="1"/>
        <rFont val="Calibri"/>
        <charset val="134"/>
        <scheme val="minor"/>
      </rPr>
      <t>No of Fuel Assemblies per Core</t>
    </r>
  </si>
  <si>
    <r>
      <rPr>
        <sz val="11"/>
        <color theme="1"/>
        <rFont val="Calibri"/>
        <charset val="134"/>
        <scheme val="minor"/>
      </rPr>
      <t>Assembly Lateral Spcing (mm)-W</t>
    </r>
  </si>
  <si>
    <t>Configuration of FA</t>
  </si>
  <si>
    <t>Hexagonal</t>
  </si>
  <si>
    <t>Fuel rods per FA</t>
  </si>
  <si>
    <t>Power per rod (KW)</t>
  </si>
  <si>
    <r>
      <rPr>
        <sz val="11"/>
        <color theme="1"/>
        <rFont val="Calibri"/>
        <charset val="134"/>
        <scheme val="minor"/>
      </rPr>
      <t>Length of the fuelrod (m)</t>
    </r>
  </si>
  <si>
    <t>Fuel rod (OD) (m)</t>
  </si>
  <si>
    <t>Side of triangle (mm)</t>
  </si>
  <si>
    <t>Hexagonal Cross Section(m^2)</t>
  </si>
  <si>
    <t>Flow Area per Hexagon(m^2)</t>
  </si>
  <si>
    <r>
      <rPr>
        <sz val="11"/>
        <color theme="1"/>
        <rFont val="Calibri"/>
        <charset val="134"/>
        <scheme val="minor"/>
      </rPr>
      <t>Coolant Flow area in Core(m^2)</t>
    </r>
  </si>
  <si>
    <t>Volumetric Flow of Coolant in core(m^3)</t>
  </si>
  <si>
    <t>Average Velocity of coolant in core (m/s)</t>
  </si>
  <si>
    <t>Average Linear Heat rate(W/m)</t>
  </si>
  <si>
    <t>Checks out</t>
  </si>
  <si>
    <t>Fuel Pellet Diameter(m)</t>
  </si>
  <si>
    <t>di(m)</t>
  </si>
  <si>
    <t>do(m)</t>
  </si>
  <si>
    <t>Clad Thickness (m)</t>
  </si>
  <si>
    <r>
      <rPr>
        <sz val="11"/>
        <color theme="1"/>
        <rFont val="Calibri"/>
        <charset val="134"/>
        <scheme val="minor"/>
      </rPr>
      <t>Thermo-hydraulic Assessment</t>
    </r>
  </si>
  <si>
    <r>
      <rPr>
        <sz val="11"/>
        <color theme="1"/>
        <rFont val="Calibri"/>
        <charset val="134"/>
        <scheme val="minor"/>
      </rPr>
      <t>Inlet Temperature (Deg C)</t>
    </r>
  </si>
  <si>
    <t>density at inlet temp</t>
  </si>
  <si>
    <t>Exit Temperature (Deg C)</t>
  </si>
  <si>
    <t>density at outlet temp</t>
  </si>
  <si>
    <t>Mass flow rate of coolant in core (kg/s)</t>
  </si>
  <si>
    <r>
      <rPr>
        <sz val="11"/>
        <color theme="1"/>
        <rFont val="Calibri"/>
        <charset val="134"/>
        <scheme val="minor"/>
      </rPr>
      <t>Pressure (bar)</t>
    </r>
  </si>
  <si>
    <t>Cp(KJ/Kg)</t>
  </si>
  <si>
    <t xml:space="preserve">Power of SMR </t>
  </si>
  <si>
    <t>Flow area per FA(m^2)</t>
  </si>
  <si>
    <t>Viscosity(Pa-s)</t>
  </si>
  <si>
    <r>
      <rPr>
        <sz val="11"/>
        <color theme="1"/>
        <rFont val="Calibri"/>
        <charset val="134"/>
        <scheme val="minor"/>
      </rPr>
      <t>Total wetted Perimeter (m)</t>
    </r>
  </si>
  <si>
    <t>Hydraulic Diameter (m)</t>
  </si>
  <si>
    <r>
      <rPr>
        <sz val="11"/>
        <color theme="1"/>
        <rFont val="Calibri"/>
        <charset val="134"/>
        <scheme val="minor"/>
      </rPr>
      <t>Mean Velocity (m/s)</t>
    </r>
  </si>
  <si>
    <r>
      <rPr>
        <sz val="11"/>
        <color theme="1"/>
        <rFont val="Calibri"/>
        <charset val="134"/>
        <scheme val="minor"/>
      </rPr>
      <t>Re</t>
    </r>
  </si>
  <si>
    <t>Pr</t>
  </si>
  <si>
    <r>
      <rPr>
        <sz val="11"/>
        <color theme="1"/>
        <rFont val="Calibri"/>
        <charset val="134"/>
        <scheme val="minor"/>
      </rPr>
      <t>Nu</t>
    </r>
  </si>
  <si>
    <r>
      <rPr>
        <sz val="11"/>
        <color theme="1"/>
        <rFont val="Calibri"/>
        <charset val="134"/>
        <scheme val="minor"/>
      </rPr>
      <t>k(W/m-K)</t>
    </r>
  </si>
  <si>
    <r>
      <rPr>
        <sz val="11"/>
        <color theme="1"/>
        <rFont val="Calibri"/>
        <charset val="134"/>
        <scheme val="minor"/>
      </rPr>
      <t>Rod outer diameter (m)</t>
    </r>
  </si>
  <si>
    <t xml:space="preserve">h(W/m^2-K) </t>
  </si>
  <si>
    <r>
      <rPr>
        <sz val="11"/>
        <color theme="1"/>
        <rFont val="Calibri"/>
        <charset val="134"/>
        <scheme val="minor"/>
      </rPr>
      <t>Radial peaking factor</t>
    </r>
  </si>
  <si>
    <t>q'_av (W/m)</t>
  </si>
  <si>
    <t>q'_av _Central_Channel(W/m)</t>
  </si>
  <si>
    <r>
      <rPr>
        <sz val="11"/>
        <color theme="1"/>
        <rFont val="Calibri"/>
        <charset val="134"/>
        <scheme val="minor"/>
      </rPr>
      <t>Axial Peaking Factor</t>
    </r>
  </si>
  <si>
    <t>q'_max _Central_Channel(W/m)</t>
  </si>
  <si>
    <t xml:space="preserve">Radius of Pellet (m) </t>
  </si>
  <si>
    <r>
      <rPr>
        <sz val="11"/>
        <color theme="1"/>
        <rFont val="Calibri"/>
        <charset val="134"/>
        <scheme val="minor"/>
      </rPr>
      <t>Fuel OD (m)</t>
    </r>
  </si>
  <si>
    <r>
      <rPr>
        <sz val="11"/>
        <color theme="1"/>
        <rFont val="Calibri"/>
        <charset val="134"/>
        <scheme val="minor"/>
      </rPr>
      <t>TB_in [C]</t>
    </r>
  </si>
  <si>
    <r>
      <rPr>
        <sz val="11"/>
        <color theme="1"/>
        <rFont val="Calibri"/>
        <charset val="134"/>
        <scheme val="minor"/>
      </rPr>
      <t>Emdot /Rod(kg/s)</t>
    </r>
  </si>
  <si>
    <r>
      <rPr>
        <sz val="11"/>
        <color theme="1"/>
        <rFont val="Calibri"/>
        <charset val="134"/>
        <scheme val="minor"/>
      </rPr>
      <t>Orificed Emdot (kg/s)</t>
    </r>
  </si>
  <si>
    <r>
      <rPr>
        <sz val="11"/>
        <color theme="1"/>
        <rFont val="Calibri"/>
        <charset val="134"/>
        <scheme val="minor"/>
      </rPr>
      <t>Cp(kJ/kg-K)</t>
    </r>
  </si>
  <si>
    <r>
      <rPr>
        <sz val="11"/>
        <color theme="1"/>
        <rFont val="Calibri"/>
        <charset val="134"/>
        <scheme val="minor"/>
      </rPr>
      <t>Length of Rod (m)</t>
    </r>
  </si>
  <si>
    <t>h (W/m^2-K)</t>
  </si>
  <si>
    <r>
      <rPr>
        <sz val="11"/>
        <color theme="1"/>
        <rFont val="Calibri"/>
        <charset val="134"/>
        <scheme val="minor"/>
      </rPr>
      <t>k_Clad (W/m-K)</t>
    </r>
  </si>
  <si>
    <r>
      <rPr>
        <sz val="11"/>
        <color theme="1"/>
        <rFont val="Calibri"/>
        <charset val="134"/>
        <scheme val="minor"/>
      </rPr>
      <t>Clad-ID (m)</t>
    </r>
  </si>
  <si>
    <t>Z/H[m]</t>
  </si>
  <si>
    <r>
      <rPr>
        <sz val="11"/>
        <color theme="1"/>
        <rFont val="Calibri"/>
        <charset val="134"/>
        <scheme val="minor"/>
      </rPr>
      <t>q'(W/m)</t>
    </r>
  </si>
  <si>
    <r>
      <rPr>
        <sz val="11"/>
        <color theme="1"/>
        <rFont val="Calibri"/>
        <charset val="134"/>
        <scheme val="minor"/>
      </rPr>
      <t>TB[C]</t>
    </r>
  </si>
  <si>
    <t>q''(W/m^2)</t>
  </si>
  <si>
    <t>TCO[C]</t>
  </si>
  <si>
    <t>TCI[C]</t>
  </si>
  <si>
    <t>q'''(W/m^3)</t>
  </si>
  <si>
    <t>T-OP[C]</t>
  </si>
  <si>
    <t>TO[C]</t>
  </si>
  <si>
    <t>Int kdT-TOP</t>
  </si>
  <si>
    <t>Int kdT-TO</t>
  </si>
  <si>
    <t>q'/(4*pi)</t>
  </si>
  <si>
    <t>Diff</t>
  </si>
  <si>
    <t>Error</t>
  </si>
  <si>
    <t>Tf(0) [C]</t>
  </si>
  <si>
    <t>Density of CR(Kg/m^3)</t>
  </si>
  <si>
    <t>Inlet Temp Working Fluid ie Water(C)</t>
  </si>
  <si>
    <t>Outlet Temp of Working Fluid(C)</t>
  </si>
  <si>
    <t>Pressure(Bar)</t>
  </si>
  <si>
    <t>Density of Working Fluid(Kg/m^3)</t>
  </si>
  <si>
    <t>Acc. due to Gravity,g (m/s^2)</t>
  </si>
  <si>
    <t>Dynamic Viscosity(Pa-s)</t>
  </si>
  <si>
    <t>ID guide tube(m)</t>
  </si>
  <si>
    <t>Height of CR(m)</t>
  </si>
  <si>
    <t>CR outer diameter with SS clad(m)</t>
  </si>
  <si>
    <t>mass of CR(Kg)</t>
  </si>
  <si>
    <t>Length of CR emersed in Guide Tube(m)</t>
  </si>
  <si>
    <t>Ar(m^2)</t>
  </si>
  <si>
    <t>Aa(m^2)</t>
  </si>
  <si>
    <t>Ar/Aa</t>
  </si>
  <si>
    <t>mass of CR(Kg)*acc due to gravity(Newton)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</si>
</sst>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_ "/>
    <numFmt numFmtId="181" formatCode="0.00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80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4" borderId="0" xfId="0" applyFont="1" applyFill="1">
      <alignment vertical="center"/>
    </xf>
    <xf numFmtId="181" fontId="0" fillId="0" borderId="0" xfId="0" applyNumberFormat="1">
      <alignment vertical="center"/>
    </xf>
    <xf numFmtId="0" fontId="0" fillId="4" borderId="0" xfId="0" applyFill="1">
      <alignment vertical="center"/>
    </xf>
    <xf numFmtId="11" fontId="0" fillId="0" borderId="0" xfId="0" applyNumberFormat="1">
      <alignment vertical="center"/>
    </xf>
    <xf numFmtId="0" fontId="2" fillId="2" borderId="0" xfId="0" applyFon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TB[C]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Graph!$A$2:$A$12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Graph!$B$2:$B$12</c:f>
              <c:numCache>
                <c:formatCode>General</c:formatCode>
                <c:ptCount val="11"/>
                <c:pt idx="0">
                  <c:v>291</c:v>
                </c:pt>
                <c:pt idx="1">
                  <c:v>291.735664586647</c:v>
                </c:pt>
                <c:pt idx="2">
                  <c:v>293.870646371172</c:v>
                </c:pt>
                <c:pt idx="3">
                  <c:v>297.195958461211</c:v>
                </c:pt>
                <c:pt idx="4">
                  <c:v>301.386096140581</c:v>
                </c:pt>
                <c:pt idx="5">
                  <c:v>306.030899538819</c:v>
                </c:pt>
                <c:pt idx="6">
                  <c:v>310.675702937056</c:v>
                </c:pt>
                <c:pt idx="7">
                  <c:v>314.865840616426</c:v>
                </c:pt>
                <c:pt idx="8">
                  <c:v>318.191152706465</c:v>
                </c:pt>
                <c:pt idx="9">
                  <c:v>320.32613449099</c:v>
                </c:pt>
                <c:pt idx="10">
                  <c:v>321.061799077637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TCO[C]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Graph!$A$2:$A$12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Graph!$C$2:$C$12</c:f>
              <c:numCache>
                <c:formatCode>General</c:formatCode>
                <c:ptCount val="11"/>
                <c:pt idx="0">
                  <c:v>291</c:v>
                </c:pt>
                <c:pt idx="1">
                  <c:v>303.235964999667</c:v>
                </c:pt>
                <c:pt idx="2">
                  <c:v>315.74551766548</c:v>
                </c:pt>
                <c:pt idx="3">
                  <c:v>327.304135823331</c:v>
                </c:pt>
                <c:pt idx="4">
                  <c:v>336.780381394302</c:v>
                </c:pt>
                <c:pt idx="5">
                  <c:v>343.246653437019</c:v>
                </c:pt>
                <c:pt idx="6">
                  <c:v>346.069988190776</c:v>
                </c:pt>
                <c:pt idx="7">
                  <c:v>344.974017978546</c:v>
                </c:pt>
                <c:pt idx="8">
                  <c:v>340.066024000774</c:v>
                </c:pt>
                <c:pt idx="9">
                  <c:v>331.826434904009</c:v>
                </c:pt>
                <c:pt idx="10">
                  <c:v>321.061799077637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Tf(0) [C]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Graph!$A$2:$A$12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Graph!$D$2:$D$12</c:f>
              <c:numCache>
                <c:formatCode>General</c:formatCode>
                <c:ptCount val="11"/>
                <c:pt idx="0">
                  <c:v>291</c:v>
                </c:pt>
                <c:pt idx="1">
                  <c:v>642.391780175656</c:v>
                </c:pt>
                <c:pt idx="2">
                  <c:v>1065.81383300088</c:v>
                </c:pt>
                <c:pt idx="3">
                  <c:v>1472.86754669419</c:v>
                </c:pt>
                <c:pt idx="4">
                  <c:v>1755.02359296494</c:v>
                </c:pt>
                <c:pt idx="5">
                  <c:v>1857.22078724455</c:v>
                </c:pt>
                <c:pt idx="6">
                  <c:v>1769.68591270718</c:v>
                </c:pt>
                <c:pt idx="7">
                  <c:v>1501.20951100706</c:v>
                </c:pt>
                <c:pt idx="8">
                  <c:v>1102.29857674536</c:v>
                </c:pt>
                <c:pt idx="9">
                  <c:v>678.668757340502</c:v>
                </c:pt>
                <c:pt idx="10">
                  <c:v>321.256124811921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214476"/>
        <c:axId val="97415707"/>
      </c:scatterChart>
      <c:valAx>
        <c:axId val="9302144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IN" altLang="en-US" sz="1600"/>
                  <a:t>Z/H</a:t>
                </a:r>
                <a:endParaRPr lang="en-IN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7415707"/>
        <c:crosses val="autoZero"/>
        <c:crossBetween val="midCat"/>
      </c:valAx>
      <c:valAx>
        <c:axId val="974157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IN" altLang="en-US" sz="1600"/>
                  <a:t>Temperature[C]</a:t>
                </a:r>
                <a:endParaRPr lang="en-IN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302144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600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431800</xdr:colOff>
      <xdr:row>0</xdr:row>
      <xdr:rowOff>16510</xdr:rowOff>
    </xdr:from>
    <xdr:to>
      <xdr:col>15</xdr:col>
      <xdr:colOff>383540</xdr:colOff>
      <xdr:row>21</xdr:row>
      <xdr:rowOff>44450</xdr:rowOff>
    </xdr:to>
    <xdr:graphicFrame>
      <xdr:nvGraphicFramePr>
        <xdr:cNvPr id="2" name="Chart 1"/>
        <xdr:cNvGraphicFramePr/>
      </xdr:nvGraphicFramePr>
      <xdr:xfrm>
        <a:off x="3708400" y="16510"/>
        <a:ext cx="6657340" cy="402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9"/>
  <sheetViews>
    <sheetView zoomScale="85" zoomScaleNormal="85" topLeftCell="D55" workbookViewId="0">
      <selection activeCell="D15" sqref="D15"/>
    </sheetView>
  </sheetViews>
  <sheetFormatPr defaultColWidth="9.14285714285714" defaultRowHeight="15"/>
  <cols>
    <col min="1" max="1" width="40.8571428571429" customWidth="1"/>
    <col min="2" max="2" width="15.1428571428571"/>
    <col min="3" max="3" width="10.1428571428571" customWidth="1"/>
    <col min="4" max="4" width="23" customWidth="1"/>
    <col min="5" max="8" width="12.8571428571429"/>
    <col min="9" max="9" width="14"/>
    <col min="10" max="10" width="15.4285714285714" customWidth="1"/>
    <col min="11" max="14" width="14"/>
  </cols>
  <sheetData>
    <row r="1" spans="1:4">
      <c r="A1" s="8" t="s">
        <v>0</v>
      </c>
      <c r="C1" s="9"/>
      <c r="D1" s="9"/>
    </row>
    <row r="2" spans="1:2">
      <c r="A2" t="s">
        <v>1</v>
      </c>
      <c r="B2">
        <f>705*10^6</f>
        <v>705000000</v>
      </c>
    </row>
    <row r="3" spans="1:2">
      <c r="A3" t="s">
        <v>2</v>
      </c>
      <c r="B3">
        <v>55</v>
      </c>
    </row>
    <row r="4" spans="1:2">
      <c r="A4" t="s">
        <v>3</v>
      </c>
      <c r="B4">
        <v>234</v>
      </c>
    </row>
    <row r="5" spans="1:2">
      <c r="A5" t="s">
        <v>4</v>
      </c>
      <c r="B5" t="s">
        <v>5</v>
      </c>
    </row>
    <row r="6" spans="1:2">
      <c r="A6" t="s">
        <v>6</v>
      </c>
      <c r="B6">
        <v>312</v>
      </c>
    </row>
    <row r="7" spans="1:2">
      <c r="A7" t="s">
        <v>7</v>
      </c>
      <c r="B7">
        <f>B2/B3/B6/1000</f>
        <v>41.0839160839161</v>
      </c>
    </row>
    <row r="8" spans="1:2">
      <c r="A8" t="s">
        <v>8</v>
      </c>
      <c r="B8">
        <v>3.7</v>
      </c>
    </row>
    <row r="9" spans="1:2">
      <c r="A9" t="s">
        <v>9</v>
      </c>
      <c r="B9">
        <v>0.0091</v>
      </c>
    </row>
    <row r="10" spans="1:2">
      <c r="A10" t="s">
        <v>10</v>
      </c>
      <c r="B10">
        <v>135.1039</v>
      </c>
    </row>
    <row r="11" spans="1:2">
      <c r="A11" t="s">
        <v>11</v>
      </c>
      <c r="B11">
        <f>47422.85083*10^(-6)</f>
        <v>0.04742285083</v>
      </c>
    </row>
    <row r="12" spans="1:2">
      <c r="A12" t="s">
        <v>12</v>
      </c>
      <c r="B12">
        <f>27130.7383944*10^(-6)</f>
        <v>0.0271307383944</v>
      </c>
    </row>
    <row r="13" spans="1:2">
      <c r="A13" t="s">
        <v>13</v>
      </c>
      <c r="B13">
        <f>B12*B3</f>
        <v>1.492190611692</v>
      </c>
    </row>
    <row r="14" spans="1:2">
      <c r="A14" t="s">
        <v>14</v>
      </c>
      <c r="B14">
        <f>20210/3600</f>
        <v>5.61388888888889</v>
      </c>
    </row>
    <row r="15" spans="1:2">
      <c r="A15" t="s">
        <v>15</v>
      </c>
      <c r="B15">
        <f>B14/B13</f>
        <v>3.76217947285118</v>
      </c>
    </row>
    <row r="17" spans="1:3">
      <c r="A17" t="s">
        <v>16</v>
      </c>
      <c r="B17">
        <f>B2/B8/B3/B6</f>
        <v>11103.7611037611</v>
      </c>
      <c r="C17" s="10" t="s">
        <v>17</v>
      </c>
    </row>
    <row r="18" spans="1:2">
      <c r="A18" t="s">
        <v>18</v>
      </c>
      <c r="B18">
        <f>7.6/1000</f>
        <v>0.0076</v>
      </c>
    </row>
    <row r="19" spans="1:2">
      <c r="A19" t="s">
        <v>19</v>
      </c>
      <c r="B19">
        <f>7.73/1000</f>
        <v>0.00773</v>
      </c>
    </row>
    <row r="20" spans="1:2">
      <c r="A20" t="s">
        <v>20</v>
      </c>
      <c r="B20">
        <f>9.1/1000</f>
        <v>0.0091</v>
      </c>
    </row>
    <row r="21" spans="1:2">
      <c r="A21" t="s">
        <v>21</v>
      </c>
      <c r="B21">
        <f>(B20-B19)/2</f>
        <v>0.000685</v>
      </c>
    </row>
    <row r="23" spans="1:1">
      <c r="A23" s="8" t="s">
        <v>22</v>
      </c>
    </row>
    <row r="25" spans="1:5">
      <c r="A25" t="s">
        <v>23</v>
      </c>
      <c r="B25">
        <v>291</v>
      </c>
      <c r="D25" t="s">
        <v>24</v>
      </c>
      <c r="E25">
        <v>744.6419098</v>
      </c>
    </row>
    <row r="26" spans="1:5">
      <c r="A26" t="s">
        <v>25</v>
      </c>
      <c r="B26">
        <v>321</v>
      </c>
      <c r="D26" t="s">
        <v>26</v>
      </c>
      <c r="E26">
        <v>678.1268441</v>
      </c>
    </row>
    <row r="27" spans="1:2">
      <c r="A27" t="s">
        <v>27</v>
      </c>
      <c r="B27">
        <f>E25*B14</f>
        <v>4180.33694362722</v>
      </c>
    </row>
    <row r="28" spans="1:5">
      <c r="A28" t="s">
        <v>28</v>
      </c>
      <c r="B28">
        <v>157</v>
      </c>
      <c r="D28" t="s">
        <v>29</v>
      </c>
      <c r="E28" s="11">
        <v>5.61</v>
      </c>
    </row>
    <row r="29" spans="1:3">
      <c r="A29" t="s">
        <v>30</v>
      </c>
      <c r="B29" s="11">
        <f>E28*1000*(B26-B25)*B27</f>
        <v>703550707.612462</v>
      </c>
      <c r="C29" s="12" t="s">
        <v>17</v>
      </c>
    </row>
    <row r="30" spans="1:5">
      <c r="A30" t="s">
        <v>31</v>
      </c>
      <c r="B30">
        <f>27130.7383944*10^(-6)</f>
        <v>0.0271307383944</v>
      </c>
      <c r="D30" t="s">
        <v>32</v>
      </c>
      <c r="E30" s="13">
        <v>8.6234e-5</v>
      </c>
    </row>
    <row r="31" spans="1:2">
      <c r="A31" t="s">
        <v>33</v>
      </c>
      <c r="B31">
        <f>9.73023326</f>
        <v>9.73023326</v>
      </c>
    </row>
    <row r="32" spans="1:2">
      <c r="A32" t="s">
        <v>34</v>
      </c>
      <c r="B32">
        <f>4*B30/B31</f>
        <v>0.011153170810789</v>
      </c>
    </row>
    <row r="33" spans="1:2">
      <c r="A33" t="s">
        <v>35</v>
      </c>
      <c r="B33">
        <f>B14/(B30*B3)</f>
        <v>3.76217947285118</v>
      </c>
    </row>
    <row r="34" spans="1:2">
      <c r="A34" t="s">
        <v>36</v>
      </c>
      <c r="B34">
        <f>E25*B33*B32/E30</f>
        <v>362332.096533892</v>
      </c>
    </row>
    <row r="35" spans="1:2">
      <c r="A35" t="s">
        <v>37</v>
      </c>
      <c r="B35">
        <v>0.841</v>
      </c>
    </row>
    <row r="36" spans="1:2">
      <c r="A36" t="s">
        <v>38</v>
      </c>
      <c r="B36">
        <f>0.023*B34^(0.8)*B35^(0.4)</f>
        <v>601.079172545068</v>
      </c>
    </row>
    <row r="37" spans="1:2">
      <c r="A37" t="s">
        <v>39</v>
      </c>
      <c r="B37">
        <v>0.575797265</v>
      </c>
    </row>
    <row r="38" spans="1:2">
      <c r="A38" t="s">
        <v>40</v>
      </c>
      <c r="B38" s="10">
        <f>9.1/1000</f>
        <v>0.0091</v>
      </c>
    </row>
    <row r="39" spans="1:2">
      <c r="A39" t="s">
        <v>41</v>
      </c>
      <c r="B39">
        <f>B36*B37/B38</f>
        <v>38032.9388571333</v>
      </c>
    </row>
    <row r="41" spans="1:2">
      <c r="A41" t="s">
        <v>42</v>
      </c>
      <c r="B41">
        <v>2.32</v>
      </c>
    </row>
    <row r="42" spans="1:2">
      <c r="A42" t="s">
        <v>43</v>
      </c>
      <c r="B42">
        <f>B17</f>
        <v>11103.7611037611</v>
      </c>
    </row>
    <row r="43" spans="1:2">
      <c r="A43" t="s">
        <v>44</v>
      </c>
      <c r="B43">
        <f>B42*B41</f>
        <v>25760.7257607258</v>
      </c>
    </row>
    <row r="44" spans="1:2">
      <c r="A44" t="s">
        <v>45</v>
      </c>
      <c r="B44">
        <v>1.570796327</v>
      </c>
    </row>
    <row r="45" spans="1:2">
      <c r="A45" t="s">
        <v>46</v>
      </c>
      <c r="B45">
        <f>B43*B44</f>
        <v>40464.8534058023</v>
      </c>
    </row>
    <row r="46" spans="1:2">
      <c r="A46" t="s">
        <v>47</v>
      </c>
      <c r="B46">
        <f>B18/2</f>
        <v>0.0038</v>
      </c>
    </row>
    <row r="48" spans="1:2">
      <c r="A48" t="s">
        <v>48</v>
      </c>
      <c r="B48">
        <f>B20</f>
        <v>0.0091</v>
      </c>
    </row>
    <row r="49" spans="1:2">
      <c r="A49" t="s">
        <v>49</v>
      </c>
      <c r="B49">
        <f>B25</f>
        <v>291</v>
      </c>
    </row>
    <row r="50" spans="1:2">
      <c r="A50" t="s">
        <v>50</v>
      </c>
      <c r="B50">
        <f>B27/B3/B6</f>
        <v>0.243609378999255</v>
      </c>
    </row>
    <row r="51" spans="1:3">
      <c r="A51" t="s">
        <v>51</v>
      </c>
      <c r="B51">
        <v>0.565173759</v>
      </c>
      <c r="C51">
        <f>B51/B50</f>
        <v>2.31999999885771</v>
      </c>
    </row>
    <row r="52" spans="1:2">
      <c r="A52" t="s">
        <v>52</v>
      </c>
      <c r="B52" s="11">
        <f>E28</f>
        <v>5.61</v>
      </c>
    </row>
    <row r="53" spans="1:2">
      <c r="A53" t="s">
        <v>53</v>
      </c>
      <c r="B53">
        <f>B8</f>
        <v>3.7</v>
      </c>
    </row>
    <row r="54" spans="1:2">
      <c r="A54" t="s">
        <v>54</v>
      </c>
      <c r="B54">
        <f>B39</f>
        <v>38032.9388571333</v>
      </c>
    </row>
    <row r="55" spans="1:2">
      <c r="A55" t="s">
        <v>55</v>
      </c>
      <c r="B55">
        <v>16</v>
      </c>
    </row>
    <row r="56" spans="1:2">
      <c r="A56" t="s">
        <v>56</v>
      </c>
      <c r="B56">
        <f>B19</f>
        <v>0.00773</v>
      </c>
    </row>
    <row r="58" spans="1:14">
      <c r="A58" s="7" t="s">
        <v>57</v>
      </c>
      <c r="B58" s="7" t="s">
        <v>58</v>
      </c>
      <c r="C58" s="7" t="s">
        <v>59</v>
      </c>
      <c r="D58" s="14" t="s">
        <v>60</v>
      </c>
      <c r="E58" s="7" t="s">
        <v>61</v>
      </c>
      <c r="F58" s="7" t="s">
        <v>62</v>
      </c>
      <c r="G58" s="7" t="s">
        <v>63</v>
      </c>
      <c r="H58" s="7" t="s">
        <v>64</v>
      </c>
      <c r="I58" s="7" t="s">
        <v>65</v>
      </c>
      <c r="J58" s="7" t="s">
        <v>66</v>
      </c>
      <c r="K58" s="7" t="s">
        <v>67</v>
      </c>
      <c r="L58" s="7" t="s">
        <v>68</v>
      </c>
      <c r="M58" s="14" t="s">
        <v>69</v>
      </c>
      <c r="N58" s="7" t="s">
        <v>70</v>
      </c>
    </row>
    <row r="59" spans="1:14">
      <c r="A59">
        <v>0</v>
      </c>
      <c r="B59">
        <f>$B$45*SIN(PI()*A59)</f>
        <v>0</v>
      </c>
      <c r="C59">
        <f>$B$49+(($B$45*$B$53)/($B$51*$B$52*1000*PI()))*(1-COS(PI()*A59))</f>
        <v>291</v>
      </c>
      <c r="D59">
        <f t="shared" ref="D59:D69" si="0">B59/(PI()*$B$48)</f>
        <v>0</v>
      </c>
      <c r="E59">
        <f t="shared" ref="E59:E69" si="1">C59+D59/$B$54</f>
        <v>291</v>
      </c>
      <c r="F59">
        <f>E59+(B59/(2*PI()*$B$55))*LN($B$48/$B$56)</f>
        <v>291</v>
      </c>
      <c r="G59">
        <f t="shared" ref="G59:G69" si="2">B59/((PI()/4)*$B$18^2)</f>
        <v>0</v>
      </c>
      <c r="H59">
        <f>F59+D59/5500</f>
        <v>291</v>
      </c>
      <c r="I59">
        <v>291</v>
      </c>
      <c r="J59">
        <f>(LN((11.8+0.0238*H59)/11.8)/0.0238+(8.78*10^(-13)*H59^4/4))*100</f>
        <v>1940.50496639374</v>
      </c>
      <c r="K59">
        <f>(LN((11.8+0.0238*I59)/11.8)/0.0238+(8.78*10^(-13)*I59^4/4))*100</f>
        <v>1940.50496639374</v>
      </c>
      <c r="L59">
        <f>B59/(4*PI())</f>
        <v>0</v>
      </c>
      <c r="M59">
        <f>K59-J59</f>
        <v>-3.41060513164848e-12</v>
      </c>
      <c r="N59">
        <v>0</v>
      </c>
    </row>
    <row r="60" spans="1:14">
      <c r="A60">
        <v>0.1</v>
      </c>
      <c r="B60">
        <f t="shared" ref="B60:B69" si="3">$B$45*SIN(PI()*A60)</f>
        <v>12504.3273772839</v>
      </c>
      <c r="C60">
        <f t="shared" ref="C60:C69" si="4">$B$49+(($B$45*$B$53)/($B$51*$B$52*1000*PI()))*(1-COS(PI()*A60))</f>
        <v>291.735664586647</v>
      </c>
      <c r="D60">
        <f t="shared" si="0"/>
        <v>437390.222447043</v>
      </c>
      <c r="E60">
        <f t="shared" si="1"/>
        <v>303.235964999667</v>
      </c>
      <c r="F60">
        <f t="shared" ref="F60:F69" si="5">E60+(B60/(2*PI()*$B$55))*LN($B$48/$B$56)</f>
        <v>323.530960349305</v>
      </c>
      <c r="G60">
        <f t="shared" si="2"/>
        <v>275640652.650145</v>
      </c>
      <c r="H60">
        <f t="shared" ref="H60:H69" si="6">F60+D60/5500</f>
        <v>403.056455339676</v>
      </c>
      <c r="I60">
        <v>642.391780175656</v>
      </c>
      <c r="J60">
        <f t="shared" ref="J60:J69" si="7">(LN((11.8+0.0238*H60)/11.8)/0.0238+(8.78*10^(-13)*H60^4/4))*100</f>
        <v>2500.37866527769</v>
      </c>
      <c r="K60">
        <f>(LN((11.8+0.0238*I60)/11.8)/0.0238+(8.78*10^(-13)*I60^4/4))*100</f>
        <v>3495.44139493766</v>
      </c>
      <c r="L60">
        <f t="shared" ref="L60:L69" si="8">B60/(4*PI())</f>
        <v>995.062756067023</v>
      </c>
      <c r="M60">
        <f>K60-J60</f>
        <v>995.062729659974</v>
      </c>
      <c r="N60">
        <f>M60/L60</f>
        <v>0.999999973461926</v>
      </c>
    </row>
    <row r="61" spans="1:14">
      <c r="A61">
        <v>0.2</v>
      </c>
      <c r="B61">
        <f t="shared" si="3"/>
        <v>23784.6440681074</v>
      </c>
      <c r="C61">
        <f t="shared" si="4"/>
        <v>293.870646371172</v>
      </c>
      <c r="D61">
        <f t="shared" si="0"/>
        <v>831965.642444094</v>
      </c>
      <c r="E61">
        <f t="shared" si="1"/>
        <v>315.74551766548</v>
      </c>
      <c r="F61">
        <f t="shared" si="5"/>
        <v>354.348892816387</v>
      </c>
      <c r="G61">
        <f t="shared" si="2"/>
        <v>524299677.717538</v>
      </c>
      <c r="H61">
        <f t="shared" si="6"/>
        <v>505.615373260768</v>
      </c>
      <c r="I61">
        <v>1065.81383300088</v>
      </c>
      <c r="J61">
        <f t="shared" si="7"/>
        <v>2955.21078279581</v>
      </c>
      <c r="K61">
        <f t="shared" ref="K61:K69" si="9">(LN((11.8+0.0238*I61)/11.8)/0.0238+(8.78*10^(-13)*I61^4/4))*100</f>
        <v>4848.93261703673</v>
      </c>
      <c r="L61">
        <f t="shared" si="8"/>
        <v>1892.72183656031</v>
      </c>
      <c r="M61">
        <f t="shared" ref="M61:M69" si="10">K61-J61</f>
        <v>1893.72183424092</v>
      </c>
      <c r="N61">
        <f t="shared" ref="N61:N69" si="11">(M61-L61)</f>
        <v>0.999997680605475</v>
      </c>
    </row>
    <row r="62" spans="1:14">
      <c r="A62">
        <v>0.3</v>
      </c>
      <c r="B62">
        <f t="shared" si="3"/>
        <v>32736.754080185</v>
      </c>
      <c r="C62">
        <f t="shared" si="4"/>
        <v>297.195958461211</v>
      </c>
      <c r="D62">
        <f t="shared" si="0"/>
        <v>1145102.46871324</v>
      </c>
      <c r="E62">
        <f t="shared" si="1"/>
        <v>327.304135823331</v>
      </c>
      <c r="F62">
        <f t="shared" si="5"/>
        <v>380.437123450205</v>
      </c>
      <c r="G62">
        <f t="shared" si="2"/>
        <v>721636597.319283</v>
      </c>
      <c r="H62">
        <f t="shared" si="6"/>
        <v>588.637572307158</v>
      </c>
      <c r="I62">
        <v>1472.86754669419</v>
      </c>
      <c r="J62">
        <f t="shared" si="7"/>
        <v>3291.0637883336</v>
      </c>
      <c r="K62">
        <f t="shared" si="9"/>
        <v>5897.17190356817</v>
      </c>
      <c r="L62">
        <f t="shared" si="8"/>
        <v>2605.10811632261</v>
      </c>
      <c r="M62">
        <f t="shared" si="10"/>
        <v>2606.10811523457</v>
      </c>
      <c r="N62">
        <f t="shared" si="11"/>
        <v>0.999998911962848</v>
      </c>
    </row>
    <row r="63" spans="1:14">
      <c r="A63">
        <v>0.4</v>
      </c>
      <c r="B63">
        <f t="shared" si="3"/>
        <v>38484.3625125164</v>
      </c>
      <c r="C63">
        <f t="shared" si="4"/>
        <v>301.386096140581</v>
      </c>
      <c r="D63">
        <f t="shared" si="0"/>
        <v>1346148.68694669</v>
      </c>
      <c r="E63">
        <f t="shared" si="1"/>
        <v>336.780381394302</v>
      </c>
      <c r="F63">
        <f t="shared" si="5"/>
        <v>399.241954468932</v>
      </c>
      <c r="G63">
        <f t="shared" si="2"/>
        <v>848334698.837593</v>
      </c>
      <c r="H63">
        <f t="shared" si="6"/>
        <v>643.996261186512</v>
      </c>
      <c r="I63">
        <v>1755.02359296494</v>
      </c>
      <c r="J63">
        <f t="shared" si="7"/>
        <v>3501.39772377762</v>
      </c>
      <c r="K63">
        <f t="shared" si="9"/>
        <v>6564.88598658132</v>
      </c>
      <c r="L63">
        <f t="shared" si="8"/>
        <v>3062.48826280371</v>
      </c>
      <c r="M63">
        <f t="shared" si="10"/>
        <v>3063.4882628037</v>
      </c>
      <c r="N63">
        <f t="shared" si="11"/>
        <v>0.999999999985903</v>
      </c>
    </row>
    <row r="64" spans="1:14">
      <c r="A64">
        <v>0.5</v>
      </c>
      <c r="B64">
        <f t="shared" si="3"/>
        <v>40464.8534058023</v>
      </c>
      <c r="C64">
        <f t="shared" si="4"/>
        <v>306.030899538819</v>
      </c>
      <c r="D64">
        <f t="shared" si="0"/>
        <v>1415424.49253239</v>
      </c>
      <c r="E64">
        <f t="shared" si="1"/>
        <v>343.24665343702</v>
      </c>
      <c r="F64">
        <f t="shared" si="5"/>
        <v>408.922637991491</v>
      </c>
      <c r="G64">
        <f t="shared" si="2"/>
        <v>891991889.338276</v>
      </c>
      <c r="H64">
        <f t="shared" si="6"/>
        <v>666.272545724653</v>
      </c>
      <c r="I64">
        <v>1857.22078724455</v>
      </c>
      <c r="J64">
        <f t="shared" si="7"/>
        <v>3583.27384088995</v>
      </c>
      <c r="K64">
        <f t="shared" si="9"/>
        <v>6804.36463910302</v>
      </c>
      <c r="L64">
        <f t="shared" si="8"/>
        <v>3220.09072051118</v>
      </c>
      <c r="M64">
        <f t="shared" si="10"/>
        <v>3221.09079821307</v>
      </c>
      <c r="N64">
        <f t="shared" si="11"/>
        <v>1.00007770188813</v>
      </c>
    </row>
    <row r="65" spans="1:14">
      <c r="A65">
        <v>0.6</v>
      </c>
      <c r="B65">
        <f t="shared" si="3"/>
        <v>38484.3625125164</v>
      </c>
      <c r="C65">
        <f t="shared" si="4"/>
        <v>310.675702937056</v>
      </c>
      <c r="D65">
        <f t="shared" si="0"/>
        <v>1346148.68694669</v>
      </c>
      <c r="E65">
        <f t="shared" si="1"/>
        <v>346.069988190777</v>
      </c>
      <c r="F65">
        <f t="shared" si="5"/>
        <v>408.531561265406</v>
      </c>
      <c r="G65">
        <f t="shared" si="2"/>
        <v>848334698.837593</v>
      </c>
      <c r="H65">
        <f t="shared" si="6"/>
        <v>653.285867982986</v>
      </c>
      <c r="I65">
        <v>1769.68591270718</v>
      </c>
      <c r="J65">
        <f t="shared" si="7"/>
        <v>3535.72626029861</v>
      </c>
      <c r="K65">
        <f t="shared" si="9"/>
        <v>6599.21452310352</v>
      </c>
      <c r="L65">
        <f t="shared" si="8"/>
        <v>3062.48826280371</v>
      </c>
      <c r="M65">
        <f t="shared" si="10"/>
        <v>3063.48826280491</v>
      </c>
      <c r="N65">
        <f t="shared" si="11"/>
        <v>1.00000000120053</v>
      </c>
    </row>
    <row r="66" spans="1:14">
      <c r="A66">
        <v>0.7</v>
      </c>
      <c r="B66">
        <f t="shared" si="3"/>
        <v>32736.754080185</v>
      </c>
      <c r="C66">
        <f t="shared" si="4"/>
        <v>314.865840616426</v>
      </c>
      <c r="D66">
        <f t="shared" si="0"/>
        <v>1145102.46871324</v>
      </c>
      <c r="E66">
        <f t="shared" si="1"/>
        <v>344.974017978546</v>
      </c>
      <c r="F66">
        <f t="shared" si="5"/>
        <v>398.10700560542</v>
      </c>
      <c r="G66">
        <f t="shared" si="2"/>
        <v>721636597.319283</v>
      </c>
      <c r="H66">
        <f t="shared" si="6"/>
        <v>606.307454462373</v>
      </c>
      <c r="I66">
        <v>1501.20951100706</v>
      </c>
      <c r="J66">
        <f t="shared" si="7"/>
        <v>3359.30547778527</v>
      </c>
      <c r="K66">
        <f t="shared" si="9"/>
        <v>5965.41359389105</v>
      </c>
      <c r="L66">
        <f t="shared" si="8"/>
        <v>2605.10811632261</v>
      </c>
      <c r="M66">
        <f t="shared" si="10"/>
        <v>2606.10811610578</v>
      </c>
      <c r="N66">
        <f t="shared" si="11"/>
        <v>0.999999783174644</v>
      </c>
    </row>
    <row r="67" spans="1:14">
      <c r="A67">
        <v>0.8</v>
      </c>
      <c r="B67">
        <f t="shared" si="3"/>
        <v>23784.6440681075</v>
      </c>
      <c r="C67">
        <f t="shared" si="4"/>
        <v>318.191152706465</v>
      </c>
      <c r="D67">
        <f t="shared" si="0"/>
        <v>831965.642444094</v>
      </c>
      <c r="E67">
        <f t="shared" si="1"/>
        <v>340.066024000773</v>
      </c>
      <c r="F67">
        <f t="shared" si="5"/>
        <v>378.66939915168</v>
      </c>
      <c r="G67">
        <f t="shared" si="2"/>
        <v>524299677.717538</v>
      </c>
      <c r="H67">
        <f t="shared" si="6"/>
        <v>529.935879596061</v>
      </c>
      <c r="I67">
        <v>1102.29857674536</v>
      </c>
      <c r="J67">
        <f t="shared" si="7"/>
        <v>3056.3306898769</v>
      </c>
      <c r="K67">
        <f t="shared" si="9"/>
        <v>4950.05154029831</v>
      </c>
      <c r="L67">
        <f t="shared" si="8"/>
        <v>1892.72183656031</v>
      </c>
      <c r="M67">
        <f t="shared" si="10"/>
        <v>1893.72085042141</v>
      </c>
      <c r="N67">
        <f t="shared" si="11"/>
        <v>0.999013861095364</v>
      </c>
    </row>
    <row r="68" spans="1:14">
      <c r="A68">
        <v>0.9</v>
      </c>
      <c r="B68">
        <f t="shared" si="3"/>
        <v>12504.3273772839</v>
      </c>
      <c r="C68">
        <f t="shared" si="4"/>
        <v>320.32613449099</v>
      </c>
      <c r="D68">
        <f t="shared" si="0"/>
        <v>437390.222447043</v>
      </c>
      <c r="E68">
        <f t="shared" si="1"/>
        <v>331.82643490401</v>
      </c>
      <c r="F68">
        <f t="shared" si="5"/>
        <v>352.121430253648</v>
      </c>
      <c r="G68">
        <f t="shared" si="2"/>
        <v>275640652.650145</v>
      </c>
      <c r="H68">
        <f t="shared" si="6"/>
        <v>431.646925244019</v>
      </c>
      <c r="I68">
        <v>678.668757340502</v>
      </c>
      <c r="J68">
        <f t="shared" si="7"/>
        <v>2632.12555051121</v>
      </c>
      <c r="K68">
        <f t="shared" si="9"/>
        <v>3628.18825770936</v>
      </c>
      <c r="L68">
        <f t="shared" si="8"/>
        <v>995.062756067023</v>
      </c>
      <c r="M68">
        <f t="shared" si="10"/>
        <v>996.062707198147</v>
      </c>
      <c r="N68">
        <f t="shared" si="11"/>
        <v>0.999951131124135</v>
      </c>
    </row>
    <row r="69" spans="1:14">
      <c r="A69">
        <v>1</v>
      </c>
      <c r="B69">
        <f t="shared" si="3"/>
        <v>4.95551532013827e-12</v>
      </c>
      <c r="C69">
        <f t="shared" si="4"/>
        <v>321.061799077637</v>
      </c>
      <c r="D69">
        <f t="shared" si="0"/>
        <v>1.73339507421455e-10</v>
      </c>
      <c r="E69">
        <f t="shared" si="1"/>
        <v>321.061799077637</v>
      </c>
      <c r="F69">
        <f t="shared" si="5"/>
        <v>321.061799077637</v>
      </c>
      <c r="G69">
        <f t="shared" si="2"/>
        <v>1.09237501214352e-7</v>
      </c>
      <c r="H69">
        <f t="shared" si="6"/>
        <v>321.061799077637</v>
      </c>
      <c r="I69">
        <v>321.256124811921</v>
      </c>
      <c r="J69">
        <f t="shared" si="7"/>
        <v>2098.1266641068</v>
      </c>
      <c r="K69">
        <f t="shared" si="9"/>
        <v>2099.12666304245</v>
      </c>
      <c r="L69">
        <f t="shared" si="8"/>
        <v>3.94347379383811e-13</v>
      </c>
      <c r="M69">
        <f t="shared" si="10"/>
        <v>0.999998935649728</v>
      </c>
      <c r="N69">
        <f t="shared" si="11"/>
        <v>0.999998935649334</v>
      </c>
    </row>
  </sheetData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topLeftCell="D1" workbookViewId="0">
      <selection activeCell="D19" sqref="D19"/>
    </sheetView>
  </sheetViews>
  <sheetFormatPr defaultColWidth="9.14285714285714" defaultRowHeight="15"/>
  <cols>
    <col min="1" max="1" width="11.1428571428571" customWidth="1"/>
    <col min="2" max="2" width="11.5714285714286" customWidth="1"/>
    <col min="3" max="3" width="12.8571428571429" customWidth="1"/>
    <col min="4" max="4" width="13.5714285714286" customWidth="1"/>
    <col min="17" max="17" width="12.7238095238095" customWidth="1"/>
  </cols>
  <sheetData>
    <row r="1" spans="1:18">
      <c r="A1" s="7" t="s">
        <v>57</v>
      </c>
      <c r="B1" s="7" t="s">
        <v>59</v>
      </c>
      <c r="C1" s="7" t="s">
        <v>61</v>
      </c>
      <c r="D1" s="7" t="s">
        <v>71</v>
      </c>
      <c r="Q1" s="6"/>
      <c r="R1" s="6"/>
    </row>
    <row r="2" spans="1:4">
      <c r="A2">
        <v>0</v>
      </c>
      <c r="B2">
        <v>291</v>
      </c>
      <c r="C2">
        <v>291</v>
      </c>
      <c r="D2">
        <v>291</v>
      </c>
    </row>
    <row r="3" spans="1:4">
      <c r="A3">
        <v>0.1</v>
      </c>
      <c r="B3">
        <v>291.735664586647</v>
      </c>
      <c r="C3">
        <v>303.235964999667</v>
      </c>
      <c r="D3">
        <v>642.391780175656</v>
      </c>
    </row>
    <row r="4" spans="1:4">
      <c r="A4">
        <v>0.2</v>
      </c>
      <c r="B4">
        <v>293.870646371172</v>
      </c>
      <c r="C4">
        <v>315.74551766548</v>
      </c>
      <c r="D4">
        <v>1065.81383300088</v>
      </c>
    </row>
    <row r="5" spans="1:4">
      <c r="A5">
        <v>0.3</v>
      </c>
      <c r="B5">
        <v>297.195958461211</v>
      </c>
      <c r="C5">
        <v>327.304135823331</v>
      </c>
      <c r="D5">
        <v>1472.86754669419</v>
      </c>
    </row>
    <row r="6" spans="1:4">
      <c r="A6">
        <v>0.4</v>
      </c>
      <c r="B6">
        <v>301.386096140581</v>
      </c>
      <c r="C6">
        <v>336.780381394302</v>
      </c>
      <c r="D6">
        <v>1755.02359296494</v>
      </c>
    </row>
    <row r="7" spans="1:4">
      <c r="A7">
        <v>0.5</v>
      </c>
      <c r="B7">
        <v>306.030899538819</v>
      </c>
      <c r="C7">
        <v>343.246653437019</v>
      </c>
      <c r="D7">
        <v>1857.22078724455</v>
      </c>
    </row>
    <row r="8" spans="1:4">
      <c r="A8">
        <v>0.6</v>
      </c>
      <c r="B8">
        <v>310.675702937056</v>
      </c>
      <c r="C8">
        <v>346.069988190776</v>
      </c>
      <c r="D8">
        <v>1769.68591270718</v>
      </c>
    </row>
    <row r="9" spans="1:4">
      <c r="A9">
        <v>0.7</v>
      </c>
      <c r="B9">
        <v>314.865840616426</v>
      </c>
      <c r="C9">
        <v>344.974017978546</v>
      </c>
      <c r="D9">
        <v>1501.20951100706</v>
      </c>
    </row>
    <row r="10" spans="1:4">
      <c r="A10">
        <v>0.8</v>
      </c>
      <c r="B10">
        <v>318.191152706465</v>
      </c>
      <c r="C10">
        <v>340.066024000774</v>
      </c>
      <c r="D10">
        <v>1102.29857674536</v>
      </c>
    </row>
    <row r="11" spans="1:4">
      <c r="A11">
        <v>0.9</v>
      </c>
      <c r="B11">
        <v>320.32613449099</v>
      </c>
      <c r="C11">
        <v>331.826434904009</v>
      </c>
      <c r="D11">
        <v>678.668757340502</v>
      </c>
    </row>
    <row r="12" spans="1:4">
      <c r="A12">
        <v>1</v>
      </c>
      <c r="B12">
        <v>321.061799077637</v>
      </c>
      <c r="C12">
        <v>321.061799077637</v>
      </c>
      <c r="D12">
        <v>321.256124811921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zoomScale="175" zoomScaleNormal="175" workbookViewId="0">
      <selection activeCell="A6" sqref="A6"/>
    </sheetView>
  </sheetViews>
  <sheetFormatPr defaultColWidth="9.14285714285714" defaultRowHeight="15" outlineLevelCol="5"/>
  <cols>
    <col min="1" max="1" width="43.4666666666667" customWidth="1"/>
    <col min="2" max="2" width="14.7238095238095" customWidth="1"/>
    <col min="3" max="3" width="11.9238095238095" customWidth="1"/>
    <col min="4" max="4" width="12.6095238095238" customWidth="1"/>
    <col min="5" max="5" width="13.0761904761905" customWidth="1"/>
    <col min="6" max="6" width="14"/>
  </cols>
  <sheetData>
    <row r="1" spans="1:2">
      <c r="A1" t="s">
        <v>72</v>
      </c>
      <c r="B1">
        <v>2520</v>
      </c>
    </row>
    <row r="2" spans="1:2">
      <c r="A2" t="s">
        <v>73</v>
      </c>
      <c r="B2">
        <v>291</v>
      </c>
    </row>
    <row r="3" spans="1:5">
      <c r="A3" t="s">
        <v>74</v>
      </c>
      <c r="B3">
        <v>321</v>
      </c>
      <c r="C3" s="1"/>
      <c r="D3" s="1"/>
      <c r="E3" s="1"/>
    </row>
    <row r="4" spans="1:2">
      <c r="A4" t="s">
        <v>75</v>
      </c>
      <c r="B4">
        <v>157</v>
      </c>
    </row>
    <row r="5" spans="1:2">
      <c r="A5" t="s">
        <v>76</v>
      </c>
      <c r="B5">
        <v>744.6419098</v>
      </c>
    </row>
    <row r="6" spans="1:2">
      <c r="A6" t="s">
        <v>77</v>
      </c>
      <c r="B6">
        <f>9.8</f>
        <v>9.8</v>
      </c>
    </row>
    <row r="7" spans="1:2">
      <c r="A7" t="s">
        <v>78</v>
      </c>
      <c r="B7">
        <v>8.6234e-5</v>
      </c>
    </row>
    <row r="8" spans="1:2">
      <c r="A8" t="s">
        <v>79</v>
      </c>
      <c r="B8">
        <f>10.9/1000</f>
        <v>0.0109</v>
      </c>
    </row>
    <row r="9" spans="1:2">
      <c r="A9" t="s">
        <v>80</v>
      </c>
      <c r="B9">
        <v>3.7</v>
      </c>
    </row>
    <row r="10" spans="1:2">
      <c r="A10" t="s">
        <v>81</v>
      </c>
      <c r="B10">
        <f>8.2/1000</f>
        <v>0.0082</v>
      </c>
    </row>
    <row r="11" spans="1:2">
      <c r="A11" t="s">
        <v>82</v>
      </c>
      <c r="B11">
        <f>B1*(PI()/4)*B9*B10^2</f>
        <v>0.492402048453817</v>
      </c>
    </row>
    <row r="12" spans="1:2">
      <c r="A12" s="2" t="s">
        <v>83</v>
      </c>
      <c r="B12">
        <f>3.7</f>
        <v>3.7</v>
      </c>
    </row>
    <row r="13" spans="1:2">
      <c r="A13" t="s">
        <v>84</v>
      </c>
      <c r="B13">
        <f>(PI()/4)*B10^2</f>
        <v>5.28101725068444e-5</v>
      </c>
    </row>
    <row r="14" spans="1:3">
      <c r="A14" t="s">
        <v>85</v>
      </c>
      <c r="B14">
        <f>((PI()/4)*B8^2)-B13</f>
        <v>4.05029832864064e-5</v>
      </c>
      <c r="C14" s="3"/>
    </row>
    <row r="15" customHeight="1" spans="1:4">
      <c r="A15" s="4" t="s">
        <v>86</v>
      </c>
      <c r="B15">
        <f>B13/B14</f>
        <v>1.30385883265464</v>
      </c>
      <c r="C15" s="5"/>
      <c r="D15" s="1"/>
    </row>
    <row r="16" spans="1:2">
      <c r="A16" s="2" t="s">
        <v>87</v>
      </c>
      <c r="B16">
        <f>B11*B6</f>
        <v>4.82554007484741</v>
      </c>
    </row>
    <row r="18" spans="4:6">
      <c r="D18" s="6"/>
      <c r="E18" s="6"/>
      <c r="F18" s="6"/>
    </row>
  </sheetData>
  <sortState ref="R4:R43">
    <sortCondition ref="R4" descending="1"/>
  </sortState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Geometry</vt:lpstr>
      <vt:lpstr>Graph</vt:lpstr>
      <vt:lpstr>Hydraulic CRDM-Laminar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2024-08-08T15:48:00Z</dcterms:created>
  <dcterms:modified xsi:type="dcterms:W3CDTF">2024-09-24T10:01:10Z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77793B83EAB8450D8595AB2CA832A4C2_13</vt:lpwstr>
  </property>
  <property fmtid="{D5CDD505-2E9C-101B-9397-08002B2CF9AE}" pid="3" name="KSOProductBuildVer">
    <vt:lpwstr>1033-12.2.0.13472</vt:lpwstr>
  </property>
</Properties>
</file>