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E926A688-6FBF-4C96-BF33-32341A0F1CA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ayroll" sheetId="1" r:id="rId1"/>
    <sheet name="GradeSheet" sheetId="2" r:id="rId2"/>
    <sheet name="Career Decision" sheetId="3" r:id="rId3"/>
    <sheet name="Sheet3" sheetId="4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1" i="4" l="1"/>
  <c r="F180" i="4"/>
  <c r="F179" i="4"/>
  <c r="E179" i="4"/>
  <c r="G2" i="4"/>
  <c r="H2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2" i="4"/>
  <c r="H152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 s="1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O6" i="3"/>
  <c r="O7" i="3"/>
  <c r="O8" i="3"/>
  <c r="O9" i="3"/>
  <c r="O5" i="3"/>
  <c r="M9" i="3"/>
  <c r="M8" i="3"/>
  <c r="M7" i="3"/>
  <c r="M6" i="3"/>
  <c r="M5" i="3"/>
  <c r="K9" i="3"/>
  <c r="K8" i="3"/>
  <c r="K7" i="3"/>
  <c r="K6" i="3"/>
  <c r="K5" i="3"/>
  <c r="I9" i="3"/>
  <c r="I8" i="3"/>
  <c r="I7" i="3"/>
  <c r="I6" i="3"/>
  <c r="I5" i="3"/>
  <c r="G9" i="3"/>
  <c r="G8" i="3"/>
  <c r="G7" i="3"/>
  <c r="G6" i="3"/>
  <c r="G5" i="3"/>
  <c r="E6" i="3"/>
  <c r="E7" i="3"/>
  <c r="E8" i="3"/>
  <c r="E9" i="3"/>
  <c r="E5" i="3"/>
  <c r="E15" i="2"/>
  <c r="F15" i="2"/>
  <c r="G15" i="2"/>
  <c r="H15" i="2"/>
  <c r="E16" i="2"/>
  <c r="F16" i="2"/>
  <c r="G16" i="2"/>
  <c r="H16" i="2"/>
  <c r="E17" i="2"/>
  <c r="F17" i="2"/>
  <c r="G17" i="2"/>
  <c r="H17" i="2"/>
  <c r="K15" i="2"/>
  <c r="L15" i="2"/>
  <c r="M15" i="2"/>
  <c r="K16" i="2"/>
  <c r="L16" i="2"/>
  <c r="M16" i="2"/>
  <c r="K17" i="2"/>
  <c r="L17" i="2"/>
  <c r="M17" i="2"/>
  <c r="J17" i="2"/>
  <c r="J16" i="2"/>
  <c r="J15" i="2"/>
  <c r="O8" i="2"/>
  <c r="O9" i="2"/>
  <c r="O10" i="2"/>
  <c r="O11" i="2"/>
  <c r="O12" i="2"/>
  <c r="L7" i="2"/>
  <c r="J7" i="2"/>
  <c r="O7" i="2" s="1"/>
  <c r="K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J8" i="2"/>
  <c r="J9" i="2"/>
  <c r="J10" i="2"/>
  <c r="J11" i="2"/>
  <c r="J12" i="2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I22" i="1"/>
  <c r="I21" i="1"/>
  <c r="I20" i="1"/>
  <c r="AE13" i="1"/>
  <c r="AE14" i="1"/>
  <c r="AE15" i="1"/>
  <c r="AE16" i="1"/>
  <c r="AE17" i="1"/>
  <c r="AE12" i="1"/>
  <c r="X15" i="1"/>
  <c r="W13" i="1"/>
  <c r="Z15" i="1"/>
  <c r="AA12" i="1"/>
  <c r="AB12" i="1"/>
  <c r="AC12" i="1"/>
  <c r="AA13" i="1"/>
  <c r="AB13" i="1"/>
  <c r="AC13" i="1"/>
  <c r="AA14" i="1"/>
  <c r="AB14" i="1"/>
  <c r="AC14" i="1"/>
  <c r="AA15" i="1"/>
  <c r="AB15" i="1"/>
  <c r="AC15" i="1"/>
  <c r="AA16" i="1"/>
  <c r="AB16" i="1"/>
  <c r="AC16" i="1"/>
  <c r="AA17" i="1"/>
  <c r="AB17" i="1"/>
  <c r="AC17" i="1"/>
  <c r="Z13" i="1"/>
  <c r="Z14" i="1"/>
  <c r="Z16" i="1"/>
  <c r="Z17" i="1"/>
  <c r="Z12" i="1"/>
  <c r="W12" i="1"/>
  <c r="X12" i="1"/>
  <c r="Y12" i="1"/>
  <c r="X13" i="1"/>
  <c r="Y13" i="1"/>
  <c r="W14" i="1"/>
  <c r="X14" i="1"/>
  <c r="Y14" i="1"/>
  <c r="W15" i="1"/>
  <c r="Y15" i="1"/>
  <c r="W16" i="1"/>
  <c r="X16" i="1"/>
  <c r="Y16" i="1"/>
  <c r="W17" i="1"/>
  <c r="X17" i="1"/>
  <c r="Y17" i="1"/>
  <c r="V13" i="1"/>
  <c r="V14" i="1"/>
  <c r="V15" i="1"/>
  <c r="V16" i="1"/>
  <c r="V17" i="1"/>
  <c r="V12" i="1"/>
  <c r="O12" i="1"/>
  <c r="S12" i="1" s="1"/>
  <c r="P12" i="1"/>
  <c r="T12" i="1" s="1"/>
  <c r="Q12" i="1"/>
  <c r="U12" i="1" s="1"/>
  <c r="O13" i="1"/>
  <c r="S13" i="1" s="1"/>
  <c r="P13" i="1"/>
  <c r="T13" i="1" s="1"/>
  <c r="Q13" i="1"/>
  <c r="U13" i="1" s="1"/>
  <c r="O14" i="1"/>
  <c r="S14" i="1" s="1"/>
  <c r="P14" i="1"/>
  <c r="T14" i="1" s="1"/>
  <c r="Q14" i="1"/>
  <c r="U14" i="1" s="1"/>
  <c r="O15" i="1"/>
  <c r="S15" i="1" s="1"/>
  <c r="P15" i="1"/>
  <c r="T15" i="1" s="1"/>
  <c r="Q15" i="1"/>
  <c r="U15" i="1" s="1"/>
  <c r="O16" i="1"/>
  <c r="S16" i="1" s="1"/>
  <c r="P16" i="1"/>
  <c r="T16" i="1" s="1"/>
  <c r="Q16" i="1"/>
  <c r="U16" i="1" s="1"/>
  <c r="O17" i="1"/>
  <c r="S17" i="1" s="1"/>
  <c r="P17" i="1"/>
  <c r="T17" i="1" s="1"/>
  <c r="Q17" i="1"/>
  <c r="U17" i="1" s="1"/>
  <c r="N13" i="1"/>
  <c r="R13" i="1" s="1"/>
  <c r="N14" i="1"/>
  <c r="R14" i="1" s="1"/>
  <c r="N15" i="1"/>
  <c r="R15" i="1" s="1"/>
  <c r="N16" i="1"/>
  <c r="R16" i="1" s="1"/>
  <c r="N17" i="1"/>
  <c r="R17" i="1" s="1"/>
  <c r="N12" i="1"/>
  <c r="R12" i="1" s="1"/>
  <c r="A5" i="1"/>
  <c r="A4" i="1"/>
  <c r="A3" i="1"/>
</calcChain>
</file>

<file path=xl/sharedStrings.xml><?xml version="1.0" encoding="utf-8"?>
<sst xmlns="http://schemas.openxmlformats.org/spreadsheetml/2006/main" count="983" uniqueCount="120">
  <si>
    <t>Learning from freeCodeCamp.org</t>
  </si>
  <si>
    <t>Excel Toutorial For beginners</t>
  </si>
  <si>
    <t>By Shad Sluiter</t>
  </si>
  <si>
    <t>Payroll Example</t>
  </si>
  <si>
    <t>Last Name</t>
  </si>
  <si>
    <t>First Name</t>
  </si>
  <si>
    <t>Howerly Wage</t>
  </si>
  <si>
    <t>Pay</t>
  </si>
  <si>
    <t>Singh</t>
  </si>
  <si>
    <t>Adammy</t>
  </si>
  <si>
    <t xml:space="preserve">Yadav </t>
  </si>
  <si>
    <t>Amrita</t>
  </si>
  <si>
    <t>Kumar</t>
  </si>
  <si>
    <t>Amit</t>
  </si>
  <si>
    <t>Kushwaha</t>
  </si>
  <si>
    <t>Kartick</t>
  </si>
  <si>
    <t>Minimum</t>
  </si>
  <si>
    <t>Maximum</t>
  </si>
  <si>
    <t>Average</t>
  </si>
  <si>
    <t>Total</t>
  </si>
  <si>
    <t>Howers Worked</t>
  </si>
  <si>
    <t>Cruice</t>
  </si>
  <si>
    <t xml:space="preserve"> Tom</t>
  </si>
  <si>
    <t>Depp</t>
  </si>
  <si>
    <t>Johnny</t>
  </si>
  <si>
    <t>Overtime</t>
  </si>
  <si>
    <t>Bonus</t>
  </si>
  <si>
    <t>Total Pay</t>
  </si>
  <si>
    <t>Full Week Pay</t>
  </si>
  <si>
    <t>07-Jun</t>
  </si>
  <si>
    <t>14-Jun</t>
  </si>
  <si>
    <t>21-Jun</t>
  </si>
  <si>
    <t>28-Jun</t>
  </si>
  <si>
    <t>07-Jun2</t>
  </si>
  <si>
    <t>14-Jun3</t>
  </si>
  <si>
    <t>21-Jun4</t>
  </si>
  <si>
    <t>28-Jun5</t>
  </si>
  <si>
    <t>07-Jun6</t>
  </si>
  <si>
    <t>14-Jun7</t>
  </si>
  <si>
    <t>21-Jun8</t>
  </si>
  <si>
    <t>28-Jun9</t>
  </si>
  <si>
    <t>07-Jun10</t>
  </si>
  <si>
    <t>14-Jun11</t>
  </si>
  <si>
    <t>21-Jun12</t>
  </si>
  <si>
    <t>28-Jun13</t>
  </si>
  <si>
    <t>07-Jun14</t>
  </si>
  <si>
    <t>14-Jun15</t>
  </si>
  <si>
    <t>21-Jun16</t>
  </si>
  <si>
    <t>28-Jun17</t>
  </si>
  <si>
    <t>Gradesheet</t>
  </si>
  <si>
    <t>Maximum Points</t>
  </si>
  <si>
    <t>Entry Test</t>
  </si>
  <si>
    <t>Skill Test</t>
  </si>
  <si>
    <t>Financial Test</t>
  </si>
  <si>
    <t>Drug Test</t>
  </si>
  <si>
    <t>Who Should be Selected??</t>
  </si>
  <si>
    <t>Career Decision</t>
  </si>
  <si>
    <t>Job</t>
  </si>
  <si>
    <t>Driver</t>
  </si>
  <si>
    <t>Pilot</t>
  </si>
  <si>
    <t>Data Analyst</t>
  </si>
  <si>
    <t>Software Developer</t>
  </si>
  <si>
    <t>Painter</t>
  </si>
  <si>
    <t>Job Market</t>
  </si>
  <si>
    <t>Entertainment</t>
  </si>
  <si>
    <t>Enjoyment</t>
  </si>
  <si>
    <t>Schooling</t>
  </si>
  <si>
    <t>Result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</si>
  <si>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</si>
  <si>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</si>
  <si>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</si>
  <si>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</si>
  <si>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</si>
  <si>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</si>
  <si>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</si>
  <si>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</si>
  <si>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</si>
  <si>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</si>
  <si>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</si>
  <si>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</si>
  <si>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</si>
  <si>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</si>
  <si>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</si>
  <si>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</si>
  <si>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</si>
  <si>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</si>
  <si>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</si>
  <si>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</si>
  <si>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</si>
  <si>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</si>
  <si>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</si>
  <si>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</si>
  <si>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</si>
  <si>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</si>
  <si>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</si>
  <si>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</si>
  <si>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</si>
  <si>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</si>
  <si>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</si>
  <si>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</si>
  <si>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</si>
  <si>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</si>
  <si>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</si>
  <si>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</si>
  <si>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</si>
  <si>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Sum all the items</t>
  </si>
  <si>
    <t>Sum all the items alued more than $50</t>
  </si>
  <si>
    <t>Sum all the values valued equal to or less than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</si>
  <si>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</si>
  <si>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</si>
  <si>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</si>
  <si>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</si>
  <si>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</si>
  <si>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</si>
  <si>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</si>
  <si>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</si>
  <si>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Row Labels</t>
  </si>
  <si>
    <t>Grand Total</t>
  </si>
  <si>
    <t>Sum of Profit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</si>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</sst>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[$$-409]* #,##0.00_ ;_-[$$-409]* \-#,##0.00\ ;_-[$$-409]* &quot;-&quot;??_ ;_-@_ "/>
    <numFmt numFmtId="168" formatCode="0.0"/>
    <numFmt numFmtId="172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Alignment="1">
      <alignment horizontal="center"/>
    </xf>
    <xf numFmtId="164" fontId="0" fillId="0" borderId="0" xfId="0" applyNumberFormat="1"/>
    <xf numFmtId="0" fontId="2" fillId="2" borderId="0" xfId="0" applyFont="1" applyFill="1" applyAlignment="1">
      <alignment horizontal="center"/>
    </xf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  <xf numFmtId="0" fontId="0" fillId="5" borderId="0" xfId="0" applyFill="1"/>
    <xf numFmtId="0" fontId="0" fillId="7" borderId="0" xfId="0" applyFill="1"/>
    <xf numFmtId="0" fontId="0" fillId="7" borderId="0" xfId="0" applyFill="1" applyAlignment="1">
      <alignment textRotation="90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0" fontId="0" fillId="0" borderId="0" xfId="1" applyNumberFormat="1" applyFont="1"/>
    <xf numFmtId="168" fontId="0" fillId="0" borderId="0" xfId="1" applyNumberFormat="1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0" borderId="0" xfId="0" applyNumberFormat="1" applyAlignment="1">
      <alignment wrapText="1"/>
    </xf>
    <xf numFmtId="164" fontId="3" fillId="0" borderId="0" xfId="2" applyNumberFormat="1" applyAlignment="1"/>
    <xf numFmtId="172" fontId="3" fillId="0" borderId="0" xfId="3" applyNumberFormat="1" applyFont="1" applyAlignment="1"/>
    <xf numFmtId="14" fontId="3" fillId="0" borderId="0" xfId="3" applyNumberFormat="1" applyFont="1" applyAlignment="1"/>
    <xf numFmtId="0" fontId="3" fillId="0" borderId="0" xfId="2" applyAlignme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">
    <cellStyle name="Comma 2" xfId="3" xr:uid="{66C966BC-F0E7-4579-B34F-969FDE360BB0}"/>
    <cellStyle name="Normal" xfId="0" builtinId="0"/>
    <cellStyle name="Normal 2" xfId="2" xr:uid="{9029F795-5849-42EA-A349-E672F6450AED}"/>
    <cellStyle name="Percent" xfId="1" builtinId="5"/>
  </cellStyles>
  <dxfs count="49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29"/>
        <scheme val="minor"/>
      </font>
      <numFmt numFmtId="172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29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numFmt numFmtId="21" formatCode="dd/mmm"/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6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6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6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6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numFmt numFmtId="164" formatCode="_-[$$-409]* #,##0.00_ ;_-[$$-409]* \-#,##0.00\ ;_-[$$-409]* &quot;-&quot;??_ ;_-@_ "/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Entry</a:t>
            </a:r>
            <a:r>
              <a:rPr lang="en-IN" baseline="0"/>
              <a:t> Test</a:t>
            </a:r>
          </a:p>
          <a:p>
            <a:pPr>
              <a:defRPr/>
            </a:pPr>
            <a:endParaRPr lang="en-IN"/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40951450405815015"/>
          <c:y val="0.158715733372675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GradeSheet!$E$7:$E$12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2</c:v>
                </c:pt>
                <c:pt idx="3">
                  <c:v>9</c:v>
                </c:pt>
                <c:pt idx="4">
                  <c:v>8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E-496B-94DF-29AADDF55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910815"/>
        <c:axId val="1378912063"/>
      </c:barChart>
      <c:catAx>
        <c:axId val="137891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12063"/>
        <c:crosses val="autoZero"/>
        <c:auto val="1"/>
        <c:lblAlgn val="ctr"/>
        <c:lblOffset val="100"/>
        <c:noMultiLvlLbl val="0"/>
      </c:catAx>
      <c:valAx>
        <c:axId val="13789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1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Skill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GradeSheet!$F$7:$F$12</c:f>
              <c:numCache>
                <c:formatCode>General</c:formatCode>
                <c:ptCount val="6"/>
                <c:pt idx="0">
                  <c:v>39</c:v>
                </c:pt>
                <c:pt idx="1">
                  <c:v>44</c:v>
                </c:pt>
                <c:pt idx="2">
                  <c:v>37</c:v>
                </c:pt>
                <c:pt idx="3">
                  <c:v>47</c:v>
                </c:pt>
                <c:pt idx="4">
                  <c:v>44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7-4E0E-A59A-4A62FDC7E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183999"/>
        <c:axId val="1485182335"/>
      </c:barChart>
      <c:catAx>
        <c:axId val="148518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82335"/>
        <c:crosses val="autoZero"/>
        <c:auto val="1"/>
        <c:lblAlgn val="ctr"/>
        <c:lblOffset val="100"/>
        <c:noMultiLvlLbl val="0"/>
      </c:catAx>
      <c:valAx>
        <c:axId val="148518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8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GradeSheet!$G$7:$G$12</c:f>
              <c:numCache>
                <c:formatCode>General</c:formatCode>
                <c:ptCount val="6"/>
                <c:pt idx="0">
                  <c:v>88</c:v>
                </c:pt>
                <c:pt idx="1">
                  <c:v>65</c:v>
                </c:pt>
                <c:pt idx="2">
                  <c:v>97</c:v>
                </c:pt>
                <c:pt idx="3">
                  <c:v>44</c:v>
                </c:pt>
                <c:pt idx="4">
                  <c:v>64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1-41CD-86C6-CFD761A9C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1701087"/>
        <c:axId val="1471703167"/>
      </c:barChart>
      <c:catAx>
        <c:axId val="14717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703167"/>
        <c:crosses val="autoZero"/>
        <c:auto val="1"/>
        <c:lblAlgn val="ctr"/>
        <c:lblOffset val="100"/>
        <c:noMultiLvlLbl val="0"/>
      </c:catAx>
      <c:valAx>
        <c:axId val="14717031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70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Drug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69816272965875E-2"/>
          <c:y val="0.19486111111111112"/>
          <c:w val="0.9155301837270341"/>
          <c:h val="0.620332093904928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GradeSheet!$H$7:$H$12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C-4A8E-A2DA-A81DF1AD2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905823"/>
        <c:axId val="1378893759"/>
      </c:barChart>
      <c:catAx>
        <c:axId val="137890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93759"/>
        <c:crosses val="autoZero"/>
        <c:auto val="1"/>
        <c:lblAlgn val="ctr"/>
        <c:lblOffset val="100"/>
        <c:noMultiLvlLbl val="0"/>
      </c:catAx>
      <c:valAx>
        <c:axId val="13788937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0582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[Excel-7.xlsx]Sheet3!PivotTable2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Sheet3!$S$3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Sheet3!$R$4:$R$8</c:f>
              <c:strCache>
                <c:ptCount val="4"/>
                <c:pt idx="0">
                  <c:v>Chalie</c:v>
                </c:pt>
                <c:pt idx="1">
                  <c:v>Doug</c:v>
                </c:pt>
                <c:pt idx="2">
                  <c:v>Hellen</c:v>
                </c:pt>
                <c:pt idx="3">
                  <c:v>Juan</c:v>
                </c:pt>
              </c:strCache>
            </c:strRef>
          </c:cat>
          <c:val>
            <c:numRef>
              <c:f>Sheet3!$S$4:$S$8</c:f>
              <c:numCache>
                <c:formatCode>_-[$$-409]* #,##0.00_ ;_-[$$-409]* \-#,##0.00\ ;_-[$$-409]* "-"??_ ;_-@_ </c:formatCode>
                <c:ptCount val="4"/>
                <c:pt idx="0">
                  <c:v>2015.1</c:v>
                </c:pt>
                <c:pt idx="1">
                  <c:v>2235.8999999999996</c:v>
                </c:pt>
                <c:pt idx="2">
                  <c:v>1084.0999999999999</c:v>
                </c:pt>
                <c:pt idx="3">
                  <c:v>1021.6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7-45D5-8357-5D82EF1B3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152401</xdr:colOff>
      <xdr:row>3</xdr:row>
      <xdr:rowOff>1652587</xdr:rowOff>
    </xdr:from>
    <xdr:to>
      <xdr:col>22</xdr:col>
      <xdr:colOff>350424</xdr:colOff>
      <xdr:row>18</xdr:row>
      <xdr:rowOff>66977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CF640D-B1FB-6DE8-18D8-495C893F3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142354</xdr:colOff>
      <xdr:row>18</xdr:row>
      <xdr:rowOff>83318</xdr:rowOff>
    </xdr:from>
    <xdr:to>
      <xdr:col>22</xdr:col>
      <xdr:colOff>340307</xdr:colOff>
      <xdr:row>33</xdr:row>
      <xdr:rowOff>419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303CDD-5C35-C1B9-CC33-CB49003C9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377861</xdr:colOff>
      <xdr:row>3</xdr:row>
      <xdr:rowOff>1653372</xdr:rowOff>
    </xdr:from>
    <xdr:to>
      <xdr:col>29</xdr:col>
      <xdr:colOff>151606</xdr:colOff>
      <xdr:row>18</xdr:row>
      <xdr:rowOff>94622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89761E-88DE-2AB0-7E07-3CA5CD8CF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388327</xdr:colOff>
      <xdr:row>18</xdr:row>
      <xdr:rowOff>125185</xdr:rowOff>
    </xdr:from>
    <xdr:to>
      <xdr:col>29</xdr:col>
      <xdr:colOff>170712</xdr:colOff>
      <xdr:row>33</xdr:row>
      <xdr:rowOff>42286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0225A0-C1D9-7112-CFC6-691284C43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1</xdr:row>
      <xdr:rowOff>195262</xdr:rowOff>
    </xdr:from>
    <xdr:to>
      <xdr:col>24</xdr:col>
      <xdr:colOff>85725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1D934-B2A1-8D7A-7390-A84C88D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an Singh" refreshedDate="44731.599579282411" createdVersion="8" refreshedVersion="8" minRefreshableVersion="3" recordCount="171" xr:uid="{88E1083D-6814-4B4A-B95D-DDC0B7E5AF3F}">
  <cacheSource type="worksheet">
    <worksheetSource name="Table4"/>
  </cacheSource>
  <cacheFields count="11">
    <cacheField name="Month" numFmtId="14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72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4">
      <sharedItems containsSemiMixedTypes="0" containsString="0" containsNumber="1" minValue="3" maxValue="344"/>
    </cacheField>
    <cacheField name="Sale Price" numFmtId="164">
      <sharedItems containsSemiMixedTypes="0" containsString="0" containsNumber="1" minValue="7" maxValue="502"/>
    </cacheField>
    <cacheField name="Profit" numFmtId="164">
      <sharedItems containsSemiMixedTypes="0" containsString="0" containsNumber="1" minValue="2.9999999999999991" maxValue="158"/>
    </cacheField>
    <cacheField name="Commision 10%" numFmtId="0">
      <sharedItems containsSemiMixedTypes="0" containsString="0" containsNumber="1" minValue="0.29999999999999993" maxValue="31.6"/>
    </cacheField>
    <cacheField name="First Name" numFmtId="0">
      <sharedItems count="4">
        <s v="Chalie"/>
        <s v="Juan"/>
        <s v="Doug"/>
        <s v="Hellen"/>
      </sharedItems>
    </cacheField>
    <cacheField name="Last Name" numFmtId="0">
      <sharedItems/>
    </cacheField>
    <cacheField name="Sale Location" numFmtId="0">
      <sharedItems count="6">
        <s v="NM"/>
        <s v="CA"/>
        <s v="AZ"/>
        <s v="CO"/>
        <s v="NV"/>
        <s v="U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n v="1001"/>
    <n v="9822"/>
    <s v="Pool Cover"/>
    <n v="58.3"/>
    <n v="98.4"/>
    <n v="40.100000000000009"/>
    <n v="4.0100000000000007"/>
    <x v="0"/>
    <s v="Barns"/>
    <x v="0"/>
  </r>
  <r>
    <x v="0"/>
    <n v="1002"/>
    <n v="2877"/>
    <s v="Net"/>
    <n v="11.4"/>
    <n v="16.3"/>
    <n v="4.9000000000000004"/>
    <n v="0.49000000000000005"/>
    <x v="1"/>
    <s v="Hernandez"/>
    <x v="1"/>
  </r>
  <r>
    <x v="0"/>
    <n v="1003"/>
    <n v="2499"/>
    <s v="8 ft Hose"/>
    <n v="6.2"/>
    <n v="9.1999999999999993"/>
    <n v="2.9999999999999991"/>
    <n v="0.29999999999999993"/>
    <x v="2"/>
    <s v="Smith"/>
    <x v="2"/>
  </r>
  <r>
    <x v="0"/>
    <n v="1004"/>
    <n v="8722"/>
    <s v="Water Pump"/>
    <n v="344"/>
    <n v="502"/>
    <n v="158"/>
    <n v="31.6"/>
    <x v="0"/>
    <s v="Barns"/>
    <x v="2"/>
  </r>
  <r>
    <x v="0"/>
    <n v="1005"/>
    <n v="1109"/>
    <s v="Chlorine Test Kit"/>
    <n v="3"/>
    <n v="8"/>
    <n v="5"/>
    <n v="0.5"/>
    <x v="2"/>
    <s v="Smith"/>
    <x v="2"/>
  </r>
  <r>
    <x v="0"/>
    <n v="1006"/>
    <n v="9822"/>
    <s v="Pool Cover"/>
    <n v="58.3"/>
    <n v="98.4"/>
    <n v="40.100000000000009"/>
    <n v="4.0100000000000007"/>
    <x v="2"/>
    <s v="Smith"/>
    <x v="2"/>
  </r>
  <r>
    <x v="0"/>
    <n v="1007"/>
    <n v="1109"/>
    <s v="Chlorine Test Kit"/>
    <n v="3"/>
    <n v="8"/>
    <n v="5"/>
    <n v="0.5"/>
    <x v="3"/>
    <s v="Johnson"/>
    <x v="0"/>
  </r>
  <r>
    <x v="0"/>
    <n v="1008"/>
    <n v="2877"/>
    <s v="Net"/>
    <n v="11.4"/>
    <n v="16.3"/>
    <n v="4.9000000000000004"/>
    <n v="0.49000000000000005"/>
    <x v="2"/>
    <s v="Smith"/>
    <x v="0"/>
  </r>
  <r>
    <x v="0"/>
    <n v="1009"/>
    <n v="1109"/>
    <s v="Chlorine Test Kit"/>
    <n v="3"/>
    <n v="8"/>
    <n v="5"/>
    <n v="0.5"/>
    <x v="2"/>
    <s v="Smith"/>
    <x v="2"/>
  </r>
  <r>
    <x v="0"/>
    <n v="1010"/>
    <n v="2877"/>
    <s v="Net"/>
    <n v="11.4"/>
    <n v="16.3"/>
    <n v="4.9000000000000004"/>
    <n v="0.49000000000000005"/>
    <x v="1"/>
    <s v="Hernandez"/>
    <x v="3"/>
  </r>
  <r>
    <x v="0"/>
    <n v="1011"/>
    <n v="2877"/>
    <s v="Net"/>
    <n v="11.4"/>
    <n v="16.3"/>
    <n v="4.9000000000000004"/>
    <n v="0.49000000000000005"/>
    <x v="1"/>
    <s v="Hernandez"/>
    <x v="2"/>
  </r>
  <r>
    <x v="0"/>
    <n v="1012"/>
    <n v="4421"/>
    <s v="Skimmer"/>
    <n v="45"/>
    <n v="87"/>
    <n v="42"/>
    <n v="4.2"/>
    <x v="2"/>
    <s v="Smith"/>
    <x v="0"/>
  </r>
  <r>
    <x v="0"/>
    <n v="1013"/>
    <n v="9212"/>
    <s v="1 Gal Muratic Acid"/>
    <n v="4"/>
    <n v="7"/>
    <n v="3"/>
    <n v="0.30000000000000004"/>
    <x v="3"/>
    <s v="Johnson"/>
    <x v="3"/>
  </r>
  <r>
    <x v="0"/>
    <n v="1014"/>
    <n v="8722"/>
    <s v="Water Pump"/>
    <n v="344"/>
    <n v="502"/>
    <n v="158"/>
    <n v="31.6"/>
    <x v="0"/>
    <s v="Barns"/>
    <x v="1"/>
  </r>
  <r>
    <x v="0"/>
    <n v="1015"/>
    <n v="2877"/>
    <s v="Net"/>
    <n v="11.4"/>
    <n v="16.3"/>
    <n v="4.9000000000000004"/>
    <n v="0.49000000000000005"/>
    <x v="3"/>
    <s v="Johnson"/>
    <x v="2"/>
  </r>
  <r>
    <x v="0"/>
    <n v="1016"/>
    <n v="2499"/>
    <s v="8 ft Hose"/>
    <n v="6.2"/>
    <n v="9.1999999999999993"/>
    <n v="2.9999999999999991"/>
    <n v="0.29999999999999993"/>
    <x v="2"/>
    <s v="Smith"/>
    <x v="1"/>
  </r>
  <r>
    <x v="1"/>
    <n v="1017"/>
    <n v="2242"/>
    <s v="AutoVac"/>
    <n v="60"/>
    <n v="124"/>
    <n v="64"/>
    <n v="12.8"/>
    <x v="1"/>
    <s v="Hernandez"/>
    <x v="0"/>
  </r>
  <r>
    <x v="1"/>
    <n v="1018"/>
    <n v="1109"/>
    <s v="Chlorine Test Kit"/>
    <n v="3"/>
    <n v="8"/>
    <n v="5"/>
    <n v="0.5"/>
    <x v="2"/>
    <s v="Smith"/>
    <x v="1"/>
  </r>
  <r>
    <x v="1"/>
    <n v="1019"/>
    <n v="2499"/>
    <s v="8 ft Hose"/>
    <n v="6.2"/>
    <n v="9.1999999999999993"/>
    <n v="2.9999999999999991"/>
    <n v="0.29999999999999993"/>
    <x v="2"/>
    <s v="Smith"/>
    <x v="3"/>
  </r>
  <r>
    <x v="1"/>
    <n v="1020"/>
    <n v="2499"/>
    <s v="8 ft Hose"/>
    <n v="6.2"/>
    <n v="9.1999999999999993"/>
    <n v="2.9999999999999991"/>
    <n v="0.29999999999999993"/>
    <x v="2"/>
    <s v="Smith"/>
    <x v="4"/>
  </r>
  <r>
    <x v="1"/>
    <n v="1021"/>
    <n v="1109"/>
    <s v="Chlorine Test Kit"/>
    <n v="3"/>
    <n v="8"/>
    <n v="5"/>
    <n v="0.5"/>
    <x v="1"/>
    <s v="Hernandez"/>
    <x v="3"/>
  </r>
  <r>
    <x v="1"/>
    <n v="1022"/>
    <n v="2877"/>
    <s v="Net"/>
    <n v="11.4"/>
    <n v="16.3"/>
    <n v="4.9000000000000004"/>
    <n v="0.49000000000000005"/>
    <x v="2"/>
    <s v="Smith"/>
    <x v="5"/>
  </r>
  <r>
    <x v="1"/>
    <n v="1023"/>
    <n v="1109"/>
    <s v="Chlorine Test Kit"/>
    <n v="3"/>
    <n v="8"/>
    <n v="5"/>
    <n v="0.5"/>
    <x v="3"/>
    <s v="Johnson"/>
    <x v="0"/>
  </r>
  <r>
    <x v="1"/>
    <n v="1024"/>
    <n v="9212"/>
    <s v="1 Gal Muratic Acid"/>
    <n v="4"/>
    <n v="7"/>
    <n v="3"/>
    <n v="0.30000000000000004"/>
    <x v="1"/>
    <s v="Hernandez"/>
    <x v="5"/>
  </r>
  <r>
    <x v="1"/>
    <n v="1025"/>
    <n v="2877"/>
    <s v="Net"/>
    <n v="11.4"/>
    <n v="16.3"/>
    <n v="4.9000000000000004"/>
    <n v="0.49000000000000005"/>
    <x v="3"/>
    <s v="Johnson"/>
    <x v="4"/>
  </r>
  <r>
    <x v="1"/>
    <n v="1026"/>
    <n v="6119"/>
    <s v="Algea Killer 8 oz"/>
    <n v="9"/>
    <n v="14"/>
    <n v="5"/>
    <n v="0.5"/>
    <x v="3"/>
    <s v="Johnson"/>
    <x v="0"/>
  </r>
  <r>
    <x v="1"/>
    <n v="1027"/>
    <n v="6119"/>
    <s v="Algea Killer 8 oz"/>
    <n v="9"/>
    <n v="14"/>
    <n v="5"/>
    <n v="0.5"/>
    <x v="0"/>
    <s v="Barns"/>
    <x v="4"/>
  </r>
  <r>
    <x v="1"/>
    <n v="1028"/>
    <n v="8722"/>
    <s v="Water Pump"/>
    <n v="344"/>
    <n v="502"/>
    <n v="158"/>
    <n v="31.6"/>
    <x v="0"/>
    <s v="Barns"/>
    <x v="2"/>
  </r>
  <r>
    <x v="1"/>
    <n v="1029"/>
    <n v="2499"/>
    <s v="8 ft Hose"/>
    <n v="6.2"/>
    <n v="9.1999999999999993"/>
    <n v="2.9999999999999991"/>
    <n v="0.29999999999999993"/>
    <x v="1"/>
    <s v="Hernandez"/>
    <x v="2"/>
  </r>
  <r>
    <x v="1"/>
    <n v="1030"/>
    <n v="4421"/>
    <s v="Skimmer"/>
    <n v="45"/>
    <n v="87"/>
    <n v="42"/>
    <n v="4.2"/>
    <x v="1"/>
    <s v="Hernandez"/>
    <x v="4"/>
  </r>
  <r>
    <x v="1"/>
    <n v="1031"/>
    <n v="1109"/>
    <s v="Chlorine Test Kit"/>
    <n v="3"/>
    <n v="8"/>
    <n v="5"/>
    <n v="0.5"/>
    <x v="1"/>
    <s v="Hernandez"/>
    <x v="1"/>
  </r>
  <r>
    <x v="1"/>
    <n v="1032"/>
    <n v="2877"/>
    <s v="Net"/>
    <n v="11.4"/>
    <n v="16.3"/>
    <n v="4.9000000000000004"/>
    <n v="0.49000000000000005"/>
    <x v="0"/>
    <s v="Barns"/>
    <x v="2"/>
  </r>
  <r>
    <x v="1"/>
    <n v="1033"/>
    <n v="9822"/>
    <s v="Pool Cover"/>
    <n v="58.3"/>
    <n v="98.4"/>
    <n v="40.100000000000009"/>
    <n v="4.0100000000000007"/>
    <x v="1"/>
    <s v="Hernandez"/>
    <x v="1"/>
  </r>
  <r>
    <x v="1"/>
    <n v="1034"/>
    <n v="2877"/>
    <s v="Net"/>
    <n v="11.4"/>
    <n v="16.3"/>
    <n v="4.9000000000000004"/>
    <n v="0.49000000000000005"/>
    <x v="1"/>
    <s v="Hernandez"/>
    <x v="3"/>
  </r>
  <r>
    <x v="2"/>
    <n v="1035"/>
    <n v="2499"/>
    <s v="8 ft Hose"/>
    <n v="6.2"/>
    <n v="9.1999999999999993"/>
    <n v="2.9999999999999991"/>
    <n v="0.29999999999999993"/>
    <x v="3"/>
    <s v="Johnson"/>
    <x v="1"/>
  </r>
  <r>
    <x v="2"/>
    <n v="1036"/>
    <n v="2499"/>
    <s v="8 ft Hose"/>
    <n v="6.2"/>
    <n v="9.1999999999999993"/>
    <n v="2.9999999999999991"/>
    <n v="0.29999999999999993"/>
    <x v="1"/>
    <s v="Hernandez"/>
    <x v="4"/>
  </r>
  <r>
    <x v="2"/>
    <n v="1037"/>
    <n v="6622"/>
    <s v="5 Gal Chlorine"/>
    <n v="42"/>
    <n v="77"/>
    <n v="35"/>
    <n v="3.5"/>
    <x v="1"/>
    <s v="Hernandez"/>
    <x v="4"/>
  </r>
  <r>
    <x v="2"/>
    <n v="1038"/>
    <n v="2499"/>
    <s v="8 ft Hose"/>
    <n v="6.2"/>
    <n v="9.1999999999999993"/>
    <n v="2.9999999999999991"/>
    <n v="0.29999999999999993"/>
    <x v="1"/>
    <s v="Hernandez"/>
    <x v="4"/>
  </r>
  <r>
    <x v="2"/>
    <n v="1039"/>
    <n v="2877"/>
    <s v="Net"/>
    <n v="11.4"/>
    <n v="16.3"/>
    <n v="4.9000000000000004"/>
    <n v="0.49000000000000005"/>
    <x v="1"/>
    <s v="Hernandez"/>
    <x v="1"/>
  </r>
  <r>
    <x v="2"/>
    <n v="1040"/>
    <n v="1109"/>
    <s v="Chlorine Test Kit"/>
    <n v="3"/>
    <n v="8"/>
    <n v="5"/>
    <n v="0.5"/>
    <x v="1"/>
    <s v="Hernandez"/>
    <x v="2"/>
  </r>
  <r>
    <x v="2"/>
    <n v="1041"/>
    <n v="2499"/>
    <s v="8 ft Hose"/>
    <n v="6.2"/>
    <n v="9.1999999999999993"/>
    <n v="2.9999999999999991"/>
    <n v="0.29999999999999993"/>
    <x v="0"/>
    <s v="Barns"/>
    <x v="0"/>
  </r>
  <r>
    <x v="2"/>
    <n v="1042"/>
    <n v="8722"/>
    <s v="Water Pump"/>
    <n v="344"/>
    <n v="502"/>
    <n v="158"/>
    <n v="31.6"/>
    <x v="2"/>
    <s v="Smith"/>
    <x v="0"/>
  </r>
  <r>
    <x v="2"/>
    <n v="1043"/>
    <n v="2242"/>
    <s v="AutoVac"/>
    <n v="60"/>
    <n v="124"/>
    <n v="64"/>
    <n v="12.8"/>
    <x v="2"/>
    <s v="Smith"/>
    <x v="1"/>
  </r>
  <r>
    <x v="2"/>
    <n v="1044"/>
    <n v="2877"/>
    <s v="Net"/>
    <n v="11.4"/>
    <n v="16.3"/>
    <n v="4.9000000000000004"/>
    <n v="0.49000000000000005"/>
    <x v="2"/>
    <s v="Smith"/>
    <x v="1"/>
  </r>
  <r>
    <x v="2"/>
    <n v="1045"/>
    <n v="8722"/>
    <s v="Water Pump"/>
    <n v="344"/>
    <n v="502"/>
    <n v="158"/>
    <n v="31.6"/>
    <x v="3"/>
    <s v="Johnson"/>
    <x v="2"/>
  </r>
  <r>
    <x v="2"/>
    <n v="1046"/>
    <n v="6119"/>
    <s v="Algea Killer 8 oz"/>
    <n v="9"/>
    <n v="14"/>
    <n v="5"/>
    <n v="0.5"/>
    <x v="1"/>
    <s v="Hernandez"/>
    <x v="5"/>
  </r>
  <r>
    <x v="2"/>
    <n v="1047"/>
    <n v="6622"/>
    <s v="5 Gal Chlorine"/>
    <n v="42"/>
    <n v="77"/>
    <n v="35"/>
    <n v="3.5"/>
    <x v="3"/>
    <s v="Johnson"/>
    <x v="2"/>
  </r>
  <r>
    <x v="2"/>
    <n v="1048"/>
    <n v="8722"/>
    <s v="Water Pump"/>
    <n v="344"/>
    <n v="502"/>
    <n v="158"/>
    <n v="31.6"/>
    <x v="0"/>
    <s v="Barns"/>
    <x v="2"/>
  </r>
  <r>
    <x v="3"/>
    <n v="1049"/>
    <n v="2499"/>
    <s v="8 ft Hose"/>
    <n v="6.2"/>
    <n v="9.1999999999999993"/>
    <n v="2.9999999999999991"/>
    <n v="0.29999999999999993"/>
    <x v="0"/>
    <s v="Barns"/>
    <x v="3"/>
  </r>
  <r>
    <x v="3"/>
    <n v="1050"/>
    <n v="2877"/>
    <s v="Net"/>
    <n v="11.4"/>
    <n v="16.3"/>
    <n v="4.9000000000000004"/>
    <n v="0.49000000000000005"/>
    <x v="0"/>
    <s v="Barns"/>
    <x v="2"/>
  </r>
  <r>
    <x v="3"/>
    <n v="1051"/>
    <n v="6119"/>
    <s v="Algea Killer 8 oz"/>
    <n v="9"/>
    <n v="14"/>
    <n v="5"/>
    <n v="0.5"/>
    <x v="2"/>
    <s v="Smith"/>
    <x v="5"/>
  </r>
  <r>
    <x v="3"/>
    <n v="1052"/>
    <n v="6622"/>
    <s v="5 Gal Chlorine"/>
    <n v="42"/>
    <n v="77"/>
    <n v="35"/>
    <n v="3.5"/>
    <x v="2"/>
    <s v="Smith"/>
    <x v="2"/>
  </r>
  <r>
    <x v="3"/>
    <n v="1053"/>
    <n v="2242"/>
    <s v="AutoVac"/>
    <n v="60"/>
    <n v="124"/>
    <n v="64"/>
    <n v="12.8"/>
    <x v="0"/>
    <s v="Barns"/>
    <x v="1"/>
  </r>
  <r>
    <x v="3"/>
    <n v="1054"/>
    <n v="4421"/>
    <s v="Skimmer"/>
    <n v="45"/>
    <n v="87"/>
    <n v="42"/>
    <n v="4.2"/>
    <x v="2"/>
    <s v="Smith"/>
    <x v="4"/>
  </r>
  <r>
    <x v="3"/>
    <n v="1055"/>
    <n v="6119"/>
    <s v="Algea Killer 8 oz"/>
    <n v="9"/>
    <n v="14"/>
    <n v="5"/>
    <n v="0.5"/>
    <x v="1"/>
    <s v="Hernandez"/>
    <x v="4"/>
  </r>
  <r>
    <x v="3"/>
    <n v="1056"/>
    <n v="1109"/>
    <s v="Chlorine Test Kit"/>
    <n v="3"/>
    <n v="8"/>
    <n v="5"/>
    <n v="0.5"/>
    <x v="2"/>
    <s v="Smith"/>
    <x v="1"/>
  </r>
  <r>
    <x v="3"/>
    <n v="1057"/>
    <n v="2499"/>
    <s v="8 ft Hose"/>
    <n v="6.2"/>
    <n v="9.1999999999999993"/>
    <n v="2.9999999999999991"/>
    <n v="0.29999999999999993"/>
    <x v="1"/>
    <s v="Hernandez"/>
    <x v="1"/>
  </r>
  <r>
    <x v="3"/>
    <n v="1058"/>
    <n v="6119"/>
    <s v="Algea Killer 8 oz"/>
    <n v="9"/>
    <n v="14"/>
    <n v="5"/>
    <n v="0.5"/>
    <x v="3"/>
    <s v="Johnson"/>
    <x v="2"/>
  </r>
  <r>
    <x v="3"/>
    <n v="1059"/>
    <n v="2242"/>
    <s v="AutoVac"/>
    <n v="60"/>
    <n v="124"/>
    <n v="64"/>
    <n v="12.8"/>
    <x v="2"/>
    <s v="Smith"/>
    <x v="2"/>
  </r>
  <r>
    <x v="3"/>
    <n v="1060"/>
    <n v="6119"/>
    <s v="Algea Killer 8 oz"/>
    <n v="9"/>
    <n v="14"/>
    <n v="5"/>
    <n v="0.5"/>
    <x v="2"/>
    <s v="Smith"/>
    <x v="4"/>
  </r>
  <r>
    <x v="4"/>
    <n v="1061"/>
    <n v="1109"/>
    <s v="Chlorine Test Kit"/>
    <n v="3"/>
    <n v="8"/>
    <n v="5"/>
    <n v="0.5"/>
    <x v="2"/>
    <s v="Smith"/>
    <x v="4"/>
  </r>
  <r>
    <x v="4"/>
    <n v="1062"/>
    <n v="2499"/>
    <s v="8 ft Hose"/>
    <n v="6.2"/>
    <n v="9.1999999999999993"/>
    <n v="2.9999999999999991"/>
    <n v="0.29999999999999993"/>
    <x v="0"/>
    <s v="Barns"/>
    <x v="2"/>
  </r>
  <r>
    <x v="4"/>
    <n v="1063"/>
    <n v="1109"/>
    <s v="Chlorine Test Kit"/>
    <n v="3"/>
    <n v="8"/>
    <n v="5"/>
    <n v="0.5"/>
    <x v="2"/>
    <s v="Smith"/>
    <x v="1"/>
  </r>
  <r>
    <x v="4"/>
    <n v="1064"/>
    <n v="2499"/>
    <s v="8 ft Hose"/>
    <n v="6.2"/>
    <n v="9.1999999999999993"/>
    <n v="2.9999999999999991"/>
    <n v="0.29999999999999993"/>
    <x v="3"/>
    <s v="Johnson"/>
    <x v="2"/>
  </r>
  <r>
    <x v="4"/>
    <n v="1065"/>
    <n v="2499"/>
    <s v="8 ft Hose"/>
    <n v="6.2"/>
    <n v="9.1999999999999993"/>
    <n v="2.9999999999999991"/>
    <n v="0.29999999999999993"/>
    <x v="2"/>
    <s v="Smith"/>
    <x v="0"/>
  </r>
  <r>
    <x v="4"/>
    <n v="1066"/>
    <n v="2877"/>
    <s v="Net"/>
    <n v="11.4"/>
    <n v="16.3"/>
    <n v="4.9000000000000004"/>
    <n v="0.49000000000000005"/>
    <x v="2"/>
    <s v="Smith"/>
    <x v="4"/>
  </r>
  <r>
    <x v="4"/>
    <n v="1067"/>
    <n v="2877"/>
    <s v="Net"/>
    <n v="11.4"/>
    <n v="16.3"/>
    <n v="4.9000000000000004"/>
    <n v="0.49000000000000005"/>
    <x v="2"/>
    <s v="Smith"/>
    <x v="5"/>
  </r>
  <r>
    <x v="4"/>
    <n v="1068"/>
    <n v="6119"/>
    <s v="Algea Killer 8 oz"/>
    <n v="9"/>
    <n v="14"/>
    <n v="5"/>
    <n v="0.5"/>
    <x v="1"/>
    <s v="Hernandez"/>
    <x v="1"/>
  </r>
  <r>
    <x v="4"/>
    <n v="1069"/>
    <n v="1109"/>
    <s v="Chlorine Test Kit"/>
    <n v="3"/>
    <n v="8"/>
    <n v="5"/>
    <n v="0.5"/>
    <x v="2"/>
    <s v="Smith"/>
    <x v="2"/>
  </r>
  <r>
    <x v="4"/>
    <n v="1070"/>
    <n v="2499"/>
    <s v="8 ft Hose"/>
    <n v="6.2"/>
    <n v="9.1999999999999993"/>
    <n v="2.9999999999999991"/>
    <n v="0.29999999999999993"/>
    <x v="3"/>
    <s v="Johnson"/>
    <x v="2"/>
  </r>
  <r>
    <x v="4"/>
    <n v="1071"/>
    <n v="1109"/>
    <s v="Chlorine Test Kit"/>
    <n v="3"/>
    <n v="8"/>
    <n v="5"/>
    <n v="0.5"/>
    <x v="0"/>
    <s v="Barns"/>
    <x v="2"/>
  </r>
  <r>
    <x v="4"/>
    <n v="1072"/>
    <n v="1109"/>
    <s v="Chlorine Test Kit"/>
    <n v="3"/>
    <n v="8"/>
    <n v="5"/>
    <n v="0.5"/>
    <x v="2"/>
    <s v="Smith"/>
    <x v="4"/>
  </r>
  <r>
    <x v="4"/>
    <n v="1073"/>
    <n v="6622"/>
    <s v="5 Gal Chlorine"/>
    <n v="42"/>
    <n v="77"/>
    <n v="35"/>
    <n v="3.5"/>
    <x v="2"/>
    <s v="Smith"/>
    <x v="1"/>
  </r>
  <r>
    <x v="4"/>
    <n v="1074"/>
    <n v="2877"/>
    <s v="Net"/>
    <n v="11.4"/>
    <n v="16.3"/>
    <n v="4.9000000000000004"/>
    <n v="0.49000000000000005"/>
    <x v="2"/>
    <s v="Smith"/>
    <x v="2"/>
  </r>
  <r>
    <x v="4"/>
    <n v="1075"/>
    <n v="1109"/>
    <s v="Chlorine Test Kit"/>
    <n v="3"/>
    <n v="8"/>
    <n v="5"/>
    <n v="0.5"/>
    <x v="3"/>
    <s v="Johnson"/>
    <x v="1"/>
  </r>
  <r>
    <x v="4"/>
    <n v="1076"/>
    <n v="1109"/>
    <s v="Chlorine Test Kit"/>
    <n v="3"/>
    <n v="8"/>
    <n v="5"/>
    <n v="0.5"/>
    <x v="1"/>
    <s v="Hernandez"/>
    <x v="2"/>
  </r>
  <r>
    <x v="4"/>
    <n v="1077"/>
    <n v="9822"/>
    <s v="Pool Cover"/>
    <n v="58.3"/>
    <n v="98.4"/>
    <n v="40.100000000000009"/>
    <n v="4.0100000000000007"/>
    <x v="3"/>
    <s v="Johnson"/>
    <x v="2"/>
  </r>
  <r>
    <x v="4"/>
    <n v="1078"/>
    <n v="2877"/>
    <s v="Net"/>
    <n v="11.4"/>
    <n v="16.3"/>
    <n v="4.9000000000000004"/>
    <n v="0.49000000000000005"/>
    <x v="1"/>
    <s v="Hernandez"/>
    <x v="4"/>
  </r>
  <r>
    <x v="5"/>
    <n v="1079"/>
    <n v="2877"/>
    <s v="Net"/>
    <n v="11.4"/>
    <n v="16.3"/>
    <n v="4.9000000000000004"/>
    <n v="0.49000000000000005"/>
    <x v="1"/>
    <s v="Hernandez"/>
    <x v="0"/>
  </r>
  <r>
    <x v="5"/>
    <n v="1080"/>
    <n v="4421"/>
    <s v="Skimmer"/>
    <n v="45"/>
    <n v="87"/>
    <n v="42"/>
    <n v="4.2"/>
    <x v="2"/>
    <s v="Smith"/>
    <x v="1"/>
  </r>
  <r>
    <x v="5"/>
    <n v="1081"/>
    <n v="6119"/>
    <s v="Algea Killer 8 oz"/>
    <n v="9"/>
    <n v="14"/>
    <n v="5"/>
    <n v="0.5"/>
    <x v="2"/>
    <s v="Smith"/>
    <x v="5"/>
  </r>
  <r>
    <x v="5"/>
    <n v="1082"/>
    <n v="1109"/>
    <s v="Chlorine Test Kit"/>
    <n v="3"/>
    <n v="8"/>
    <n v="5"/>
    <n v="0.5"/>
    <x v="0"/>
    <s v="Barns"/>
    <x v="1"/>
  </r>
  <r>
    <x v="5"/>
    <n v="1083"/>
    <n v="1109"/>
    <s v="Chlorine Test Kit"/>
    <n v="3"/>
    <n v="8"/>
    <n v="5"/>
    <n v="0.5"/>
    <x v="0"/>
    <s v="Barns"/>
    <x v="4"/>
  </r>
  <r>
    <x v="5"/>
    <n v="1084"/>
    <n v="6119"/>
    <s v="Algea Killer 8 oz"/>
    <n v="9"/>
    <n v="14"/>
    <n v="5"/>
    <n v="0.5"/>
    <x v="0"/>
    <s v="Barns"/>
    <x v="2"/>
  </r>
  <r>
    <x v="5"/>
    <n v="1085"/>
    <n v="9822"/>
    <s v="Pool Cover"/>
    <n v="58.3"/>
    <n v="98.4"/>
    <n v="40.100000000000009"/>
    <n v="4.0100000000000007"/>
    <x v="2"/>
    <s v="Smith"/>
    <x v="4"/>
  </r>
  <r>
    <x v="5"/>
    <n v="1086"/>
    <n v="1109"/>
    <s v="Chlorine Test Kit"/>
    <n v="3"/>
    <n v="8"/>
    <n v="5"/>
    <n v="0.5"/>
    <x v="3"/>
    <s v="Johnson"/>
    <x v="2"/>
  </r>
  <r>
    <x v="5"/>
    <n v="1087"/>
    <n v="2499"/>
    <s v="8 ft Hose"/>
    <n v="6.2"/>
    <n v="9.1999999999999993"/>
    <n v="2.9999999999999991"/>
    <n v="0.29999999999999993"/>
    <x v="0"/>
    <s v="Barns"/>
    <x v="1"/>
  </r>
  <r>
    <x v="5"/>
    <n v="1088"/>
    <n v="2499"/>
    <s v="8 ft Hose"/>
    <n v="6.2"/>
    <n v="9.1999999999999993"/>
    <n v="2.9999999999999991"/>
    <n v="0.29999999999999993"/>
    <x v="0"/>
    <s v="Barns"/>
    <x v="0"/>
  </r>
  <r>
    <x v="5"/>
    <n v="1089"/>
    <n v="6119"/>
    <s v="Algea Killer 8 oz"/>
    <n v="9"/>
    <n v="14"/>
    <n v="5"/>
    <n v="0.5"/>
    <x v="2"/>
    <s v="Smith"/>
    <x v="4"/>
  </r>
  <r>
    <x v="5"/>
    <n v="1090"/>
    <n v="2877"/>
    <s v="Net"/>
    <n v="11.4"/>
    <n v="16.3"/>
    <n v="4.9000000000000004"/>
    <n v="0.49000000000000005"/>
    <x v="0"/>
    <s v="Barns"/>
    <x v="1"/>
  </r>
  <r>
    <x v="5"/>
    <n v="1091"/>
    <n v="2877"/>
    <s v="Net"/>
    <n v="11.4"/>
    <n v="16.3"/>
    <n v="4.9000000000000004"/>
    <n v="0.49000000000000005"/>
    <x v="3"/>
    <s v="Johnson"/>
    <x v="4"/>
  </r>
  <r>
    <x v="5"/>
    <n v="1092"/>
    <n v="2877"/>
    <s v="Net"/>
    <n v="11.4"/>
    <n v="16.3"/>
    <n v="4.9000000000000004"/>
    <n v="0.49000000000000005"/>
    <x v="2"/>
    <s v="Smith"/>
    <x v="1"/>
  </r>
  <r>
    <x v="5"/>
    <n v="1093"/>
    <n v="6119"/>
    <s v="Algea Killer 8 oz"/>
    <n v="9"/>
    <n v="14"/>
    <n v="5"/>
    <n v="0.5"/>
    <x v="1"/>
    <s v="Hernandez"/>
    <x v="2"/>
  </r>
  <r>
    <x v="5"/>
    <n v="1094"/>
    <n v="6119"/>
    <s v="Algea Killer 8 oz"/>
    <n v="9"/>
    <n v="14"/>
    <n v="5"/>
    <n v="0.5"/>
    <x v="2"/>
    <s v="Smith"/>
    <x v="1"/>
  </r>
  <r>
    <x v="5"/>
    <n v="1095"/>
    <n v="2499"/>
    <s v="8 ft Hose"/>
    <n v="6.2"/>
    <n v="9.1999999999999993"/>
    <n v="2.9999999999999991"/>
    <n v="0.29999999999999993"/>
    <x v="3"/>
    <s v="Johnson"/>
    <x v="2"/>
  </r>
  <r>
    <x v="5"/>
    <n v="1096"/>
    <n v="6119"/>
    <s v="Algea Killer 8 oz"/>
    <n v="9"/>
    <n v="14"/>
    <n v="5"/>
    <n v="0.5"/>
    <x v="2"/>
    <s v="Smith"/>
    <x v="2"/>
  </r>
  <r>
    <x v="5"/>
    <n v="1097"/>
    <n v="9212"/>
    <s v="1 Gal Muratic Acid"/>
    <n v="4"/>
    <n v="7"/>
    <n v="3"/>
    <n v="0.30000000000000004"/>
    <x v="3"/>
    <s v="Johnson"/>
    <x v="4"/>
  </r>
  <r>
    <x v="5"/>
    <n v="1098"/>
    <n v="2877"/>
    <s v="Net"/>
    <n v="11.4"/>
    <n v="16.3"/>
    <n v="4.9000000000000004"/>
    <n v="0.49000000000000005"/>
    <x v="1"/>
    <s v="Hernandez"/>
    <x v="0"/>
  </r>
  <r>
    <x v="6"/>
    <n v="1099"/>
    <n v="2877"/>
    <s v="Net"/>
    <n v="11.4"/>
    <n v="16.3"/>
    <n v="4.9000000000000004"/>
    <n v="0.49000000000000005"/>
    <x v="2"/>
    <s v="Smith"/>
    <x v="1"/>
  </r>
  <r>
    <x v="6"/>
    <n v="1100"/>
    <n v="6119"/>
    <s v="Algea Killer 8 oz"/>
    <n v="9"/>
    <n v="14"/>
    <n v="5"/>
    <n v="0.5"/>
    <x v="0"/>
    <s v="Barns"/>
    <x v="5"/>
  </r>
  <r>
    <x v="6"/>
    <n v="1101"/>
    <n v="2499"/>
    <s v="8 ft Hose"/>
    <n v="6.2"/>
    <n v="9.1999999999999993"/>
    <n v="2.9999999999999991"/>
    <n v="0.29999999999999993"/>
    <x v="2"/>
    <s v="Smith"/>
    <x v="1"/>
  </r>
  <r>
    <x v="6"/>
    <n v="1102"/>
    <n v="2242"/>
    <s v="AutoVac"/>
    <n v="60"/>
    <n v="124"/>
    <n v="64"/>
    <n v="12.8"/>
    <x v="1"/>
    <s v="Hernandez"/>
    <x v="4"/>
  </r>
  <r>
    <x v="6"/>
    <n v="1103"/>
    <n v="2877"/>
    <s v="Net"/>
    <n v="11.4"/>
    <n v="16.3"/>
    <n v="4.9000000000000004"/>
    <n v="0.49000000000000005"/>
    <x v="1"/>
    <s v="Hernandez"/>
    <x v="2"/>
  </r>
  <r>
    <x v="6"/>
    <n v="1104"/>
    <n v="2877"/>
    <s v="Net"/>
    <n v="11.4"/>
    <n v="16.3"/>
    <n v="4.9000000000000004"/>
    <n v="0.49000000000000005"/>
    <x v="2"/>
    <s v="Smith"/>
    <x v="4"/>
  </r>
  <r>
    <x v="6"/>
    <n v="1105"/>
    <n v="2499"/>
    <s v="8 ft Hose"/>
    <n v="6.2"/>
    <n v="9.1999999999999993"/>
    <n v="2.9999999999999991"/>
    <n v="0.29999999999999993"/>
    <x v="1"/>
    <s v="Hernandez"/>
    <x v="2"/>
  </r>
  <r>
    <x v="6"/>
    <n v="1106"/>
    <n v="9822"/>
    <s v="Pool Cover"/>
    <n v="58.3"/>
    <n v="98.4"/>
    <n v="40.100000000000009"/>
    <n v="4.0100000000000007"/>
    <x v="1"/>
    <s v="Hernandez"/>
    <x v="1"/>
  </r>
  <r>
    <x v="6"/>
    <n v="1107"/>
    <n v="1109"/>
    <s v="Chlorine Test Kit"/>
    <n v="3"/>
    <n v="8"/>
    <n v="5"/>
    <n v="0.5"/>
    <x v="3"/>
    <s v="Johnson"/>
    <x v="0"/>
  </r>
  <r>
    <x v="6"/>
    <n v="1108"/>
    <n v="9822"/>
    <s v="Pool Cover"/>
    <n v="58.3"/>
    <n v="98.4"/>
    <n v="40.100000000000009"/>
    <n v="4.0100000000000007"/>
    <x v="2"/>
    <s v="Smith"/>
    <x v="4"/>
  </r>
  <r>
    <x v="6"/>
    <n v="1109"/>
    <n v="8722"/>
    <s v="Water Pump"/>
    <n v="344"/>
    <n v="502"/>
    <n v="158"/>
    <n v="31.6"/>
    <x v="1"/>
    <s v="Hernandez"/>
    <x v="1"/>
  </r>
  <r>
    <x v="6"/>
    <n v="1110"/>
    <n v="8722"/>
    <s v="Water Pump"/>
    <n v="344"/>
    <n v="502"/>
    <n v="158"/>
    <n v="31.6"/>
    <x v="3"/>
    <s v="Johnson"/>
    <x v="4"/>
  </r>
  <r>
    <x v="6"/>
    <n v="1111"/>
    <n v="6622"/>
    <s v="5 Gal Chlorine"/>
    <n v="42"/>
    <n v="77"/>
    <n v="35"/>
    <n v="3.5"/>
    <x v="3"/>
    <s v="Johnson"/>
    <x v="1"/>
  </r>
  <r>
    <x v="6"/>
    <n v="1112"/>
    <n v="6622"/>
    <s v="5 Gal Chlorine"/>
    <n v="42"/>
    <n v="77"/>
    <n v="35"/>
    <n v="3.5"/>
    <x v="2"/>
    <s v="Smith"/>
    <x v="2"/>
  </r>
  <r>
    <x v="6"/>
    <n v="1113"/>
    <n v="9822"/>
    <s v="Pool Cover"/>
    <n v="58.3"/>
    <n v="98.4"/>
    <n v="40.100000000000009"/>
    <n v="4.0100000000000007"/>
    <x v="0"/>
    <s v="Barns"/>
    <x v="1"/>
  </r>
  <r>
    <x v="6"/>
    <n v="1114"/>
    <n v="2242"/>
    <s v="AutoVac"/>
    <n v="60"/>
    <n v="124"/>
    <n v="64"/>
    <n v="12.8"/>
    <x v="1"/>
    <s v="Hernandez"/>
    <x v="2"/>
  </r>
  <r>
    <x v="6"/>
    <n v="1115"/>
    <n v="8722"/>
    <s v="Water Pump"/>
    <n v="344"/>
    <n v="502"/>
    <n v="158"/>
    <n v="31.6"/>
    <x v="0"/>
    <s v="Barns"/>
    <x v="2"/>
  </r>
  <r>
    <x v="6"/>
    <n v="1116"/>
    <n v="6622"/>
    <s v="5 Gal Chlorine"/>
    <n v="42"/>
    <n v="77"/>
    <n v="35"/>
    <n v="3.5"/>
    <x v="2"/>
    <s v="Smith"/>
    <x v="4"/>
  </r>
  <r>
    <x v="6"/>
    <n v="1117"/>
    <n v="8722"/>
    <s v="Water Pump"/>
    <n v="344"/>
    <n v="502"/>
    <n v="158"/>
    <n v="31.6"/>
    <x v="3"/>
    <s v="Johnson"/>
    <x v="0"/>
  </r>
  <r>
    <x v="6"/>
    <n v="1118"/>
    <n v="9822"/>
    <s v="Pool Cover"/>
    <n v="58.3"/>
    <n v="98.4"/>
    <n v="40.100000000000009"/>
    <n v="4.0100000000000007"/>
    <x v="1"/>
    <s v="Hernandez"/>
    <x v="1"/>
  </r>
  <r>
    <x v="6"/>
    <n v="1119"/>
    <n v="2242"/>
    <s v="AutoVac"/>
    <n v="60"/>
    <n v="124"/>
    <n v="64"/>
    <n v="12.8"/>
    <x v="0"/>
    <s v="Barns"/>
    <x v="5"/>
  </r>
  <r>
    <x v="6"/>
    <n v="1120"/>
    <n v="2242"/>
    <s v="AutoVac"/>
    <n v="60"/>
    <n v="124"/>
    <n v="64"/>
    <n v="12.8"/>
    <x v="2"/>
    <s v="Smith"/>
    <x v="1"/>
  </r>
  <r>
    <x v="6"/>
    <n v="1121"/>
    <n v="4421"/>
    <s v="Skimmer"/>
    <n v="45"/>
    <n v="87"/>
    <n v="42"/>
    <n v="4.2"/>
    <x v="2"/>
    <s v="Smith"/>
    <x v="4"/>
  </r>
  <r>
    <x v="6"/>
    <n v="1122"/>
    <n v="8722"/>
    <s v="Water Pump"/>
    <n v="344"/>
    <n v="502"/>
    <n v="158"/>
    <n v="31.6"/>
    <x v="2"/>
    <s v="Smith"/>
    <x v="2"/>
  </r>
  <r>
    <x v="6"/>
    <n v="1123"/>
    <n v="9822"/>
    <s v="Pool Cover"/>
    <n v="58.3"/>
    <n v="98.4"/>
    <n v="40.100000000000009"/>
    <n v="4.0100000000000007"/>
    <x v="2"/>
    <s v="Smith"/>
    <x v="4"/>
  </r>
  <r>
    <x v="6"/>
    <n v="1124"/>
    <n v="4421"/>
    <s v="Skimmer"/>
    <n v="45"/>
    <n v="87"/>
    <n v="42"/>
    <n v="4.2"/>
    <x v="2"/>
    <s v="Smith"/>
    <x v="2"/>
  </r>
  <r>
    <x v="7"/>
    <n v="1125"/>
    <n v="2242"/>
    <s v="AutoVac"/>
    <n v="60"/>
    <n v="124"/>
    <n v="64"/>
    <n v="12.8"/>
    <x v="2"/>
    <s v="Smith"/>
    <x v="1"/>
  </r>
  <r>
    <x v="7"/>
    <n v="1126"/>
    <n v="9212"/>
    <s v="1 Gal Muratic Acid"/>
    <n v="4"/>
    <n v="7"/>
    <n v="3"/>
    <n v="0.30000000000000004"/>
    <x v="2"/>
    <s v="Smith"/>
    <x v="0"/>
  </r>
  <r>
    <x v="7"/>
    <n v="1127"/>
    <n v="8722"/>
    <s v="Water Pump"/>
    <n v="344"/>
    <n v="502"/>
    <n v="158"/>
    <n v="31.6"/>
    <x v="0"/>
    <s v="Barns"/>
    <x v="4"/>
  </r>
  <r>
    <x v="7"/>
    <n v="1128"/>
    <n v="6622"/>
    <s v="5 Gal Chlorine"/>
    <n v="42"/>
    <n v="77"/>
    <n v="35"/>
    <n v="3.5"/>
    <x v="1"/>
    <s v="Hernandez"/>
    <x v="1"/>
  </r>
  <r>
    <x v="7"/>
    <n v="1129"/>
    <n v="9822"/>
    <s v="Pool Cover"/>
    <n v="58.3"/>
    <n v="98.4"/>
    <n v="40.100000000000009"/>
    <n v="4.0100000000000007"/>
    <x v="3"/>
    <s v="Johnson"/>
    <x v="4"/>
  </r>
  <r>
    <x v="7"/>
    <n v="1130"/>
    <n v="4421"/>
    <s v="Skimmer"/>
    <n v="45"/>
    <n v="87"/>
    <n v="42"/>
    <n v="4.2"/>
    <x v="3"/>
    <s v="Johnson"/>
    <x v="1"/>
  </r>
  <r>
    <x v="7"/>
    <n v="1131"/>
    <n v="9212"/>
    <s v="1 Gal Muratic Acid"/>
    <n v="4"/>
    <n v="7"/>
    <n v="3"/>
    <n v="0.30000000000000004"/>
    <x v="3"/>
    <s v="Johnson"/>
    <x v="2"/>
  </r>
  <r>
    <x v="7"/>
    <n v="1132"/>
    <n v="9212"/>
    <s v="1 Gal Muratic Acid"/>
    <n v="4"/>
    <n v="7"/>
    <n v="3"/>
    <n v="0.30000000000000004"/>
    <x v="3"/>
    <s v="Johnson"/>
    <x v="1"/>
  </r>
  <r>
    <x v="7"/>
    <n v="1133"/>
    <n v="9822"/>
    <s v="Pool Cover"/>
    <n v="58.3"/>
    <n v="98.4"/>
    <n v="40.100000000000009"/>
    <n v="4.0100000000000007"/>
    <x v="0"/>
    <s v="Barns"/>
    <x v="2"/>
  </r>
  <r>
    <x v="7"/>
    <n v="1134"/>
    <n v="9822"/>
    <s v="Pool Cover"/>
    <n v="58.3"/>
    <n v="98.4"/>
    <n v="40.100000000000009"/>
    <n v="4.0100000000000007"/>
    <x v="2"/>
    <s v="Smith"/>
    <x v="2"/>
  </r>
  <r>
    <x v="7"/>
    <n v="1135"/>
    <n v="8722"/>
    <s v="Water Pump"/>
    <n v="344"/>
    <n v="502"/>
    <n v="158"/>
    <n v="31.6"/>
    <x v="0"/>
    <s v="Barns"/>
    <x v="4"/>
  </r>
  <r>
    <x v="7"/>
    <n v="1136"/>
    <n v="2242"/>
    <s v="AutoVac"/>
    <n v="60"/>
    <n v="124"/>
    <n v="64"/>
    <n v="12.8"/>
    <x v="2"/>
    <s v="Smith"/>
    <x v="0"/>
  </r>
  <r>
    <x v="7"/>
    <n v="1137"/>
    <n v="9822"/>
    <s v="Pool Cover"/>
    <n v="58.3"/>
    <n v="98.4"/>
    <n v="40.100000000000009"/>
    <n v="4.0100000000000007"/>
    <x v="1"/>
    <s v="Hernandez"/>
    <x v="1"/>
  </r>
  <r>
    <x v="7"/>
    <n v="1138"/>
    <n v="8722"/>
    <s v="Water Pump"/>
    <n v="344"/>
    <n v="502"/>
    <n v="158"/>
    <n v="31.6"/>
    <x v="0"/>
    <s v="Barns"/>
    <x v="5"/>
  </r>
  <r>
    <x v="7"/>
    <n v="1139"/>
    <n v="4421"/>
    <s v="Skimmer"/>
    <n v="45"/>
    <n v="87"/>
    <n v="42"/>
    <n v="4.2"/>
    <x v="2"/>
    <s v="Smith"/>
    <x v="1"/>
  </r>
  <r>
    <x v="7"/>
    <n v="1140"/>
    <n v="4421"/>
    <s v="Skimmer"/>
    <n v="45"/>
    <n v="87"/>
    <n v="42"/>
    <n v="4.2"/>
    <x v="1"/>
    <s v="Hernandez"/>
    <x v="4"/>
  </r>
  <r>
    <x v="7"/>
    <n v="1141"/>
    <n v="9212"/>
    <s v="1 Gal Muratic Acid"/>
    <n v="4"/>
    <n v="7"/>
    <n v="3"/>
    <n v="0.30000000000000004"/>
    <x v="1"/>
    <s v="Hernandez"/>
    <x v="2"/>
  </r>
  <r>
    <x v="8"/>
    <n v="1142"/>
    <n v="2242"/>
    <s v="AutoVac"/>
    <n v="60"/>
    <n v="124"/>
    <n v="64"/>
    <n v="12.8"/>
    <x v="1"/>
    <s v="Hernandez"/>
    <x v="4"/>
  </r>
  <r>
    <x v="8"/>
    <n v="1143"/>
    <n v="9822"/>
    <s v="Pool Cover"/>
    <n v="58.3"/>
    <n v="98.4"/>
    <n v="40.100000000000009"/>
    <n v="4.0100000000000007"/>
    <x v="3"/>
    <s v="Johnson"/>
    <x v="2"/>
  </r>
  <r>
    <x v="8"/>
    <n v="1144"/>
    <n v="2242"/>
    <s v="AutoVac"/>
    <n v="60"/>
    <n v="124"/>
    <n v="64"/>
    <n v="12.8"/>
    <x v="3"/>
    <s v="Johnson"/>
    <x v="1"/>
  </r>
  <r>
    <x v="8"/>
    <n v="1145"/>
    <n v="4421"/>
    <s v="Skimmer"/>
    <n v="45"/>
    <n v="87"/>
    <n v="42"/>
    <n v="4.2"/>
    <x v="3"/>
    <s v="Johnson"/>
    <x v="0"/>
  </r>
  <r>
    <x v="8"/>
    <n v="1146"/>
    <n v="8722"/>
    <s v="Water Pump"/>
    <n v="344"/>
    <n v="502"/>
    <n v="158"/>
    <n v="31.6"/>
    <x v="3"/>
    <s v="Johnson"/>
    <x v="4"/>
  </r>
  <r>
    <x v="8"/>
    <n v="1147"/>
    <n v="9822"/>
    <s v="Pool Cover"/>
    <n v="58.3"/>
    <n v="98.4"/>
    <n v="40.100000000000009"/>
    <n v="4.0100000000000007"/>
    <x v="0"/>
    <s v="Barns"/>
    <x v="1"/>
  </r>
  <r>
    <x v="8"/>
    <n v="1148"/>
    <n v="9212"/>
    <s v="1 Gal Muratic Acid"/>
    <n v="4"/>
    <n v="7"/>
    <n v="3"/>
    <n v="0.30000000000000004"/>
    <x v="2"/>
    <s v="Smith"/>
    <x v="2"/>
  </r>
  <r>
    <x v="8"/>
    <n v="1149"/>
    <n v="8722"/>
    <s v="Water Pump"/>
    <n v="344"/>
    <n v="502"/>
    <n v="158"/>
    <n v="31.6"/>
    <x v="0"/>
    <s v="Barns"/>
    <x v="2"/>
  </r>
  <r>
    <x v="9"/>
    <n v="1150"/>
    <n v="2242"/>
    <s v="AutoVac"/>
    <n v="60"/>
    <n v="124"/>
    <n v="64"/>
    <n v="12.8"/>
    <x v="2"/>
    <s v="Smith"/>
    <x v="5"/>
  </r>
  <r>
    <x v="9"/>
    <n v="1151"/>
    <n v="2242"/>
    <s v="AutoVac"/>
    <n v="60"/>
    <n v="124"/>
    <n v="64"/>
    <n v="12.8"/>
    <x v="1"/>
    <s v="Hernandez"/>
    <x v="1"/>
  </r>
  <r>
    <x v="9"/>
    <n v="1152"/>
    <n v="4421"/>
    <s v="Skimmer"/>
    <n v="45"/>
    <n v="87"/>
    <n v="42"/>
    <n v="4.2"/>
    <x v="0"/>
    <s v="Barns"/>
    <x v="4"/>
  </r>
  <r>
    <x v="9"/>
    <n v="1153"/>
    <n v="8722"/>
    <s v="Water Pump"/>
    <n v="344"/>
    <n v="502"/>
    <n v="158"/>
    <n v="31.6"/>
    <x v="2"/>
    <s v="Smith"/>
    <x v="2"/>
  </r>
  <r>
    <x v="9"/>
    <n v="1154"/>
    <n v="9822"/>
    <s v="Pool Cover"/>
    <n v="58.3"/>
    <n v="98.4"/>
    <n v="40.100000000000009"/>
    <n v="4.0100000000000007"/>
    <x v="1"/>
    <s v="Hernandez"/>
    <x v="4"/>
  </r>
  <r>
    <x v="9"/>
    <n v="1155"/>
    <n v="4421"/>
    <s v="Skimmer"/>
    <n v="45"/>
    <n v="87"/>
    <n v="42"/>
    <n v="4.2"/>
    <x v="2"/>
    <s v="Smith"/>
    <x v="2"/>
  </r>
  <r>
    <x v="9"/>
    <n v="1156"/>
    <n v="2242"/>
    <s v="AutoVac"/>
    <n v="60"/>
    <n v="124"/>
    <n v="64"/>
    <n v="12.8"/>
    <x v="2"/>
    <s v="Smith"/>
    <x v="1"/>
  </r>
  <r>
    <x v="9"/>
    <n v="1157"/>
    <n v="9212"/>
    <s v="1 Gal Muratic Acid"/>
    <n v="4"/>
    <n v="7"/>
    <n v="3"/>
    <n v="0.30000000000000004"/>
    <x v="2"/>
    <s v="Smith"/>
    <x v="0"/>
  </r>
  <r>
    <x v="10"/>
    <n v="1158"/>
    <n v="8722"/>
    <s v="Water Pump"/>
    <n v="344"/>
    <n v="502"/>
    <n v="158"/>
    <n v="31.6"/>
    <x v="0"/>
    <s v="Barns"/>
    <x v="4"/>
  </r>
  <r>
    <x v="10"/>
    <n v="1159"/>
    <n v="6622"/>
    <s v="5 Gal Chlorine"/>
    <n v="42"/>
    <n v="77"/>
    <n v="35"/>
    <n v="3.5"/>
    <x v="2"/>
    <s v="Smith"/>
    <x v="1"/>
  </r>
  <r>
    <x v="10"/>
    <n v="1160"/>
    <n v="9822"/>
    <s v="Pool Cover"/>
    <n v="58.3"/>
    <n v="98.4"/>
    <n v="40.100000000000009"/>
    <n v="4.0100000000000007"/>
    <x v="3"/>
    <s v="Johnson"/>
    <x v="4"/>
  </r>
  <r>
    <x v="10"/>
    <n v="1161"/>
    <n v="4421"/>
    <s v="Skimmer"/>
    <n v="45"/>
    <n v="87"/>
    <n v="42"/>
    <n v="4.2"/>
    <x v="1"/>
    <s v="Hernandez"/>
    <x v="1"/>
  </r>
  <r>
    <x v="10"/>
    <n v="1162"/>
    <n v="9212"/>
    <s v="1 Gal Muratic Acid"/>
    <n v="4"/>
    <n v="7"/>
    <n v="3"/>
    <n v="0.30000000000000004"/>
    <x v="0"/>
    <s v="Barns"/>
    <x v="2"/>
  </r>
  <r>
    <x v="10"/>
    <n v="1163"/>
    <n v="9212"/>
    <s v="1 Gal Muratic Acid"/>
    <n v="4"/>
    <n v="7"/>
    <n v="3"/>
    <n v="0.30000000000000004"/>
    <x v="2"/>
    <s v="Smith"/>
    <x v="1"/>
  </r>
  <r>
    <x v="10"/>
    <n v="1164"/>
    <n v="9822"/>
    <s v="Pool Cover"/>
    <n v="58.3"/>
    <n v="98.4"/>
    <n v="40.100000000000009"/>
    <n v="4.0100000000000007"/>
    <x v="2"/>
    <s v="Smith"/>
    <x v="2"/>
  </r>
  <r>
    <x v="10"/>
    <n v="1165"/>
    <n v="9822"/>
    <s v="Pool Cover"/>
    <n v="58.3"/>
    <n v="98.4"/>
    <n v="40.100000000000009"/>
    <n v="4.0100000000000007"/>
    <x v="2"/>
    <s v="Smith"/>
    <x v="2"/>
  </r>
  <r>
    <x v="10"/>
    <n v="1166"/>
    <n v="8722"/>
    <s v="Water Pump"/>
    <n v="344"/>
    <n v="502"/>
    <n v="158"/>
    <n v="31.6"/>
    <x v="2"/>
    <s v="Smith"/>
    <x v="4"/>
  </r>
  <r>
    <x v="11"/>
    <n v="1167"/>
    <n v="2242"/>
    <s v="AutoVac"/>
    <n v="60"/>
    <n v="124"/>
    <n v="64"/>
    <n v="12.8"/>
    <x v="2"/>
    <s v="Smith"/>
    <x v="0"/>
  </r>
  <r>
    <x v="11"/>
    <n v="1168"/>
    <n v="9822"/>
    <s v="Pool Cover"/>
    <n v="58.3"/>
    <n v="98.4"/>
    <n v="40.100000000000009"/>
    <n v="4.0100000000000007"/>
    <x v="2"/>
    <s v="Smith"/>
    <x v="1"/>
  </r>
  <r>
    <x v="11"/>
    <n v="1169"/>
    <n v="8722"/>
    <s v="Water Pump"/>
    <n v="344"/>
    <n v="502"/>
    <n v="158"/>
    <n v="31.6"/>
    <x v="2"/>
    <s v="Smith"/>
    <x v="5"/>
  </r>
  <r>
    <x v="11"/>
    <n v="1170"/>
    <n v="4421"/>
    <s v="Skimmer"/>
    <n v="45"/>
    <n v="87"/>
    <n v="42"/>
    <n v="4.2"/>
    <x v="0"/>
    <s v="Barns"/>
    <x v="1"/>
  </r>
  <r>
    <x v="11"/>
    <n v="1171"/>
    <n v="4421"/>
    <s v="Skimmer"/>
    <n v="45"/>
    <n v="87"/>
    <n v="42"/>
    <n v="4.2"/>
    <x v="1"/>
    <s v="Hernandez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B2AE4-09CC-4A6B-BDB4-08BE1913DDB5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R3:S8" firstHeaderRow="1" firstDataRow="1" firstDataCol="1"/>
  <pivotFields count="11">
    <pivotField showAll="0"/>
    <pivotField numFmtId="172" showAll="0"/>
    <pivotField showAll="0"/>
    <pivotField showAll="0"/>
    <pivotField numFmtId="164" showAll="0"/>
    <pivotField numFmtId="164" showAll="0"/>
    <pivotField dataField="1" numFmtId="164"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6" baseField="0" baseItem="0"/>
  </dataFields>
  <formats count="2">
    <format dxfId="6">
      <pivotArea collapsedLevelsAreSubtotals="1" fieldPosition="0">
        <references count="1">
          <reference field="8" count="0"/>
        </references>
      </pivotArea>
    </format>
    <format dxfId="5">
      <pivotArea grandRow="1"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CEC8C-2CD6-4826-B12E-BA84F554F52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6" firstHeaderRow="1" firstDataRow="1" firstDataCol="1" rowPageCount="1" colPageCount="1"/>
  <pivotFields count="11">
    <pivotField axis="axisRow" showAll="0" sortType="ascending">
      <items count="13">
        <item x="0"/>
        <item x="1"/>
        <item x="3"/>
        <item x="5"/>
        <item x="6"/>
        <item x="2"/>
        <item x="4"/>
        <item x="7"/>
        <item x="9"/>
        <item x="10"/>
        <item x="11"/>
        <item x="8"/>
        <item t="default"/>
      </items>
    </pivotField>
    <pivotField numFmtId="172" showAll="0"/>
    <pivotField showAll="0"/>
    <pivotField showAll="0"/>
    <pivotField numFmtId="164" showAll="0"/>
    <pivotField numFmtId="164" showAll="0"/>
    <pivotField dataField="1" numFmtId="164" showAll="0"/>
    <pivotField showAll="0"/>
    <pivotField showAll="0"/>
    <pivotField showAll="0"/>
    <pivotField axis="axisPage" showAll="0">
      <items count="7">
        <item x="2"/>
        <item x="1"/>
        <item x="3"/>
        <item x="0"/>
        <item x="4"/>
        <item x="5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0" hier="-1"/>
  </pageFields>
  <dataFields count="1">
    <dataField name="Sum of Profit" fld="6" baseField="0" baseItem="0"/>
  </dataFields>
  <formats count="2">
    <format dxfId="7">
      <pivotArea collapsedLevelsAreSubtotals="1" fieldPosition="0">
        <references count="1">
          <reference field="0" count="0"/>
        </references>
      </pivotArea>
    </format>
    <format dxfId="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BDAA8F-A6B4-4A25-AEBE-9A49E0A9096C}" name="Table2" displayName="Table2" ref="G11:AC17" totalsRowShown="0" headerRowDxfId="26" dataDxfId="27">
  <autoFilter ref="G11:AC17" xr:uid="{24BDAA8F-A6B4-4A25-AEBE-9A49E0A9096C}"/>
  <tableColumns count="23">
    <tableColumn id="1" xr3:uid="{79DC5868-2461-49CD-9B06-072D36D9EE75}" name="Last Name"/>
    <tableColumn id="2" xr3:uid="{C819FC22-2B5A-4709-BB07-05A393784D39}" name="First Name"/>
    <tableColumn id="3" xr3:uid="{A6E0FD27-7F4C-493A-B0CE-22A8A1C5ECC4}" name="Howerly Wage" dataDxfId="48"/>
    <tableColumn id="4" xr3:uid="{2672C862-0CFD-4790-BCE9-45123758A969}" name="07-Jun" dataDxfId="47"/>
    <tableColumn id="5" xr3:uid="{5A57A480-084B-4500-BC33-7379AC8D26F2}" name="14-Jun" dataDxfId="46"/>
    <tableColumn id="6" xr3:uid="{AA250325-06A9-4EB0-9261-43D6CFBF86E7}" name="21-Jun" dataDxfId="45"/>
    <tableColumn id="7" xr3:uid="{0F2F24DC-6457-4A46-956E-03D7B2ACDFFE}" name="28-Jun" dataDxfId="44"/>
    <tableColumn id="8" xr3:uid="{720465E8-0B47-496F-9410-8ED6835A39F2}" name="07-Jun2" dataDxfId="43">
      <calculatedColumnFormula>IF(J12&gt;15,J12-15,0)</calculatedColumnFormula>
    </tableColumn>
    <tableColumn id="9" xr3:uid="{34F6CD47-8D12-44D6-A7B3-F38F1DAB964D}" name="14-Jun3" dataDxfId="42">
      <calculatedColumnFormula>IF(K12&gt;15,K12-15,0)</calculatedColumnFormula>
    </tableColumn>
    <tableColumn id="10" xr3:uid="{3A363287-DCAA-43AA-8EB3-9BC7C843D3D6}" name="21-Jun4" dataDxfId="41">
      <calculatedColumnFormula>IF(L12&gt;15,L12-15,0)</calculatedColumnFormula>
    </tableColumn>
    <tableColumn id="11" xr3:uid="{BFB750C4-24D7-4A74-9074-32B57E9D3947}" name="28-Jun5" dataDxfId="40">
      <calculatedColumnFormula>IF(M12&gt;15,M12-15,0)</calculatedColumnFormula>
    </tableColumn>
    <tableColumn id="12" xr3:uid="{9250A670-801B-44BE-BA58-6DDC33375BC0}" name="07-Jun6" dataDxfId="39">
      <calculatedColumnFormula>0.5*$I12*N12</calculatedColumnFormula>
    </tableColumn>
    <tableColumn id="13" xr3:uid="{B854C3F2-B4E4-44F1-928A-A8B6040686B0}" name="14-Jun7" dataDxfId="38">
      <calculatedColumnFormula>0.5*$I12*O12</calculatedColumnFormula>
    </tableColumn>
    <tableColumn id="14" xr3:uid="{302A3BF3-53C2-4A79-9D4F-BE9DF37553D2}" name="21-Jun8" dataDxfId="37">
      <calculatedColumnFormula>0.5*$I12*P12</calculatedColumnFormula>
    </tableColumn>
    <tableColumn id="15" xr3:uid="{839BAD39-58F9-4829-B843-8834287326E6}" name="28-Jun9" dataDxfId="36">
      <calculatedColumnFormula>0.5*$I12*Q12</calculatedColumnFormula>
    </tableColumn>
    <tableColumn id="16" xr3:uid="{8FF3C881-F8D8-4DF3-8827-6D1A96111EDD}" name="07-Jun10" dataDxfId="35">
      <calculatedColumnFormula>J12*$I12</calculatedColumnFormula>
    </tableColumn>
    <tableColumn id="17" xr3:uid="{6A509C81-7763-44DF-880A-07CA6A7E2799}" name="14-Jun11" dataDxfId="34">
      <calculatedColumnFormula>K12*$I12</calculatedColumnFormula>
    </tableColumn>
    <tableColumn id="18" xr3:uid="{8C21898D-D743-47C6-BDD3-3316E4421FB8}" name="21-Jun12" dataDxfId="33">
      <calculatedColumnFormula>L12*$I12</calculatedColumnFormula>
    </tableColumn>
    <tableColumn id="19" xr3:uid="{033CF556-949F-46B8-B53A-EA059049E781}" name="28-Jun13" dataDxfId="32">
      <calculatedColumnFormula>M12*$I12</calculatedColumnFormula>
    </tableColumn>
    <tableColumn id="20" xr3:uid="{76C5BDBF-54E2-4DAE-AA93-9DCEC3D2FF6C}" name="07-Jun14" dataDxfId="31">
      <calculatedColumnFormula>R12+V12</calculatedColumnFormula>
    </tableColumn>
    <tableColumn id="21" xr3:uid="{991FA4A6-00B2-4035-BCC2-715D60133E92}" name="14-Jun15" dataDxfId="30">
      <calculatedColumnFormula>S12+W12</calculatedColumnFormula>
    </tableColumn>
    <tableColumn id="22" xr3:uid="{B35FAB1F-AACB-4AAF-A2DE-69696FE3FA81}" name="21-Jun16" dataDxfId="29">
      <calculatedColumnFormula>T12+X12</calculatedColumnFormula>
    </tableColumn>
    <tableColumn id="23" xr3:uid="{F86EA20E-23DF-4061-95ED-F96FAD627306}" name="28-Jun17" dataDxfId="28">
      <calculatedColumnFormula>U12+Y12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2CA774-A5C9-4FAD-BE06-BB089016FE61}" name="Table4" displayName="Table4" ref="A1:K172" totalsRowShown="0" headerRowDxfId="20" dataDxfId="19" headerRowCellStyle="Normal 2" dataCellStyle="Normal 2">
  <autoFilter ref="A1:K172" xr:uid="{AC2CA774-A5C9-4FAD-BE06-BB089016FE61}"/>
  <sortState xmlns:xlrd2="http://schemas.microsoft.com/office/spreadsheetml/2017/richdata2" ref="A2:K172">
    <sortCondition ref="B1:B172"/>
  </sortState>
  <tableColumns count="11">
    <tableColumn id="1" xr3:uid="{834420C4-6E2B-4323-9DD3-2FF4C88FEC3B}" name="Month" dataDxfId="25" dataCellStyle="Comma 2"/>
    <tableColumn id="2" xr3:uid="{C73F832F-D472-4449-B90A-CB14C7B110C4}" name="Transaction Number" dataDxfId="24" dataCellStyle="Comma 2"/>
    <tableColumn id="3" xr3:uid="{C99E3E0A-6EF8-4C95-902A-7A5C5CAA2744}" name="Product Code" dataDxfId="23" dataCellStyle="Normal 2"/>
    <tableColumn id="4" xr3:uid="{4D70B462-ECFC-4E31-8258-C46125B7D1EB}" name="Product Description" dataDxfId="18" dataCellStyle="Normal 2"/>
    <tableColumn id="5" xr3:uid="{DD3B2D4B-13FC-400C-B21F-0E743843ED24}" name="Store Cost" dataDxfId="17" dataCellStyle="Normal 2"/>
    <tableColumn id="6" xr3:uid="{ABB02BA9-4FCD-4DF7-BC3A-FE3EFC8F02DF}" name="Sale Price" dataDxfId="16" dataCellStyle="Normal 2"/>
    <tableColumn id="7" xr3:uid="{92C70C71-DD8B-4277-AFF3-98ABD5AE0BA3}" name="Profit" dataDxfId="14" dataCellStyle="Normal 2">
      <calculatedColumnFormula>Table4[[#This Row],[Sale Price]]-Table4[[#This Row],[Store Cost]]</calculatedColumnFormula>
    </tableColumn>
    <tableColumn id="8" xr3:uid="{FE7C0544-5383-44FC-8A9F-548DECE758B6}" name="Commision 10%" dataDxfId="15" dataCellStyle="Normal 2">
      <calculatedColumnFormula>IF(Table4[[#This Row],[Profit]]&gt;=50,Table4[[#This Row],[Profit]]*0.2,Table4[[#This Row],[Profit]]*0.1)</calculatedColumnFormula>
    </tableColumn>
    <tableColumn id="9" xr3:uid="{9E618A84-7D2A-4A2A-B051-EEC114440DA4}" name="First Name" dataDxfId="22" dataCellStyle="Normal 2"/>
    <tableColumn id="11" xr3:uid="{E0B6B991-B16B-4D86-A832-A32BF8EFF57F}" name="Last Name" dataDxfId="13" dataCellStyle="Normal 2"/>
    <tableColumn id="10" xr3:uid="{46FC8F2E-6CFD-4B75-A552-035E7F40EB89}" name="Sale Location" dataDxfId="2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opLeftCell="H8" workbookViewId="0">
      <selection activeCell="G11" sqref="G11:H17"/>
    </sheetView>
  </sheetViews>
  <sheetFormatPr defaultRowHeight="15"/>
  <cols>
    <col min="7" max="7" width="12.28515625" customWidth="1"/>
    <col min="8" max="8" width="12.7109375" customWidth="1"/>
    <col min="9" max="9" width="16.140625" customWidth="1"/>
    <col min="11" max="11" width="11.140625" customWidth="1"/>
    <col min="14" max="16" width="9.85546875" customWidth="1"/>
    <col min="17" max="17" width="12.5703125" customWidth="1"/>
    <col min="18" max="21" width="9.85546875" customWidth="1"/>
    <col min="22" max="23" width="10.85546875" customWidth="1"/>
    <col min="24" max="24" width="13.5703125" customWidth="1"/>
    <col min="25" max="29" width="10.85546875" customWidth="1"/>
  </cols>
  <sheetData>
    <row r="1" spans="1:31">
      <c r="A1" t="s">
        <v>0</v>
      </c>
    </row>
    <row r="2" spans="1:31">
      <c r="A2" t="s">
        <v>1</v>
      </c>
    </row>
    <row r="3" spans="1:31">
      <c r="A3" t="str">
        <f>UPPER(A2)</f>
        <v>EXCEL TOUTORIAL FOR BEGINNERS</v>
      </c>
    </row>
    <row r="4" spans="1:31">
      <c r="A4" t="str">
        <f>LOWER(A2)</f>
        <v>excel toutorial for beginners</v>
      </c>
    </row>
    <row r="5" spans="1:31">
      <c r="A5" t="str">
        <f>PROPER(A2)</f>
        <v>Excel Toutorial For Beginners</v>
      </c>
    </row>
    <row r="6" spans="1:31">
      <c r="A6" t="s">
        <v>2</v>
      </c>
    </row>
    <row r="8" spans="1:31" ht="21">
      <c r="G8" s="1" t="s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1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J10" t="s">
        <v>20</v>
      </c>
      <c r="N10" t="s">
        <v>25</v>
      </c>
      <c r="R10" t="s">
        <v>26</v>
      </c>
      <c r="V10" t="s">
        <v>7</v>
      </c>
      <c r="Z10" t="s">
        <v>27</v>
      </c>
    </row>
    <row r="11" spans="1:31">
      <c r="G11" t="s">
        <v>4</v>
      </c>
      <c r="H11" t="s">
        <v>5</v>
      </c>
      <c r="I11" t="s">
        <v>6</v>
      </c>
      <c r="J11" s="4" t="s">
        <v>29</v>
      </c>
      <c r="K11" s="4" t="s">
        <v>30</v>
      </c>
      <c r="L11" s="4" t="s">
        <v>31</v>
      </c>
      <c r="M11" s="4" t="s">
        <v>32</v>
      </c>
      <c r="N11" s="6" t="s">
        <v>33</v>
      </c>
      <c r="O11" s="6" t="s">
        <v>34</v>
      </c>
      <c r="P11" s="6" t="s">
        <v>35</v>
      </c>
      <c r="Q11" s="6" t="s">
        <v>36</v>
      </c>
      <c r="R11" s="8" t="s">
        <v>37</v>
      </c>
      <c r="S11" s="8" t="s">
        <v>38</v>
      </c>
      <c r="T11" s="8" t="s">
        <v>39</v>
      </c>
      <c r="U11" s="8" t="s">
        <v>40</v>
      </c>
      <c r="V11" s="10" t="s">
        <v>41</v>
      </c>
      <c r="W11" s="10" t="s">
        <v>42</v>
      </c>
      <c r="X11" s="10" t="s">
        <v>43</v>
      </c>
      <c r="Y11" s="10" t="s">
        <v>44</v>
      </c>
      <c r="Z11" s="8" t="s">
        <v>45</v>
      </c>
      <c r="AA11" s="8" t="s">
        <v>46</v>
      </c>
      <c r="AB11" s="8" t="s">
        <v>47</v>
      </c>
      <c r="AC11" s="8" t="s">
        <v>48</v>
      </c>
      <c r="AE11" t="s">
        <v>28</v>
      </c>
    </row>
    <row r="12" spans="1:31">
      <c r="G12" t="s">
        <v>8</v>
      </c>
      <c r="H12" t="s">
        <v>9</v>
      </c>
      <c r="I12" s="2">
        <v>5</v>
      </c>
      <c r="J12" s="5">
        <v>24</v>
      </c>
      <c r="K12" s="5">
        <v>20</v>
      </c>
      <c r="L12" s="5">
        <v>24</v>
      </c>
      <c r="M12" s="5">
        <v>6</v>
      </c>
      <c r="N12" s="7">
        <f>IF(J12&gt;15,J12-15,0)</f>
        <v>9</v>
      </c>
      <c r="O12" s="7">
        <f t="shared" ref="O12:Q17" si="0">IF(K12&gt;15,K12-15,0)</f>
        <v>5</v>
      </c>
      <c r="P12" s="7">
        <f t="shared" si="0"/>
        <v>9</v>
      </c>
      <c r="Q12" s="7">
        <f t="shared" si="0"/>
        <v>0</v>
      </c>
      <c r="R12" s="9">
        <f>0.5*$I12*N12</f>
        <v>22.5</v>
      </c>
      <c r="S12" s="9">
        <f t="shared" ref="S12:U17" si="1">0.5*$I12*O12</f>
        <v>12.5</v>
      </c>
      <c r="T12" s="9">
        <f t="shared" si="1"/>
        <v>22.5</v>
      </c>
      <c r="U12" s="9">
        <f t="shared" si="1"/>
        <v>0</v>
      </c>
      <c r="V12" s="11">
        <f>J12*$I12</f>
        <v>120</v>
      </c>
      <c r="W12" s="11">
        <f t="shared" ref="W12:Y17" si="2">K12*$I12</f>
        <v>100</v>
      </c>
      <c r="X12" s="11">
        <f t="shared" si="2"/>
        <v>120</v>
      </c>
      <c r="Y12" s="11">
        <f t="shared" si="2"/>
        <v>30</v>
      </c>
      <c r="Z12" s="9">
        <f>R12+V12</f>
        <v>142.5</v>
      </c>
      <c r="AA12" s="9">
        <f>S12+W12</f>
        <v>112.5</v>
      </c>
      <c r="AB12" s="9">
        <f t="shared" ref="AA12:AC17" si="3">T12+X12</f>
        <v>142.5</v>
      </c>
      <c r="AC12" s="9">
        <f t="shared" si="3"/>
        <v>30</v>
      </c>
      <c r="AE12" s="2">
        <f>SUM(Z12:AC12)</f>
        <v>427.5</v>
      </c>
    </row>
    <row r="13" spans="1:31">
      <c r="G13" t="s">
        <v>10</v>
      </c>
      <c r="H13" t="s">
        <v>11</v>
      </c>
      <c r="I13" s="2">
        <v>6</v>
      </c>
      <c r="J13" s="5">
        <v>16</v>
      </c>
      <c r="K13" s="5">
        <v>22</v>
      </c>
      <c r="L13" s="5">
        <v>32</v>
      </c>
      <c r="M13" s="5">
        <v>25</v>
      </c>
      <c r="N13" s="7">
        <f t="shared" ref="N13:N17" si="4">IF(J13&gt;15,J13-15,0)</f>
        <v>1</v>
      </c>
      <c r="O13" s="7">
        <f t="shared" si="0"/>
        <v>7</v>
      </c>
      <c r="P13" s="7">
        <f t="shared" si="0"/>
        <v>17</v>
      </c>
      <c r="Q13" s="7">
        <f t="shared" si="0"/>
        <v>10</v>
      </c>
      <c r="R13" s="9">
        <f t="shared" ref="R13:R17" si="5">0.5*$I13*N13</f>
        <v>3</v>
      </c>
      <c r="S13" s="9">
        <f t="shared" si="1"/>
        <v>21</v>
      </c>
      <c r="T13" s="9">
        <f t="shared" si="1"/>
        <v>51</v>
      </c>
      <c r="U13" s="9">
        <f t="shared" si="1"/>
        <v>30</v>
      </c>
      <c r="V13" s="11">
        <f t="shared" ref="V13:V17" si="6">J13*$I13</f>
        <v>96</v>
      </c>
      <c r="W13" s="11">
        <f>K13*$I13</f>
        <v>132</v>
      </c>
      <c r="X13" s="11">
        <f t="shared" si="2"/>
        <v>192</v>
      </c>
      <c r="Y13" s="11">
        <f t="shared" si="2"/>
        <v>150</v>
      </c>
      <c r="Z13" s="9">
        <f t="shared" ref="Z13:Z17" si="7">R13+V13</f>
        <v>99</v>
      </c>
      <c r="AA13" s="9">
        <f t="shared" si="3"/>
        <v>153</v>
      </c>
      <c r="AB13" s="9">
        <f t="shared" si="3"/>
        <v>243</v>
      </c>
      <c r="AC13" s="9">
        <f t="shared" si="3"/>
        <v>180</v>
      </c>
      <c r="AE13" s="2">
        <f t="shared" ref="AE13:AE17" si="8">SUM(Z13:AC13)</f>
        <v>675</v>
      </c>
    </row>
    <row r="14" spans="1:31">
      <c r="G14" t="s">
        <v>12</v>
      </c>
      <c r="H14" t="s">
        <v>13</v>
      </c>
      <c r="I14" s="2">
        <v>3</v>
      </c>
      <c r="J14" s="5">
        <v>18</v>
      </c>
      <c r="K14" s="5">
        <v>25</v>
      </c>
      <c r="L14" s="5">
        <v>20</v>
      </c>
      <c r="M14" s="5">
        <v>20</v>
      </c>
      <c r="N14" s="7">
        <f t="shared" si="4"/>
        <v>3</v>
      </c>
      <c r="O14" s="7">
        <f t="shared" si="0"/>
        <v>10</v>
      </c>
      <c r="P14" s="7">
        <f t="shared" si="0"/>
        <v>5</v>
      </c>
      <c r="Q14" s="7">
        <f t="shared" si="0"/>
        <v>5</v>
      </c>
      <c r="R14" s="9">
        <f t="shared" si="5"/>
        <v>4.5</v>
      </c>
      <c r="S14" s="9">
        <f t="shared" si="1"/>
        <v>15</v>
      </c>
      <c r="T14" s="9">
        <f t="shared" si="1"/>
        <v>7.5</v>
      </c>
      <c r="U14" s="9">
        <f t="shared" si="1"/>
        <v>7.5</v>
      </c>
      <c r="V14" s="11">
        <f t="shared" si="6"/>
        <v>54</v>
      </c>
      <c r="W14" s="11">
        <f t="shared" si="2"/>
        <v>75</v>
      </c>
      <c r="X14" s="11">
        <f t="shared" si="2"/>
        <v>60</v>
      </c>
      <c r="Y14" s="11">
        <f t="shared" si="2"/>
        <v>60</v>
      </c>
      <c r="Z14" s="9">
        <f t="shared" si="7"/>
        <v>58.5</v>
      </c>
      <c r="AA14" s="9">
        <f t="shared" si="3"/>
        <v>90</v>
      </c>
      <c r="AB14" s="9">
        <f t="shared" si="3"/>
        <v>67.5</v>
      </c>
      <c r="AC14" s="9">
        <f t="shared" si="3"/>
        <v>67.5</v>
      </c>
      <c r="AE14" s="2">
        <f t="shared" si="8"/>
        <v>283.5</v>
      </c>
    </row>
    <row r="15" spans="1:31">
      <c r="G15" t="s">
        <v>14</v>
      </c>
      <c r="H15" t="s">
        <v>15</v>
      </c>
      <c r="I15" s="2">
        <v>6</v>
      </c>
      <c r="J15" s="5">
        <v>10</v>
      </c>
      <c r="K15" s="5">
        <v>25</v>
      </c>
      <c r="L15" s="5">
        <v>28</v>
      </c>
      <c r="M15" s="5">
        <v>5</v>
      </c>
      <c r="N15" s="7">
        <f t="shared" si="4"/>
        <v>0</v>
      </c>
      <c r="O15" s="7">
        <f t="shared" si="0"/>
        <v>10</v>
      </c>
      <c r="P15" s="7">
        <f t="shared" si="0"/>
        <v>13</v>
      </c>
      <c r="Q15" s="7">
        <f t="shared" si="0"/>
        <v>0</v>
      </c>
      <c r="R15" s="9">
        <f t="shared" si="5"/>
        <v>0</v>
      </c>
      <c r="S15" s="9">
        <f t="shared" si="1"/>
        <v>30</v>
      </c>
      <c r="T15" s="9">
        <f t="shared" si="1"/>
        <v>39</v>
      </c>
      <c r="U15" s="9">
        <f t="shared" si="1"/>
        <v>0</v>
      </c>
      <c r="V15" s="11">
        <f t="shared" si="6"/>
        <v>60</v>
      </c>
      <c r="W15" s="11">
        <f t="shared" si="2"/>
        <v>150</v>
      </c>
      <c r="X15" s="11">
        <f>L15*$I15</f>
        <v>168</v>
      </c>
      <c r="Y15" s="11">
        <f t="shared" si="2"/>
        <v>30</v>
      </c>
      <c r="Z15" s="9">
        <f>R15+V15</f>
        <v>60</v>
      </c>
      <c r="AA15" s="9">
        <f t="shared" si="3"/>
        <v>180</v>
      </c>
      <c r="AB15" s="9">
        <f t="shared" si="3"/>
        <v>207</v>
      </c>
      <c r="AC15" s="9">
        <f t="shared" si="3"/>
        <v>30</v>
      </c>
      <c r="AE15" s="2">
        <f t="shared" si="8"/>
        <v>477</v>
      </c>
    </row>
    <row r="16" spans="1:31">
      <c r="G16" t="s">
        <v>21</v>
      </c>
      <c r="H16" t="s">
        <v>22</v>
      </c>
      <c r="I16" s="2">
        <v>8</v>
      </c>
      <c r="J16" s="5">
        <v>25</v>
      </c>
      <c r="K16" s="5">
        <v>23</v>
      </c>
      <c r="L16" s="5">
        <v>20</v>
      </c>
      <c r="M16" s="5">
        <v>22</v>
      </c>
      <c r="N16" s="7">
        <f t="shared" si="4"/>
        <v>10</v>
      </c>
      <c r="O16" s="7">
        <f t="shared" si="0"/>
        <v>8</v>
      </c>
      <c r="P16" s="7">
        <f t="shared" si="0"/>
        <v>5</v>
      </c>
      <c r="Q16" s="7">
        <f t="shared" si="0"/>
        <v>7</v>
      </c>
      <c r="R16" s="9">
        <f t="shared" si="5"/>
        <v>40</v>
      </c>
      <c r="S16" s="9">
        <f t="shared" si="1"/>
        <v>32</v>
      </c>
      <c r="T16" s="9">
        <f t="shared" si="1"/>
        <v>20</v>
      </c>
      <c r="U16" s="9">
        <f t="shared" si="1"/>
        <v>28</v>
      </c>
      <c r="V16" s="11">
        <f t="shared" si="6"/>
        <v>200</v>
      </c>
      <c r="W16" s="11">
        <f t="shared" si="2"/>
        <v>184</v>
      </c>
      <c r="X16" s="11">
        <f t="shared" si="2"/>
        <v>160</v>
      </c>
      <c r="Y16" s="11">
        <f t="shared" si="2"/>
        <v>176</v>
      </c>
      <c r="Z16" s="9">
        <f t="shared" si="7"/>
        <v>240</v>
      </c>
      <c r="AA16" s="9">
        <f t="shared" si="3"/>
        <v>216</v>
      </c>
      <c r="AB16" s="9">
        <f t="shared" si="3"/>
        <v>180</v>
      </c>
      <c r="AC16" s="9">
        <f t="shared" si="3"/>
        <v>204</v>
      </c>
      <c r="AE16" s="2">
        <f t="shared" si="8"/>
        <v>840</v>
      </c>
    </row>
    <row r="17" spans="7:32">
      <c r="G17" t="s">
        <v>23</v>
      </c>
      <c r="H17" t="s">
        <v>24</v>
      </c>
      <c r="I17" s="2">
        <v>2</v>
      </c>
      <c r="J17" s="5">
        <v>6</v>
      </c>
      <c r="K17" s="5">
        <v>8</v>
      </c>
      <c r="L17" s="5">
        <v>25</v>
      </c>
      <c r="M17" s="5">
        <v>25</v>
      </c>
      <c r="N17" s="7">
        <f t="shared" si="4"/>
        <v>0</v>
      </c>
      <c r="O17" s="7">
        <f t="shared" si="0"/>
        <v>0</v>
      </c>
      <c r="P17" s="7">
        <f t="shared" si="0"/>
        <v>10</v>
      </c>
      <c r="Q17" s="7">
        <f t="shared" si="0"/>
        <v>10</v>
      </c>
      <c r="R17" s="9">
        <f t="shared" si="5"/>
        <v>0</v>
      </c>
      <c r="S17" s="9">
        <f t="shared" si="1"/>
        <v>0</v>
      </c>
      <c r="T17" s="9">
        <f t="shared" si="1"/>
        <v>10</v>
      </c>
      <c r="U17" s="9">
        <f t="shared" si="1"/>
        <v>10</v>
      </c>
      <c r="V17" s="11">
        <f t="shared" si="6"/>
        <v>12</v>
      </c>
      <c r="W17" s="11">
        <f t="shared" si="2"/>
        <v>16</v>
      </c>
      <c r="X17" s="11">
        <f t="shared" si="2"/>
        <v>50</v>
      </c>
      <c r="Y17" s="11">
        <f t="shared" si="2"/>
        <v>50</v>
      </c>
      <c r="Z17" s="9">
        <f t="shared" si="7"/>
        <v>12</v>
      </c>
      <c r="AA17" s="9">
        <f t="shared" si="3"/>
        <v>16</v>
      </c>
      <c r="AB17" s="9">
        <f t="shared" si="3"/>
        <v>60</v>
      </c>
      <c r="AC17" s="9">
        <f t="shared" si="3"/>
        <v>60</v>
      </c>
      <c r="AE17" s="2">
        <f t="shared" si="8"/>
        <v>148</v>
      </c>
    </row>
    <row r="20" spans="7:32">
      <c r="G20" t="s">
        <v>16</v>
      </c>
      <c r="I20" s="2">
        <f>MIN(Table2[Howerly Wage])</f>
        <v>2</v>
      </c>
      <c r="J20" s="2">
        <f>MIN(Table2[07-Jun])</f>
        <v>6</v>
      </c>
      <c r="K20" s="2">
        <f>MIN(Table2[14-Jun])</f>
        <v>8</v>
      </c>
      <c r="L20" s="2">
        <f>MIN(Table2[21-Jun])</f>
        <v>20</v>
      </c>
      <c r="M20" s="2">
        <f>MIN(Table2[28-Jun])</f>
        <v>5</v>
      </c>
      <c r="N20" s="2">
        <f>MIN(Table2[07-Jun2])</f>
        <v>0</v>
      </c>
      <c r="O20" s="2">
        <f>MIN(Table2[14-Jun3])</f>
        <v>0</v>
      </c>
      <c r="P20" s="2">
        <f>MIN(Table2[21-Jun4])</f>
        <v>5</v>
      </c>
      <c r="Q20" s="2">
        <f>MIN(Table2[28-Jun5])</f>
        <v>0</v>
      </c>
      <c r="R20" s="2">
        <f>MIN(Table2[07-Jun6])</f>
        <v>0</v>
      </c>
      <c r="S20" s="2">
        <f>MIN(Table2[14-Jun7])</f>
        <v>0</v>
      </c>
      <c r="T20" s="2">
        <f>MIN(Table2[21-Jun8])</f>
        <v>7.5</v>
      </c>
      <c r="U20" s="2">
        <f>MIN(Table2[28-Jun9])</f>
        <v>0</v>
      </c>
      <c r="V20" s="2">
        <f>MIN(Table2[07-Jun10])</f>
        <v>12</v>
      </c>
      <c r="W20" s="2">
        <f>MIN(Table2[14-Jun11])</f>
        <v>16</v>
      </c>
      <c r="X20" s="2">
        <f>MIN(Table2[21-Jun12])</f>
        <v>50</v>
      </c>
      <c r="Y20" s="2">
        <f>MIN(Table2[28-Jun13])</f>
        <v>30</v>
      </c>
      <c r="Z20" s="2">
        <f>MIN(Table2[07-Jun14])</f>
        <v>12</v>
      </c>
      <c r="AA20" s="2">
        <f>MIN(Table2[14-Jun15])</f>
        <v>16</v>
      </c>
      <c r="AB20" s="2">
        <f>MIN(Table2[21-Jun16])</f>
        <v>60</v>
      </c>
      <c r="AC20" s="2">
        <f>MIN(Table2[28-Jun17])</f>
        <v>30</v>
      </c>
      <c r="AD20" s="2"/>
      <c r="AE20" s="2"/>
      <c r="AF20" s="2"/>
    </row>
    <row r="21" spans="7:32">
      <c r="G21" t="s">
        <v>17</v>
      </c>
      <c r="I21" s="2">
        <f>MAX(Table2[Howerly Wage])</f>
        <v>8</v>
      </c>
      <c r="J21" s="2">
        <f>MAX(Table2[07-Jun])</f>
        <v>25</v>
      </c>
      <c r="K21" s="2">
        <f>MAX(Table2[14-Jun])</f>
        <v>25</v>
      </c>
      <c r="L21" s="2">
        <f>MAX(Table2[21-Jun])</f>
        <v>32</v>
      </c>
      <c r="M21" s="2">
        <f>MAX(Table2[28-Jun])</f>
        <v>25</v>
      </c>
      <c r="N21" s="2">
        <f>MAX(Table2[07-Jun2])</f>
        <v>10</v>
      </c>
      <c r="O21" s="2">
        <f>MAX(Table2[14-Jun3])</f>
        <v>10</v>
      </c>
      <c r="P21" s="2">
        <f>MAX(Table2[21-Jun4])</f>
        <v>17</v>
      </c>
      <c r="Q21" s="2">
        <f>MAX(Table2[28-Jun5])</f>
        <v>10</v>
      </c>
      <c r="R21" s="2">
        <f>MAX(Table2[07-Jun6])</f>
        <v>40</v>
      </c>
      <c r="S21" s="2">
        <f>MAX(Table2[14-Jun7])</f>
        <v>32</v>
      </c>
      <c r="T21" s="2">
        <f>MAX(Table2[21-Jun8])</f>
        <v>51</v>
      </c>
      <c r="U21" s="2">
        <f>MAX(Table2[28-Jun9])</f>
        <v>30</v>
      </c>
      <c r="V21" s="2">
        <f>MAX(Table2[07-Jun10])</f>
        <v>200</v>
      </c>
      <c r="W21" s="2">
        <f>MAX(Table2[14-Jun11])</f>
        <v>184</v>
      </c>
      <c r="X21" s="2">
        <f>MAX(Table2[21-Jun12])</f>
        <v>192</v>
      </c>
      <c r="Y21" s="2">
        <f>MAX(Table2[28-Jun13])</f>
        <v>176</v>
      </c>
      <c r="Z21" s="2">
        <f>MAX(Table2[07-Jun14])</f>
        <v>240</v>
      </c>
      <c r="AA21" s="2">
        <f>MAX(Table2[14-Jun15])</f>
        <v>216</v>
      </c>
      <c r="AB21" s="2">
        <f>MAX(Table2[21-Jun16])</f>
        <v>243</v>
      </c>
      <c r="AC21" s="2">
        <f>MAX(Table2[28-Jun17])</f>
        <v>204</v>
      </c>
      <c r="AD21" s="2"/>
      <c r="AE21" s="2"/>
      <c r="AF21" s="2"/>
    </row>
    <row r="22" spans="7:32">
      <c r="G22" t="s">
        <v>18</v>
      </c>
      <c r="I22" s="2">
        <f>AVERAGE(Table2[Howerly Wage])</f>
        <v>5</v>
      </c>
      <c r="J22" s="2">
        <f>AVERAGE(Table2[07-Jun])</f>
        <v>16.5</v>
      </c>
      <c r="K22" s="2">
        <f>AVERAGE(Table2[14-Jun])</f>
        <v>20.5</v>
      </c>
      <c r="L22" s="2">
        <f>AVERAGE(Table2[21-Jun])</f>
        <v>24.833333333333332</v>
      </c>
      <c r="M22" s="2">
        <f>AVERAGE(Table2[28-Jun])</f>
        <v>17.166666666666668</v>
      </c>
      <c r="N22" s="2">
        <f>AVERAGE(Table2[07-Jun2])</f>
        <v>3.8333333333333335</v>
      </c>
      <c r="O22" s="2">
        <f>AVERAGE(Table2[14-Jun3])</f>
        <v>6.666666666666667</v>
      </c>
      <c r="P22" s="2">
        <f>AVERAGE(Table2[21-Jun4])</f>
        <v>9.8333333333333339</v>
      </c>
      <c r="Q22" s="2">
        <f>AVERAGE(Table2[28-Jun5])</f>
        <v>5.333333333333333</v>
      </c>
      <c r="R22" s="2">
        <f>AVERAGE(Table2[07-Jun6])</f>
        <v>11.666666666666666</v>
      </c>
      <c r="S22" s="2">
        <f>AVERAGE(Table2[14-Jun7])</f>
        <v>18.416666666666668</v>
      </c>
      <c r="T22" s="2">
        <f>AVERAGE(Table2[21-Jun8])</f>
        <v>25</v>
      </c>
      <c r="U22" s="2">
        <f>AVERAGE(Table2[28-Jun9])</f>
        <v>12.583333333333334</v>
      </c>
      <c r="V22" s="2">
        <f>AVERAGE(Table2[07-Jun10])</f>
        <v>90.333333333333329</v>
      </c>
      <c r="W22" s="2">
        <f>AVERAGE(Table2[14-Jun11])</f>
        <v>109.5</v>
      </c>
      <c r="X22" s="2">
        <f>AVERAGE(Table2[21-Jun12])</f>
        <v>125</v>
      </c>
      <c r="Y22" s="2">
        <f>AVERAGE(Table2[28-Jun13])</f>
        <v>82.666666666666671</v>
      </c>
      <c r="Z22" s="2">
        <f>AVERAGE(Table2[07-Jun14])</f>
        <v>102</v>
      </c>
      <c r="AA22" s="2">
        <f>AVERAGE(Table2[14-Jun15])</f>
        <v>127.91666666666667</v>
      </c>
      <c r="AB22" s="2">
        <f>AVERAGE(Table2[21-Jun16])</f>
        <v>150</v>
      </c>
      <c r="AC22" s="2">
        <f>AVERAGE(Table2[28-Jun17])</f>
        <v>95.25</v>
      </c>
      <c r="AD22" s="2"/>
      <c r="AE22" s="2"/>
      <c r="AF22" s="2"/>
    </row>
    <row r="23" spans="7:32">
      <c r="G23" t="s">
        <v>19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</sheetData>
  <mergeCells count="1">
    <mergeCell ref="G8:AE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A7EE-B6A5-4F6C-8AAD-3B99E3B46D0E}">
  <dimension ref="A1:O18"/>
  <sheetViews>
    <sheetView topLeftCell="K11" zoomScale="91" zoomScaleNormal="91" workbookViewId="0">
      <selection activeCell="O26" sqref="O26"/>
    </sheetView>
  </sheetViews>
  <sheetFormatPr defaultRowHeight="15"/>
  <cols>
    <col min="4" max="4" width="10.7109375" customWidth="1"/>
    <col min="5" max="5" width="8.28515625" bestFit="1" customWidth="1"/>
    <col min="6" max="7" width="6.5703125" bestFit="1" customWidth="1"/>
    <col min="8" max="8" width="5.5703125" bestFit="1" customWidth="1"/>
    <col min="9" max="9" width="9.28515625" bestFit="1" customWidth="1"/>
    <col min="10" max="12" width="7.140625" bestFit="1" customWidth="1"/>
    <col min="13" max="13" width="8.140625" bestFit="1" customWidth="1"/>
  </cols>
  <sheetData>
    <row r="1" spans="1:15">
      <c r="A1" t="s">
        <v>49</v>
      </c>
    </row>
    <row r="4" spans="1:15" ht="131.25">
      <c r="E4" s="14" t="s">
        <v>51</v>
      </c>
      <c r="F4" s="14" t="s">
        <v>52</v>
      </c>
      <c r="G4" s="14" t="s">
        <v>53</v>
      </c>
      <c r="H4" s="14" t="s">
        <v>54</v>
      </c>
      <c r="J4" s="14" t="s">
        <v>51</v>
      </c>
      <c r="K4" s="14" t="s">
        <v>52</v>
      </c>
      <c r="L4" s="14" t="s">
        <v>53</v>
      </c>
      <c r="M4" s="14" t="s">
        <v>54</v>
      </c>
      <c r="O4" s="14" t="s">
        <v>55</v>
      </c>
    </row>
    <row r="5" spans="1:15">
      <c r="D5" s="13" t="s">
        <v>50</v>
      </c>
      <c r="E5">
        <v>10</v>
      </c>
      <c r="F5">
        <v>50</v>
      </c>
      <c r="G5">
        <v>100</v>
      </c>
      <c r="H5">
        <v>1</v>
      </c>
    </row>
    <row r="6" spans="1:15">
      <c r="C6" s="12" t="s">
        <v>4</v>
      </c>
      <c r="D6" s="12" t="s">
        <v>5</v>
      </c>
    </row>
    <row r="7" spans="1:15">
      <c r="C7" t="s">
        <v>8</v>
      </c>
      <c r="D7" t="s">
        <v>9</v>
      </c>
      <c r="E7">
        <v>5</v>
      </c>
      <c r="F7">
        <v>39</v>
      </c>
      <c r="G7">
        <v>88</v>
      </c>
      <c r="H7">
        <v>0</v>
      </c>
      <c r="J7" s="16">
        <f>E7/E$5</f>
        <v>0.5</v>
      </c>
      <c r="K7" s="16">
        <f t="shared" ref="K7:M12" si="0">F7/F$5</f>
        <v>0.78</v>
      </c>
      <c r="L7" s="16">
        <f>G7/G$5</f>
        <v>0.88</v>
      </c>
      <c r="M7" s="16">
        <f t="shared" si="0"/>
        <v>0</v>
      </c>
      <c r="O7" s="16" t="b">
        <f>AND(J7&gt;=0.6,K7&gt;=0.6,L7&gt;=0.6,M7&gt;=0.6)</f>
        <v>0</v>
      </c>
    </row>
    <row r="8" spans="1:15">
      <c r="C8" t="s">
        <v>10</v>
      </c>
      <c r="D8" t="s">
        <v>11</v>
      </c>
      <c r="E8">
        <v>7</v>
      </c>
      <c r="F8">
        <v>44</v>
      </c>
      <c r="G8">
        <v>65</v>
      </c>
      <c r="H8">
        <v>1</v>
      </c>
      <c r="J8" s="16">
        <f t="shared" ref="J8:J12" si="1">E8/E$5</f>
        <v>0.7</v>
      </c>
      <c r="K8" s="16">
        <f t="shared" si="0"/>
        <v>0.88</v>
      </c>
      <c r="L8" s="16">
        <f t="shared" si="0"/>
        <v>0.65</v>
      </c>
      <c r="M8" s="16">
        <f t="shared" si="0"/>
        <v>1</v>
      </c>
      <c r="O8" s="16" t="b">
        <f t="shared" ref="O8:O12" si="2">AND(J8&gt;=0.6,K8&gt;=0.6,L8&gt;=0.6,M8&gt;=0.6)</f>
        <v>1</v>
      </c>
    </row>
    <row r="9" spans="1:15">
      <c r="C9" t="s">
        <v>12</v>
      </c>
      <c r="D9" t="s">
        <v>13</v>
      </c>
      <c r="E9">
        <v>2</v>
      </c>
      <c r="F9">
        <v>37</v>
      </c>
      <c r="G9">
        <v>97</v>
      </c>
      <c r="H9">
        <v>1</v>
      </c>
      <c r="J9" s="16">
        <f t="shared" si="1"/>
        <v>0.2</v>
      </c>
      <c r="K9" s="16">
        <f t="shared" si="0"/>
        <v>0.74</v>
      </c>
      <c r="L9" s="16">
        <f t="shared" si="0"/>
        <v>0.97</v>
      </c>
      <c r="M9" s="16">
        <f t="shared" si="0"/>
        <v>1</v>
      </c>
      <c r="O9" s="16" t="b">
        <f t="shared" si="2"/>
        <v>0</v>
      </c>
    </row>
    <row r="10" spans="1:15">
      <c r="C10" t="s">
        <v>14</v>
      </c>
      <c r="D10" t="s">
        <v>15</v>
      </c>
      <c r="E10">
        <v>9</v>
      </c>
      <c r="F10">
        <v>47</v>
      </c>
      <c r="G10">
        <v>44</v>
      </c>
      <c r="H10">
        <v>0</v>
      </c>
      <c r="J10" s="16">
        <f t="shared" si="1"/>
        <v>0.9</v>
      </c>
      <c r="K10" s="16">
        <f t="shared" si="0"/>
        <v>0.94</v>
      </c>
      <c r="L10" s="16">
        <f t="shared" si="0"/>
        <v>0.44</v>
      </c>
      <c r="M10" s="16">
        <f t="shared" si="0"/>
        <v>0</v>
      </c>
      <c r="O10" s="16" t="b">
        <f t="shared" si="2"/>
        <v>0</v>
      </c>
    </row>
    <row r="11" spans="1:15">
      <c r="C11" t="s">
        <v>21</v>
      </c>
      <c r="D11" t="s">
        <v>22</v>
      </c>
      <c r="E11">
        <v>8</v>
      </c>
      <c r="F11">
        <v>44</v>
      </c>
      <c r="G11">
        <v>64</v>
      </c>
      <c r="H11">
        <v>1</v>
      </c>
      <c r="J11" s="16">
        <f t="shared" si="1"/>
        <v>0.8</v>
      </c>
      <c r="K11" s="16">
        <f t="shared" si="0"/>
        <v>0.88</v>
      </c>
      <c r="L11" s="16">
        <f t="shared" si="0"/>
        <v>0.64</v>
      </c>
      <c r="M11" s="16">
        <f t="shared" si="0"/>
        <v>1</v>
      </c>
      <c r="O11" s="16" t="b">
        <f t="shared" si="2"/>
        <v>1</v>
      </c>
    </row>
    <row r="12" spans="1:15">
      <c r="C12" t="s">
        <v>23</v>
      </c>
      <c r="D12" t="s">
        <v>24</v>
      </c>
      <c r="E12">
        <v>4</v>
      </c>
      <c r="F12">
        <v>32</v>
      </c>
      <c r="G12">
        <v>79</v>
      </c>
      <c r="H12">
        <v>1</v>
      </c>
      <c r="J12" s="16">
        <f t="shared" si="1"/>
        <v>0.4</v>
      </c>
      <c r="K12" s="16">
        <f t="shared" si="0"/>
        <v>0.64</v>
      </c>
      <c r="L12" s="16">
        <f t="shared" si="0"/>
        <v>0.79</v>
      </c>
      <c r="M12" s="16">
        <f t="shared" si="0"/>
        <v>1</v>
      </c>
      <c r="O12" s="16" t="b">
        <f t="shared" si="2"/>
        <v>0</v>
      </c>
    </row>
    <row r="13" spans="1:15">
      <c r="J13" s="15"/>
      <c r="K13" s="15"/>
      <c r="L13" s="15"/>
      <c r="M13" s="15"/>
    </row>
    <row r="15" spans="1:15">
      <c r="C15" t="s">
        <v>17</v>
      </c>
      <c r="E15" s="19">
        <f t="shared" ref="E15:I15" si="3">MAX(E7:E12)</f>
        <v>9</v>
      </c>
      <c r="F15" s="19">
        <f t="shared" si="3"/>
        <v>47</v>
      </c>
      <c r="G15" s="19">
        <f t="shared" si="3"/>
        <v>97</v>
      </c>
      <c r="H15" s="19">
        <f t="shared" si="3"/>
        <v>1</v>
      </c>
      <c r="I15" s="18"/>
      <c r="J15" s="17">
        <f>MAX(J7:J12)</f>
        <v>0.9</v>
      </c>
      <c r="K15" s="17">
        <f t="shared" ref="K15:M15" si="4">MAX(K7:K12)</f>
        <v>0.94</v>
      </c>
      <c r="L15" s="17">
        <f t="shared" si="4"/>
        <v>0.97</v>
      </c>
      <c r="M15" s="17">
        <f t="shared" si="4"/>
        <v>1</v>
      </c>
    </row>
    <row r="16" spans="1:15">
      <c r="C16" t="s">
        <v>16</v>
      </c>
      <c r="E16" s="19">
        <f t="shared" ref="E16:I16" si="5">MIN(E7:E12)</f>
        <v>2</v>
      </c>
      <c r="F16" s="19">
        <f t="shared" si="5"/>
        <v>32</v>
      </c>
      <c r="G16" s="19">
        <f t="shared" si="5"/>
        <v>44</v>
      </c>
      <c r="H16" s="19">
        <f t="shared" si="5"/>
        <v>0</v>
      </c>
      <c r="I16" s="18"/>
      <c r="J16" s="17">
        <f>MIN(J7:J12)</f>
        <v>0.2</v>
      </c>
      <c r="K16" s="17">
        <f t="shared" ref="K16:M16" si="6">MIN(K7:K12)</f>
        <v>0.64</v>
      </c>
      <c r="L16" s="17">
        <f t="shared" si="6"/>
        <v>0.44</v>
      </c>
      <c r="M16" s="17">
        <f t="shared" si="6"/>
        <v>0</v>
      </c>
    </row>
    <row r="17" spans="3:13">
      <c r="C17" t="s">
        <v>18</v>
      </c>
      <c r="E17" s="19">
        <f t="shared" ref="E17:I17" si="7">AVERAGE(E7:E12)</f>
        <v>5.833333333333333</v>
      </c>
      <c r="F17" s="19">
        <f t="shared" si="7"/>
        <v>40.5</v>
      </c>
      <c r="G17" s="19">
        <f t="shared" si="7"/>
        <v>72.833333333333329</v>
      </c>
      <c r="H17" s="19">
        <f t="shared" si="7"/>
        <v>0.66666666666666663</v>
      </c>
      <c r="I17" s="18"/>
      <c r="J17" s="17">
        <f>AVERAGE(J7:J12)</f>
        <v>0.58333333333333326</v>
      </c>
      <c r="K17" s="17">
        <f t="shared" ref="K17:M17" si="8">AVERAGE(K7:K12)</f>
        <v>0.81</v>
      </c>
      <c r="L17" s="17">
        <f t="shared" si="8"/>
        <v>0.72833333333333339</v>
      </c>
      <c r="M17" s="17">
        <f t="shared" si="8"/>
        <v>0.66666666666666663</v>
      </c>
    </row>
    <row r="18" spans="3:13">
      <c r="E18" s="18"/>
      <c r="F18" s="18"/>
      <c r="G18" s="18"/>
      <c r="H18" s="18"/>
      <c r="I18" s="18"/>
    </row>
  </sheetData>
  <conditionalFormatting sqref="E7:E13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7:F12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7:G12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7:H12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J7:M12">
    <cfRule type="cellIs" dxfId="12" priority="2" operator="greaterThan">
      <formula>0.6</formula>
    </cfRule>
    <cfRule type="cellIs" dxfId="11" priority="3" operator="greaterThan">
      <formula>0.75</formula>
    </cfRule>
    <cfRule type="cellIs" dxfId="10" priority="4" operator="greaterThan">
      <formula>0.75</formula>
    </cfRule>
  </conditionalFormatting>
  <conditionalFormatting sqref="O7:O12">
    <cfRule type="containsText" dxfId="9" priority="1" operator="containsText" text="True">
      <formula>NOT(ISERROR(SEARCH("True",O7)))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DDFB-7CAC-4E19-BF72-508D41F7F009}">
  <dimension ref="A1:O9"/>
  <sheetViews>
    <sheetView workbookViewId="0">
      <selection activeCell="L13" sqref="L13"/>
    </sheetView>
  </sheetViews>
  <sheetFormatPr defaultRowHeight="15"/>
  <cols>
    <col min="3" max="3" width="19" bestFit="1" customWidth="1"/>
    <col min="4" max="4" width="4.140625" bestFit="1" customWidth="1"/>
    <col min="5" max="5" width="3" bestFit="1" customWidth="1"/>
    <col min="6" max="6" width="10.7109375" bestFit="1" customWidth="1"/>
    <col min="7" max="7" width="3" bestFit="1" customWidth="1"/>
    <col min="8" max="8" width="14" bestFit="1" customWidth="1"/>
    <col min="9" max="9" width="3" bestFit="1" customWidth="1"/>
    <col min="10" max="10" width="10.5703125" bestFit="1" customWidth="1"/>
    <col min="11" max="11" width="3" bestFit="1" customWidth="1"/>
    <col min="12" max="12" width="9.5703125" bestFit="1" customWidth="1"/>
    <col min="13" max="13" width="3" bestFit="1" customWidth="1"/>
    <col min="15" max="15" width="6.5703125" bestFit="1" customWidth="1"/>
  </cols>
  <sheetData>
    <row r="1" spans="1:15">
      <c r="A1" t="s">
        <v>56</v>
      </c>
    </row>
    <row r="4" spans="1:15">
      <c r="C4" s="22" t="s">
        <v>57</v>
      </c>
      <c r="D4" s="5" t="s">
        <v>7</v>
      </c>
      <c r="E4" s="5">
        <v>3</v>
      </c>
      <c r="F4" s="20" t="s">
        <v>63</v>
      </c>
      <c r="G4" s="20">
        <v>4</v>
      </c>
      <c r="H4" s="21" t="s">
        <v>64</v>
      </c>
      <c r="I4" s="21">
        <v>5</v>
      </c>
      <c r="J4" s="12" t="s">
        <v>65</v>
      </c>
      <c r="K4" s="12">
        <v>5</v>
      </c>
      <c r="L4" s="7" t="s">
        <v>66</v>
      </c>
      <c r="M4" s="7">
        <v>3</v>
      </c>
      <c r="O4" s="23" t="s">
        <v>67</v>
      </c>
    </row>
    <row r="5" spans="1:15">
      <c r="C5" s="22" t="s">
        <v>58</v>
      </c>
      <c r="D5" s="5">
        <v>3</v>
      </c>
      <c r="E5" s="5">
        <f>E$4*D5</f>
        <v>9</v>
      </c>
      <c r="F5" s="20">
        <v>5</v>
      </c>
      <c r="G5" s="20">
        <f>G$4*F5</f>
        <v>20</v>
      </c>
      <c r="H5" s="21">
        <v>2</v>
      </c>
      <c r="I5" s="21">
        <f>I$4*H5</f>
        <v>10</v>
      </c>
      <c r="J5" s="12">
        <v>2</v>
      </c>
      <c r="K5" s="12">
        <f>K$4*J5</f>
        <v>10</v>
      </c>
      <c r="L5" s="7">
        <v>2</v>
      </c>
      <c r="M5" s="7">
        <f>M$4*L5</f>
        <v>6</v>
      </c>
      <c r="O5">
        <f>SUM(E5,G5,I5,K5,M5)</f>
        <v>55</v>
      </c>
    </row>
    <row r="6" spans="1:15">
      <c r="C6" s="22" t="s">
        <v>59</v>
      </c>
      <c r="D6" s="5">
        <v>5</v>
      </c>
      <c r="E6" s="5">
        <f t="shared" ref="E6:G9" si="0">E$4*D6</f>
        <v>15</v>
      </c>
      <c r="F6" s="20">
        <v>2</v>
      </c>
      <c r="G6" s="20">
        <f t="shared" si="0"/>
        <v>8</v>
      </c>
      <c r="H6" s="21">
        <v>4</v>
      </c>
      <c r="I6" s="21">
        <f t="shared" ref="I6" si="1">I$4*H6</f>
        <v>20</v>
      </c>
      <c r="J6" s="12">
        <v>4</v>
      </c>
      <c r="K6" s="12">
        <f t="shared" ref="K6" si="2">K$4*J6</f>
        <v>20</v>
      </c>
      <c r="L6" s="7">
        <v>5</v>
      </c>
      <c r="M6" s="7">
        <f t="shared" ref="M6" si="3">M$4*L6</f>
        <v>15</v>
      </c>
      <c r="O6">
        <f t="shared" ref="O6:O9" si="4">SUM(E6,G6,I6,K6,M6)</f>
        <v>78</v>
      </c>
    </row>
    <row r="7" spans="1:15">
      <c r="C7" s="22" t="s">
        <v>60</v>
      </c>
      <c r="D7" s="5">
        <v>4</v>
      </c>
      <c r="E7" s="5">
        <f t="shared" si="0"/>
        <v>12</v>
      </c>
      <c r="F7" s="20">
        <v>3</v>
      </c>
      <c r="G7" s="20">
        <f t="shared" si="0"/>
        <v>12</v>
      </c>
      <c r="H7" s="21">
        <v>3</v>
      </c>
      <c r="I7" s="21">
        <f t="shared" ref="I7" si="5">I$4*H7</f>
        <v>15</v>
      </c>
      <c r="J7" s="12">
        <v>3</v>
      </c>
      <c r="K7" s="12">
        <f t="shared" ref="K7" si="6">K$4*J7</f>
        <v>15</v>
      </c>
      <c r="L7" s="7">
        <v>3</v>
      </c>
      <c r="M7" s="7">
        <f t="shared" ref="M7" si="7">M$4*L7</f>
        <v>9</v>
      </c>
      <c r="O7">
        <f t="shared" si="4"/>
        <v>63</v>
      </c>
    </row>
    <row r="8" spans="1:15">
      <c r="C8" s="22" t="s">
        <v>61</v>
      </c>
      <c r="D8" s="5">
        <v>5</v>
      </c>
      <c r="E8" s="5">
        <f t="shared" si="0"/>
        <v>15</v>
      </c>
      <c r="F8" s="20">
        <v>4</v>
      </c>
      <c r="G8" s="20">
        <f t="shared" si="0"/>
        <v>16</v>
      </c>
      <c r="H8" s="21">
        <v>2</v>
      </c>
      <c r="I8" s="21">
        <f t="shared" ref="I8" si="8">I$4*H8</f>
        <v>10</v>
      </c>
      <c r="J8" s="12">
        <v>4</v>
      </c>
      <c r="K8" s="12">
        <f t="shared" ref="K8" si="9">K$4*J8</f>
        <v>20</v>
      </c>
      <c r="L8" s="7">
        <v>4</v>
      </c>
      <c r="M8" s="7">
        <f t="shared" ref="M8" si="10">M$4*L8</f>
        <v>12</v>
      </c>
      <c r="O8">
        <f t="shared" si="4"/>
        <v>73</v>
      </c>
    </row>
    <row r="9" spans="1:15">
      <c r="C9" s="22" t="s">
        <v>62</v>
      </c>
      <c r="D9" s="5">
        <v>2</v>
      </c>
      <c r="E9" s="5">
        <f t="shared" si="0"/>
        <v>6</v>
      </c>
      <c r="F9" s="20">
        <v>3</v>
      </c>
      <c r="G9" s="20">
        <f t="shared" si="0"/>
        <v>12</v>
      </c>
      <c r="H9" s="21">
        <v>4</v>
      </c>
      <c r="I9" s="21">
        <f t="shared" ref="I9" si="11">I$4*H9</f>
        <v>20</v>
      </c>
      <c r="J9" s="12">
        <v>5</v>
      </c>
      <c r="K9" s="12">
        <f t="shared" ref="K9" si="12">K$4*J9</f>
        <v>25</v>
      </c>
      <c r="L9" s="7">
        <v>4</v>
      </c>
      <c r="M9" s="7">
        <f t="shared" ref="M9" si="13">M$4*L9</f>
        <v>12</v>
      </c>
      <c r="O9">
        <f t="shared" si="4"/>
        <v>75</v>
      </c>
    </row>
  </sheetData>
  <conditionalFormatting sqref="O5:O9">
    <cfRule type="top10" dxfId="8" priority="1" percent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89B4-D31B-4FDA-A8C7-BC7A6855909B}">
  <dimension ref="A1:S181"/>
  <sheetViews>
    <sheetView tabSelected="1" topLeftCell="A165" workbookViewId="0">
      <selection activeCell="X18" sqref="X18"/>
    </sheetView>
  </sheetViews>
  <sheetFormatPr defaultRowHeight="15"/>
  <cols>
    <col min="1" max="1" width="9.85546875" style="29" customWidth="1"/>
    <col min="2" max="2" width="23.140625" style="29" customWidth="1"/>
    <col min="3" max="3" width="16.42578125" style="29" customWidth="1"/>
    <col min="4" max="4" width="22.7109375" style="29" customWidth="1"/>
    <col min="5" max="5" width="13.140625" style="29" customWidth="1"/>
    <col min="6" max="6" width="12.5703125" style="29" customWidth="1"/>
    <col min="7" max="7" width="9.7109375" style="29" bestFit="1" customWidth="1"/>
    <col min="8" max="8" width="18.42578125" style="29" customWidth="1"/>
    <col min="9" max="10" width="15.28515625" style="29" customWidth="1"/>
    <col min="11" max="11" width="16.140625" style="29" customWidth="1"/>
    <col min="15" max="15" width="13.140625" bestFit="1" customWidth="1"/>
    <col min="16" max="16" width="12.5703125" bestFit="1" customWidth="1"/>
    <col min="17" max="17" width="20.85546875" bestFit="1" customWidth="1"/>
    <col min="18" max="18" width="13.140625" bestFit="1" customWidth="1"/>
    <col min="19" max="19" width="12.5703125" bestFit="1" customWidth="1"/>
  </cols>
  <sheetData>
    <row r="1" spans="1:19" ht="15.75">
      <c r="A1" s="28" t="s">
        <v>68</v>
      </c>
      <c r="B1" s="28" t="s">
        <v>69</v>
      </c>
      <c r="C1" s="28" t="s">
        <v>70</v>
      </c>
      <c r="D1" s="28" t="s">
        <v>71</v>
      </c>
      <c r="E1" s="28" t="s">
        <v>72</v>
      </c>
      <c r="F1" s="28" t="s">
        <v>73</v>
      </c>
      <c r="G1" s="28" t="s">
        <v>74</v>
      </c>
      <c r="H1" s="28" t="s">
        <v>75</v>
      </c>
      <c r="I1" s="28" t="s">
        <v>5</v>
      </c>
      <c r="J1" s="28" t="s">
        <v>4</v>
      </c>
      <c r="K1" s="28" t="s">
        <v>76</v>
      </c>
      <c r="O1" s="30" t="s">
        <v>76</v>
      </c>
      <c r="P1" t="s">
        <v>119</v>
      </c>
    </row>
    <row r="2" spans="1:19" ht="15.75">
      <c r="A2" s="27" t="s">
        <v>77</v>
      </c>
      <c r="B2" s="26">
        <v>1001</v>
      </c>
      <c r="C2" s="28">
        <v>9822</v>
      </c>
      <c r="D2" s="28" t="s">
        <v>78</v>
      </c>
      <c r="E2" s="25">
        <v>58.3</v>
      </c>
      <c r="F2" s="25">
        <v>98.4</v>
      </c>
      <c r="G2" s="25">
        <f>Table4[[#This Row],[Sale Price]]-Table4[[#This Row],[Store Cost]]</f>
        <v>40.100000000000009</v>
      </c>
      <c r="H2" s="28">
        <f>IF(Table4[[#This Row],[Profit]]&gt;=50,Table4[[#This Row],[Profit]]*0.2,Table4[[#This Row],[Profit]]*0.1)</f>
        <v>4.0100000000000007</v>
      </c>
      <c r="I2" s="28" t="s">
        <v>108</v>
      </c>
      <c r="J2" s="28" t="s">
        <v>109</v>
      </c>
      <c r="K2" s="28" t="s">
        <v>79</v>
      </c>
    </row>
    <row r="3" spans="1:19" ht="15.75">
      <c r="A3" s="27" t="s">
        <v>77</v>
      </c>
      <c r="B3" s="26">
        <v>1002</v>
      </c>
      <c r="C3" s="28">
        <v>2877</v>
      </c>
      <c r="D3" s="28" t="s">
        <v>80</v>
      </c>
      <c r="E3" s="25">
        <v>11.4</v>
      </c>
      <c r="F3" s="25">
        <v>16.3</v>
      </c>
      <c r="G3" s="25">
        <f>Table4[[#This Row],[Sale Price]]-Table4[[#This Row],[Store Cost]]</f>
        <v>4.9000000000000004</v>
      </c>
      <c r="H3" s="28">
        <f>IF(Table4[[#This Row],[Profit]]&gt;=50,Table4[[#This Row],[Profit]]*0.2,Table4[[#This Row],[Profit]]*0.1)</f>
        <v>0.49000000000000005</v>
      </c>
      <c r="I3" s="28" t="s">
        <v>110</v>
      </c>
      <c r="J3" s="28" t="s">
        <v>111</v>
      </c>
      <c r="K3" s="28" t="s">
        <v>81</v>
      </c>
      <c r="O3" s="30" t="s">
        <v>116</v>
      </c>
      <c r="P3" t="s">
        <v>118</v>
      </c>
      <c r="R3" s="30" t="s">
        <v>116</v>
      </c>
      <c r="S3" t="s">
        <v>118</v>
      </c>
    </row>
    <row r="4" spans="1:19" ht="15.75">
      <c r="A4" s="27" t="s">
        <v>77</v>
      </c>
      <c r="B4" s="26">
        <v>1003</v>
      </c>
      <c r="C4" s="28">
        <v>2499</v>
      </c>
      <c r="D4" s="28" t="s">
        <v>82</v>
      </c>
      <c r="E4" s="25">
        <v>6.2</v>
      </c>
      <c r="F4" s="25">
        <v>9.1999999999999993</v>
      </c>
      <c r="G4" s="25">
        <f>Table4[[#This Row],[Sale Price]]-Table4[[#This Row],[Store Cost]]</f>
        <v>2.9999999999999991</v>
      </c>
      <c r="H4" s="28">
        <f>IF(Table4[[#This Row],[Profit]]&gt;=50,Table4[[#This Row],[Profit]]*0.2,Table4[[#This Row],[Profit]]*0.1)</f>
        <v>0.29999999999999993</v>
      </c>
      <c r="I4" s="28" t="s">
        <v>112</v>
      </c>
      <c r="J4" s="28" t="s">
        <v>113</v>
      </c>
      <c r="K4" s="28" t="s">
        <v>83</v>
      </c>
      <c r="O4" s="31" t="s">
        <v>77</v>
      </c>
      <c r="P4" s="2">
        <v>486.69999999999993</v>
      </c>
      <c r="R4" s="31" t="s">
        <v>108</v>
      </c>
      <c r="S4" s="2">
        <v>2015.1</v>
      </c>
    </row>
    <row r="5" spans="1:19" ht="15.75">
      <c r="A5" s="27" t="s">
        <v>77</v>
      </c>
      <c r="B5" s="26">
        <v>1004</v>
      </c>
      <c r="C5" s="28">
        <v>8722</v>
      </c>
      <c r="D5" s="28" t="s">
        <v>84</v>
      </c>
      <c r="E5" s="25">
        <v>344</v>
      </c>
      <c r="F5" s="25">
        <v>502</v>
      </c>
      <c r="G5" s="25">
        <f>Table4[[#This Row],[Sale Price]]-Table4[[#This Row],[Store Cost]]</f>
        <v>158</v>
      </c>
      <c r="H5" s="28">
        <f>IF(Table4[[#This Row],[Profit]]&gt;=50,Table4[[#This Row],[Profit]]*0.2,Table4[[#This Row],[Profit]]*0.1)</f>
        <v>31.6</v>
      </c>
      <c r="I5" s="28" t="s">
        <v>108</v>
      </c>
      <c r="J5" s="28" t="s">
        <v>109</v>
      </c>
      <c r="K5" s="28" t="s">
        <v>83</v>
      </c>
      <c r="O5" s="31" t="s">
        <v>89</v>
      </c>
      <c r="P5" s="2">
        <v>365.7</v>
      </c>
      <c r="R5" s="31" t="s">
        <v>112</v>
      </c>
      <c r="S5" s="2">
        <v>2235.8999999999996</v>
      </c>
    </row>
    <row r="6" spans="1:19" ht="15.75">
      <c r="A6" s="27" t="s">
        <v>77</v>
      </c>
      <c r="B6" s="26">
        <v>1005</v>
      </c>
      <c r="C6" s="28">
        <v>1109</v>
      </c>
      <c r="D6" s="28" t="s">
        <v>85</v>
      </c>
      <c r="E6" s="25">
        <v>3</v>
      </c>
      <c r="F6" s="25">
        <v>8</v>
      </c>
      <c r="G6" s="25">
        <f>Table4[[#This Row],[Sale Price]]-Table4[[#This Row],[Store Cost]]</f>
        <v>5</v>
      </c>
      <c r="H6" s="28">
        <f>IF(Table4[[#This Row],[Profit]]&gt;=50,Table4[[#This Row],[Profit]]*0.2,Table4[[#This Row],[Profit]]*0.1)</f>
        <v>0.5</v>
      </c>
      <c r="I6" s="28" t="s">
        <v>112</v>
      </c>
      <c r="J6" s="28" t="s">
        <v>113</v>
      </c>
      <c r="K6" s="28" t="s">
        <v>83</v>
      </c>
      <c r="O6" s="31" t="s">
        <v>96</v>
      </c>
      <c r="P6" s="2">
        <v>240.9</v>
      </c>
      <c r="R6" s="31" t="s">
        <v>114</v>
      </c>
      <c r="S6" s="2">
        <v>1084.0999999999999</v>
      </c>
    </row>
    <row r="7" spans="1:19" ht="15.75">
      <c r="A7" s="27" t="s">
        <v>77</v>
      </c>
      <c r="B7" s="26">
        <v>1006</v>
      </c>
      <c r="C7" s="28">
        <v>9822</v>
      </c>
      <c r="D7" s="28" t="s">
        <v>78</v>
      </c>
      <c r="E7" s="25">
        <v>58.3</v>
      </c>
      <c r="F7" s="25">
        <v>98.4</v>
      </c>
      <c r="G7" s="25">
        <f>Table4[[#This Row],[Sale Price]]-Table4[[#This Row],[Store Cost]]</f>
        <v>40.100000000000009</v>
      </c>
      <c r="H7" s="28">
        <f>IF(Table4[[#This Row],[Profit]]&gt;=50,Table4[[#This Row],[Profit]]*0.2,Table4[[#This Row],[Profit]]*0.1)</f>
        <v>4.0100000000000007</v>
      </c>
      <c r="I7" s="28" t="s">
        <v>112</v>
      </c>
      <c r="J7" s="28" t="s">
        <v>113</v>
      </c>
      <c r="K7" s="28" t="s">
        <v>83</v>
      </c>
      <c r="O7" s="31" t="s">
        <v>98</v>
      </c>
      <c r="P7" s="2">
        <v>163.60000000000002</v>
      </c>
      <c r="R7" s="31" t="s">
        <v>110</v>
      </c>
      <c r="S7" s="2">
        <v>1021.6</v>
      </c>
    </row>
    <row r="8" spans="1:19" ht="15.75">
      <c r="A8" s="27" t="s">
        <v>77</v>
      </c>
      <c r="B8" s="26">
        <v>1007</v>
      </c>
      <c r="C8" s="28">
        <v>1109</v>
      </c>
      <c r="D8" s="28" t="s">
        <v>85</v>
      </c>
      <c r="E8" s="25">
        <v>3</v>
      </c>
      <c r="F8" s="25">
        <v>8</v>
      </c>
      <c r="G8" s="25">
        <f>Table4[[#This Row],[Sale Price]]-Table4[[#This Row],[Store Cost]]</f>
        <v>5</v>
      </c>
      <c r="H8" s="28">
        <f>IF(Table4[[#This Row],[Profit]]&gt;=50,Table4[[#This Row],[Profit]]*0.2,Table4[[#This Row],[Profit]]*0.1)</f>
        <v>0.5</v>
      </c>
      <c r="I8" s="28" t="s">
        <v>114</v>
      </c>
      <c r="J8" s="28" t="s">
        <v>115</v>
      </c>
      <c r="K8" s="28" t="s">
        <v>79</v>
      </c>
      <c r="O8" s="31" t="s">
        <v>99</v>
      </c>
      <c r="P8" s="2">
        <v>1466.2</v>
      </c>
      <c r="R8" s="31" t="s">
        <v>117</v>
      </c>
      <c r="S8" s="2">
        <v>6356.7000000000007</v>
      </c>
    </row>
    <row r="9" spans="1:19" ht="15.75">
      <c r="A9" s="27" t="s">
        <v>77</v>
      </c>
      <c r="B9" s="26">
        <v>1008</v>
      </c>
      <c r="C9" s="28">
        <v>2877</v>
      </c>
      <c r="D9" s="28" t="s">
        <v>80</v>
      </c>
      <c r="E9" s="25">
        <v>11.4</v>
      </c>
      <c r="F9" s="25">
        <v>16.3</v>
      </c>
      <c r="G9" s="25">
        <f>Table4[[#This Row],[Sale Price]]-Table4[[#This Row],[Store Cost]]</f>
        <v>4.9000000000000004</v>
      </c>
      <c r="H9" s="28">
        <f>IF(Table4[[#This Row],[Profit]]&gt;=50,Table4[[#This Row],[Profit]]*0.2,Table4[[#This Row],[Profit]]*0.1)</f>
        <v>0.49000000000000005</v>
      </c>
      <c r="I9" s="28" t="s">
        <v>112</v>
      </c>
      <c r="J9" s="28" t="s">
        <v>113</v>
      </c>
      <c r="K9" s="28" t="s">
        <v>79</v>
      </c>
      <c r="O9" s="31" t="s">
        <v>94</v>
      </c>
      <c r="P9" s="2">
        <v>639.79999999999995</v>
      </c>
    </row>
    <row r="10" spans="1:19" ht="15.75">
      <c r="A10" s="27" t="s">
        <v>77</v>
      </c>
      <c r="B10" s="26">
        <v>1009</v>
      </c>
      <c r="C10" s="28">
        <v>1109</v>
      </c>
      <c r="D10" s="28" t="s">
        <v>85</v>
      </c>
      <c r="E10" s="25">
        <v>3</v>
      </c>
      <c r="F10" s="25">
        <v>8</v>
      </c>
      <c r="G10" s="25">
        <f>Table4[[#This Row],[Sale Price]]-Table4[[#This Row],[Store Cost]]</f>
        <v>5</v>
      </c>
      <c r="H10" s="28">
        <f>IF(Table4[[#This Row],[Profit]]&gt;=50,Table4[[#This Row],[Profit]]*0.2,Table4[[#This Row],[Profit]]*0.1)</f>
        <v>0.5</v>
      </c>
      <c r="I10" s="28" t="s">
        <v>112</v>
      </c>
      <c r="J10" s="28" t="s">
        <v>113</v>
      </c>
      <c r="K10" s="28" t="s">
        <v>83</v>
      </c>
      <c r="O10" s="31" t="s">
        <v>97</v>
      </c>
      <c r="P10" s="2">
        <v>146.70000000000002</v>
      </c>
    </row>
    <row r="11" spans="1:19" ht="15.75">
      <c r="A11" s="27" t="s">
        <v>77</v>
      </c>
      <c r="B11" s="26">
        <v>1010</v>
      </c>
      <c r="C11" s="28">
        <v>2877</v>
      </c>
      <c r="D11" s="28" t="s">
        <v>80</v>
      </c>
      <c r="E11" s="25">
        <v>11.4</v>
      </c>
      <c r="F11" s="25">
        <v>16.3</v>
      </c>
      <c r="G11" s="25">
        <f>Table4[[#This Row],[Sale Price]]-Table4[[#This Row],[Store Cost]]</f>
        <v>4.9000000000000004</v>
      </c>
      <c r="H11" s="28">
        <f>IF(Table4[[#This Row],[Profit]]&gt;=50,Table4[[#This Row],[Profit]]*0.2,Table4[[#This Row],[Profit]]*0.1)</f>
        <v>0.49000000000000005</v>
      </c>
      <c r="I11" s="28" t="s">
        <v>110</v>
      </c>
      <c r="J11" s="28" t="s">
        <v>111</v>
      </c>
      <c r="K11" s="28" t="s">
        <v>86</v>
      </c>
      <c r="O11" s="31" t="s">
        <v>100</v>
      </c>
      <c r="P11" s="2">
        <v>935.40000000000009</v>
      </c>
    </row>
    <row r="12" spans="1:19" ht="15.75">
      <c r="A12" s="27" t="s">
        <v>77</v>
      </c>
      <c r="B12" s="26">
        <v>1011</v>
      </c>
      <c r="C12" s="28">
        <v>2877</v>
      </c>
      <c r="D12" s="28" t="s">
        <v>80</v>
      </c>
      <c r="E12" s="25">
        <v>11.4</v>
      </c>
      <c r="F12" s="25">
        <v>16.3</v>
      </c>
      <c r="G12" s="25">
        <f>Table4[[#This Row],[Sale Price]]-Table4[[#This Row],[Store Cost]]</f>
        <v>4.9000000000000004</v>
      </c>
      <c r="H12" s="28">
        <f>IF(Table4[[#This Row],[Profit]]&gt;=50,Table4[[#This Row],[Profit]]*0.2,Table4[[#This Row],[Profit]]*0.1)</f>
        <v>0.49000000000000005</v>
      </c>
      <c r="I12" s="28" t="s">
        <v>110</v>
      </c>
      <c r="J12" s="28" t="s">
        <v>111</v>
      </c>
      <c r="K12" s="28" t="s">
        <v>83</v>
      </c>
      <c r="O12" s="31" t="s">
        <v>102</v>
      </c>
      <c r="P12" s="2">
        <v>477.1</v>
      </c>
    </row>
    <row r="13" spans="1:19" ht="15.75">
      <c r="A13" s="27" t="s">
        <v>77</v>
      </c>
      <c r="B13" s="26">
        <v>1012</v>
      </c>
      <c r="C13" s="28">
        <v>4421</v>
      </c>
      <c r="D13" s="28" t="s">
        <v>87</v>
      </c>
      <c r="E13" s="25">
        <v>45</v>
      </c>
      <c r="F13" s="25">
        <v>87</v>
      </c>
      <c r="G13" s="25">
        <f>Table4[[#This Row],[Sale Price]]-Table4[[#This Row],[Store Cost]]</f>
        <v>42</v>
      </c>
      <c r="H13" s="28">
        <f>IF(Table4[[#This Row],[Profit]]&gt;=50,Table4[[#This Row],[Profit]]*0.2,Table4[[#This Row],[Profit]]*0.1)</f>
        <v>4.2</v>
      </c>
      <c r="I13" s="28" t="s">
        <v>112</v>
      </c>
      <c r="J13" s="28" t="s">
        <v>113</v>
      </c>
      <c r="K13" s="28" t="s">
        <v>79</v>
      </c>
      <c r="O13" s="31" t="s">
        <v>103</v>
      </c>
      <c r="P13" s="2">
        <v>519.30000000000007</v>
      </c>
    </row>
    <row r="14" spans="1:19" ht="15.75">
      <c r="A14" s="27" t="s">
        <v>77</v>
      </c>
      <c r="B14" s="26">
        <v>1013</v>
      </c>
      <c r="C14" s="28">
        <v>9212</v>
      </c>
      <c r="D14" s="28" t="s">
        <v>88</v>
      </c>
      <c r="E14" s="25">
        <v>4</v>
      </c>
      <c r="F14" s="25">
        <v>7</v>
      </c>
      <c r="G14" s="25">
        <f>Table4[[#This Row],[Sale Price]]-Table4[[#This Row],[Store Cost]]</f>
        <v>3</v>
      </c>
      <c r="H14" s="28">
        <f>IF(Table4[[#This Row],[Profit]]&gt;=50,Table4[[#This Row],[Profit]]*0.2,Table4[[#This Row],[Profit]]*0.1)</f>
        <v>0.30000000000000004</v>
      </c>
      <c r="I14" s="28" t="s">
        <v>114</v>
      </c>
      <c r="J14" s="28" t="s">
        <v>115</v>
      </c>
      <c r="K14" s="28" t="s">
        <v>86</v>
      </c>
      <c r="O14" s="31" t="s">
        <v>104</v>
      </c>
      <c r="P14" s="2">
        <v>346.1</v>
      </c>
    </row>
    <row r="15" spans="1:19" ht="15.75">
      <c r="A15" s="27" t="s">
        <v>77</v>
      </c>
      <c r="B15" s="26">
        <v>1014</v>
      </c>
      <c r="C15" s="28">
        <v>8722</v>
      </c>
      <c r="D15" s="28" t="s">
        <v>84</v>
      </c>
      <c r="E15" s="25">
        <v>344</v>
      </c>
      <c r="F15" s="25">
        <v>502</v>
      </c>
      <c r="G15" s="25">
        <f>Table4[[#This Row],[Sale Price]]-Table4[[#This Row],[Store Cost]]</f>
        <v>158</v>
      </c>
      <c r="H15" s="28">
        <f>IF(Table4[[#This Row],[Profit]]&gt;=50,Table4[[#This Row],[Profit]]*0.2,Table4[[#This Row],[Profit]]*0.1)</f>
        <v>31.6</v>
      </c>
      <c r="I15" s="28" t="s">
        <v>108</v>
      </c>
      <c r="J15" s="28" t="s">
        <v>109</v>
      </c>
      <c r="K15" s="28" t="s">
        <v>81</v>
      </c>
      <c r="O15" s="31" t="s">
        <v>101</v>
      </c>
      <c r="P15" s="2">
        <v>569.20000000000005</v>
      </c>
    </row>
    <row r="16" spans="1:19" ht="15.75">
      <c r="A16" s="27" t="s">
        <v>77</v>
      </c>
      <c r="B16" s="26">
        <v>1015</v>
      </c>
      <c r="C16" s="28">
        <v>2877</v>
      </c>
      <c r="D16" s="28" t="s">
        <v>80</v>
      </c>
      <c r="E16" s="25">
        <v>11.4</v>
      </c>
      <c r="F16" s="25">
        <v>16.3</v>
      </c>
      <c r="G16" s="25">
        <f>Table4[[#This Row],[Sale Price]]-Table4[[#This Row],[Store Cost]]</f>
        <v>4.9000000000000004</v>
      </c>
      <c r="H16" s="28">
        <f>IF(Table4[[#This Row],[Profit]]&gt;=50,Table4[[#This Row],[Profit]]*0.2,Table4[[#This Row],[Profit]]*0.1)</f>
        <v>0.49000000000000005</v>
      </c>
      <c r="I16" s="28" t="s">
        <v>114</v>
      </c>
      <c r="J16" s="28" t="s">
        <v>115</v>
      </c>
      <c r="K16" s="28" t="s">
        <v>83</v>
      </c>
      <c r="O16" s="31" t="s">
        <v>117</v>
      </c>
      <c r="P16" s="2">
        <v>6356.7000000000007</v>
      </c>
    </row>
    <row r="17" spans="1:11" ht="15.75">
      <c r="A17" s="27" t="s">
        <v>77</v>
      </c>
      <c r="B17" s="26">
        <v>1016</v>
      </c>
      <c r="C17" s="28">
        <v>2499</v>
      </c>
      <c r="D17" s="28" t="s">
        <v>82</v>
      </c>
      <c r="E17" s="25">
        <v>6.2</v>
      </c>
      <c r="F17" s="25">
        <v>9.1999999999999993</v>
      </c>
      <c r="G17" s="25">
        <f>Table4[[#This Row],[Sale Price]]-Table4[[#This Row],[Store Cost]]</f>
        <v>2.9999999999999991</v>
      </c>
      <c r="H17" s="28">
        <f>IF(Table4[[#This Row],[Profit]]&gt;=50,Table4[[#This Row],[Profit]]*0.2,Table4[[#This Row],[Profit]]*0.1)</f>
        <v>0.29999999999999993</v>
      </c>
      <c r="I17" s="28" t="s">
        <v>112</v>
      </c>
      <c r="J17" s="28" t="s">
        <v>113</v>
      </c>
      <c r="K17" s="28" t="s">
        <v>81</v>
      </c>
    </row>
    <row r="18" spans="1:11" ht="15.75">
      <c r="A18" s="27" t="s">
        <v>89</v>
      </c>
      <c r="B18" s="26">
        <v>1017</v>
      </c>
      <c r="C18" s="28">
        <v>2242</v>
      </c>
      <c r="D18" s="28" t="s">
        <v>90</v>
      </c>
      <c r="E18" s="25">
        <v>60</v>
      </c>
      <c r="F18" s="25">
        <v>124</v>
      </c>
      <c r="G18" s="25">
        <f>Table4[[#This Row],[Sale Price]]-Table4[[#This Row],[Store Cost]]</f>
        <v>64</v>
      </c>
      <c r="H18" s="28">
        <f>IF(Table4[[#This Row],[Profit]]&gt;=50,Table4[[#This Row],[Profit]]*0.2,Table4[[#This Row],[Profit]]*0.1)</f>
        <v>12.8</v>
      </c>
      <c r="I18" s="28" t="s">
        <v>110</v>
      </c>
      <c r="J18" s="28" t="s">
        <v>111</v>
      </c>
      <c r="K18" s="28" t="s">
        <v>79</v>
      </c>
    </row>
    <row r="19" spans="1:11" ht="15.75">
      <c r="A19" s="27" t="s">
        <v>89</v>
      </c>
      <c r="B19" s="26">
        <v>1018</v>
      </c>
      <c r="C19" s="28">
        <v>1109</v>
      </c>
      <c r="D19" s="28" t="s">
        <v>85</v>
      </c>
      <c r="E19" s="25">
        <v>3</v>
      </c>
      <c r="F19" s="25">
        <v>8</v>
      </c>
      <c r="G19" s="25">
        <f>Table4[[#This Row],[Sale Price]]-Table4[[#This Row],[Store Cost]]</f>
        <v>5</v>
      </c>
      <c r="H19" s="28">
        <f>IF(Table4[[#This Row],[Profit]]&gt;=50,Table4[[#This Row],[Profit]]*0.2,Table4[[#This Row],[Profit]]*0.1)</f>
        <v>0.5</v>
      </c>
      <c r="I19" s="28" t="s">
        <v>112</v>
      </c>
      <c r="J19" s="28" t="s">
        <v>113</v>
      </c>
      <c r="K19" s="28" t="s">
        <v>81</v>
      </c>
    </row>
    <row r="20" spans="1:11" ht="15.75">
      <c r="A20" s="27" t="s">
        <v>89</v>
      </c>
      <c r="B20" s="26">
        <v>1019</v>
      </c>
      <c r="C20" s="28">
        <v>2499</v>
      </c>
      <c r="D20" s="28" t="s">
        <v>82</v>
      </c>
      <c r="E20" s="25">
        <v>6.2</v>
      </c>
      <c r="F20" s="25">
        <v>9.1999999999999993</v>
      </c>
      <c r="G20" s="25">
        <f>Table4[[#This Row],[Sale Price]]-Table4[[#This Row],[Store Cost]]</f>
        <v>2.9999999999999991</v>
      </c>
      <c r="H20" s="28">
        <f>IF(Table4[[#This Row],[Profit]]&gt;=50,Table4[[#This Row],[Profit]]*0.2,Table4[[#This Row],[Profit]]*0.1)</f>
        <v>0.29999999999999993</v>
      </c>
      <c r="I20" s="28" t="s">
        <v>112</v>
      </c>
      <c r="J20" s="28" t="s">
        <v>113</v>
      </c>
      <c r="K20" s="28" t="s">
        <v>86</v>
      </c>
    </row>
    <row r="21" spans="1:11" ht="15.75">
      <c r="A21" s="27" t="s">
        <v>89</v>
      </c>
      <c r="B21" s="26">
        <v>1020</v>
      </c>
      <c r="C21" s="28">
        <v>2499</v>
      </c>
      <c r="D21" s="28" t="s">
        <v>82</v>
      </c>
      <c r="E21" s="25">
        <v>6.2</v>
      </c>
      <c r="F21" s="25">
        <v>9.1999999999999993</v>
      </c>
      <c r="G21" s="25">
        <f>Table4[[#This Row],[Sale Price]]-Table4[[#This Row],[Store Cost]]</f>
        <v>2.9999999999999991</v>
      </c>
      <c r="H21" s="28">
        <f>IF(Table4[[#This Row],[Profit]]&gt;=50,Table4[[#This Row],[Profit]]*0.2,Table4[[#This Row],[Profit]]*0.1)</f>
        <v>0.29999999999999993</v>
      </c>
      <c r="I21" s="28" t="s">
        <v>112</v>
      </c>
      <c r="J21" s="28" t="s">
        <v>113</v>
      </c>
      <c r="K21" s="28" t="s">
        <v>91</v>
      </c>
    </row>
    <row r="22" spans="1:11" ht="15.75">
      <c r="A22" s="27" t="s">
        <v>89</v>
      </c>
      <c r="B22" s="26">
        <v>1021</v>
      </c>
      <c r="C22" s="28">
        <v>1109</v>
      </c>
      <c r="D22" s="28" t="s">
        <v>85</v>
      </c>
      <c r="E22" s="25">
        <v>3</v>
      </c>
      <c r="F22" s="25">
        <v>8</v>
      </c>
      <c r="G22" s="25">
        <f>Table4[[#This Row],[Sale Price]]-Table4[[#This Row],[Store Cost]]</f>
        <v>5</v>
      </c>
      <c r="H22" s="28">
        <f>IF(Table4[[#This Row],[Profit]]&gt;=50,Table4[[#This Row],[Profit]]*0.2,Table4[[#This Row],[Profit]]*0.1)</f>
        <v>0.5</v>
      </c>
      <c r="I22" s="28" t="s">
        <v>110</v>
      </c>
      <c r="J22" s="28" t="s">
        <v>111</v>
      </c>
      <c r="K22" s="28" t="s">
        <v>86</v>
      </c>
    </row>
    <row r="23" spans="1:11" ht="15.75">
      <c r="A23" s="27" t="s">
        <v>89</v>
      </c>
      <c r="B23" s="26">
        <v>1022</v>
      </c>
      <c r="C23" s="28">
        <v>2877</v>
      </c>
      <c r="D23" s="28" t="s">
        <v>80</v>
      </c>
      <c r="E23" s="25">
        <v>11.4</v>
      </c>
      <c r="F23" s="25">
        <v>16.3</v>
      </c>
      <c r="G23" s="25">
        <f>Table4[[#This Row],[Sale Price]]-Table4[[#This Row],[Store Cost]]</f>
        <v>4.9000000000000004</v>
      </c>
      <c r="H23" s="28">
        <f>IF(Table4[[#This Row],[Profit]]&gt;=50,Table4[[#This Row],[Profit]]*0.2,Table4[[#This Row],[Profit]]*0.1)</f>
        <v>0.49000000000000005</v>
      </c>
      <c r="I23" s="28" t="s">
        <v>112</v>
      </c>
      <c r="J23" s="28" t="s">
        <v>113</v>
      </c>
      <c r="K23" s="28" t="s">
        <v>92</v>
      </c>
    </row>
    <row r="24" spans="1:11" ht="15.75">
      <c r="A24" s="27" t="s">
        <v>89</v>
      </c>
      <c r="B24" s="26">
        <v>1023</v>
      </c>
      <c r="C24" s="28">
        <v>1109</v>
      </c>
      <c r="D24" s="28" t="s">
        <v>85</v>
      </c>
      <c r="E24" s="25">
        <v>3</v>
      </c>
      <c r="F24" s="25">
        <v>8</v>
      </c>
      <c r="G24" s="25">
        <f>Table4[[#This Row],[Sale Price]]-Table4[[#This Row],[Store Cost]]</f>
        <v>5</v>
      </c>
      <c r="H24" s="28">
        <f>IF(Table4[[#This Row],[Profit]]&gt;=50,Table4[[#This Row],[Profit]]*0.2,Table4[[#This Row],[Profit]]*0.1)</f>
        <v>0.5</v>
      </c>
      <c r="I24" s="28" t="s">
        <v>114</v>
      </c>
      <c r="J24" s="28" t="s">
        <v>115</v>
      </c>
      <c r="K24" s="28" t="s">
        <v>79</v>
      </c>
    </row>
    <row r="25" spans="1:11" ht="15.75">
      <c r="A25" s="27" t="s">
        <v>89</v>
      </c>
      <c r="B25" s="26">
        <v>1024</v>
      </c>
      <c r="C25" s="28">
        <v>9212</v>
      </c>
      <c r="D25" s="28" t="s">
        <v>88</v>
      </c>
      <c r="E25" s="25">
        <v>4</v>
      </c>
      <c r="F25" s="25">
        <v>7</v>
      </c>
      <c r="G25" s="25">
        <f>Table4[[#This Row],[Sale Price]]-Table4[[#This Row],[Store Cost]]</f>
        <v>3</v>
      </c>
      <c r="H25" s="28">
        <f>IF(Table4[[#This Row],[Profit]]&gt;=50,Table4[[#This Row],[Profit]]*0.2,Table4[[#This Row],[Profit]]*0.1)</f>
        <v>0.30000000000000004</v>
      </c>
      <c r="I25" s="28" t="s">
        <v>110</v>
      </c>
      <c r="J25" s="28" t="s">
        <v>111</v>
      </c>
      <c r="K25" s="28" t="s">
        <v>92</v>
      </c>
    </row>
    <row r="26" spans="1:11" ht="15.75">
      <c r="A26" s="27" t="s">
        <v>89</v>
      </c>
      <c r="B26" s="26">
        <v>1025</v>
      </c>
      <c r="C26" s="28">
        <v>2877</v>
      </c>
      <c r="D26" s="28" t="s">
        <v>80</v>
      </c>
      <c r="E26" s="25">
        <v>11.4</v>
      </c>
      <c r="F26" s="25">
        <v>16.3</v>
      </c>
      <c r="G26" s="25">
        <f>Table4[[#This Row],[Sale Price]]-Table4[[#This Row],[Store Cost]]</f>
        <v>4.9000000000000004</v>
      </c>
      <c r="H26" s="28">
        <f>IF(Table4[[#This Row],[Profit]]&gt;=50,Table4[[#This Row],[Profit]]*0.2,Table4[[#This Row],[Profit]]*0.1)</f>
        <v>0.49000000000000005</v>
      </c>
      <c r="I26" s="28" t="s">
        <v>114</v>
      </c>
      <c r="J26" s="28" t="s">
        <v>115</v>
      </c>
      <c r="K26" s="28" t="s">
        <v>91</v>
      </c>
    </row>
    <row r="27" spans="1:11" ht="15.75">
      <c r="A27" s="27" t="s">
        <v>89</v>
      </c>
      <c r="B27" s="26">
        <v>1026</v>
      </c>
      <c r="C27" s="28">
        <v>6119</v>
      </c>
      <c r="D27" s="28" t="s">
        <v>93</v>
      </c>
      <c r="E27" s="25">
        <v>9</v>
      </c>
      <c r="F27" s="25">
        <v>14</v>
      </c>
      <c r="G27" s="25">
        <f>Table4[[#This Row],[Sale Price]]-Table4[[#This Row],[Store Cost]]</f>
        <v>5</v>
      </c>
      <c r="H27" s="28">
        <f>IF(Table4[[#This Row],[Profit]]&gt;=50,Table4[[#This Row],[Profit]]*0.2,Table4[[#This Row],[Profit]]*0.1)</f>
        <v>0.5</v>
      </c>
      <c r="I27" s="28" t="s">
        <v>114</v>
      </c>
      <c r="J27" s="28" t="s">
        <v>115</v>
      </c>
      <c r="K27" s="28" t="s">
        <v>79</v>
      </c>
    </row>
    <row r="28" spans="1:11" ht="15.75">
      <c r="A28" s="27" t="s">
        <v>89</v>
      </c>
      <c r="B28" s="26">
        <v>1027</v>
      </c>
      <c r="C28" s="28">
        <v>6119</v>
      </c>
      <c r="D28" s="28" t="s">
        <v>93</v>
      </c>
      <c r="E28" s="25">
        <v>9</v>
      </c>
      <c r="F28" s="25">
        <v>14</v>
      </c>
      <c r="G28" s="25">
        <f>Table4[[#This Row],[Sale Price]]-Table4[[#This Row],[Store Cost]]</f>
        <v>5</v>
      </c>
      <c r="H28" s="28">
        <f>IF(Table4[[#This Row],[Profit]]&gt;=50,Table4[[#This Row],[Profit]]*0.2,Table4[[#This Row],[Profit]]*0.1)</f>
        <v>0.5</v>
      </c>
      <c r="I28" s="28" t="s">
        <v>108</v>
      </c>
      <c r="J28" s="28" t="s">
        <v>109</v>
      </c>
      <c r="K28" s="28" t="s">
        <v>91</v>
      </c>
    </row>
    <row r="29" spans="1:11" ht="15.75">
      <c r="A29" s="27" t="s">
        <v>89</v>
      </c>
      <c r="B29" s="26">
        <v>1028</v>
      </c>
      <c r="C29" s="28">
        <v>8722</v>
      </c>
      <c r="D29" s="28" t="s">
        <v>84</v>
      </c>
      <c r="E29" s="25">
        <v>344</v>
      </c>
      <c r="F29" s="25">
        <v>502</v>
      </c>
      <c r="G29" s="25">
        <f>Table4[[#This Row],[Sale Price]]-Table4[[#This Row],[Store Cost]]</f>
        <v>158</v>
      </c>
      <c r="H29" s="28">
        <f>IF(Table4[[#This Row],[Profit]]&gt;=50,Table4[[#This Row],[Profit]]*0.2,Table4[[#This Row],[Profit]]*0.1)</f>
        <v>31.6</v>
      </c>
      <c r="I29" s="28" t="s">
        <v>108</v>
      </c>
      <c r="J29" s="28" t="s">
        <v>109</v>
      </c>
      <c r="K29" s="28" t="s">
        <v>83</v>
      </c>
    </row>
    <row r="30" spans="1:11" ht="15.75">
      <c r="A30" s="27" t="s">
        <v>89</v>
      </c>
      <c r="B30" s="26">
        <v>1029</v>
      </c>
      <c r="C30" s="28">
        <v>2499</v>
      </c>
      <c r="D30" s="28" t="s">
        <v>82</v>
      </c>
      <c r="E30" s="25">
        <v>6.2</v>
      </c>
      <c r="F30" s="25">
        <v>9.1999999999999993</v>
      </c>
      <c r="G30" s="25">
        <f>Table4[[#This Row],[Sale Price]]-Table4[[#This Row],[Store Cost]]</f>
        <v>2.9999999999999991</v>
      </c>
      <c r="H30" s="28">
        <f>IF(Table4[[#This Row],[Profit]]&gt;=50,Table4[[#This Row],[Profit]]*0.2,Table4[[#This Row],[Profit]]*0.1)</f>
        <v>0.29999999999999993</v>
      </c>
      <c r="I30" s="28" t="s">
        <v>110</v>
      </c>
      <c r="J30" s="28" t="s">
        <v>111</v>
      </c>
      <c r="K30" s="28" t="s">
        <v>83</v>
      </c>
    </row>
    <row r="31" spans="1:11" ht="15.75">
      <c r="A31" s="27" t="s">
        <v>89</v>
      </c>
      <c r="B31" s="26">
        <v>1030</v>
      </c>
      <c r="C31" s="28">
        <v>4421</v>
      </c>
      <c r="D31" s="28" t="s">
        <v>87</v>
      </c>
      <c r="E31" s="25">
        <v>45</v>
      </c>
      <c r="F31" s="25">
        <v>87</v>
      </c>
      <c r="G31" s="25">
        <f>Table4[[#This Row],[Sale Price]]-Table4[[#This Row],[Store Cost]]</f>
        <v>42</v>
      </c>
      <c r="H31" s="28">
        <f>IF(Table4[[#This Row],[Profit]]&gt;=50,Table4[[#This Row],[Profit]]*0.2,Table4[[#This Row],[Profit]]*0.1)</f>
        <v>4.2</v>
      </c>
      <c r="I31" s="28" t="s">
        <v>110</v>
      </c>
      <c r="J31" s="28" t="s">
        <v>111</v>
      </c>
      <c r="K31" s="28" t="s">
        <v>91</v>
      </c>
    </row>
    <row r="32" spans="1:11" ht="15.75">
      <c r="A32" s="27" t="s">
        <v>89</v>
      </c>
      <c r="B32" s="26">
        <v>1031</v>
      </c>
      <c r="C32" s="28">
        <v>1109</v>
      </c>
      <c r="D32" s="28" t="s">
        <v>85</v>
      </c>
      <c r="E32" s="25">
        <v>3</v>
      </c>
      <c r="F32" s="25">
        <v>8</v>
      </c>
      <c r="G32" s="25">
        <f>Table4[[#This Row],[Sale Price]]-Table4[[#This Row],[Store Cost]]</f>
        <v>5</v>
      </c>
      <c r="H32" s="28">
        <f>IF(Table4[[#This Row],[Profit]]&gt;=50,Table4[[#This Row],[Profit]]*0.2,Table4[[#This Row],[Profit]]*0.1)</f>
        <v>0.5</v>
      </c>
      <c r="I32" s="28" t="s">
        <v>110</v>
      </c>
      <c r="J32" s="28" t="s">
        <v>111</v>
      </c>
      <c r="K32" s="28" t="s">
        <v>81</v>
      </c>
    </row>
    <row r="33" spans="1:11" ht="15.75">
      <c r="A33" s="27" t="s">
        <v>89</v>
      </c>
      <c r="B33" s="26">
        <v>1032</v>
      </c>
      <c r="C33" s="28">
        <v>2877</v>
      </c>
      <c r="D33" s="28" t="s">
        <v>80</v>
      </c>
      <c r="E33" s="25">
        <v>11.4</v>
      </c>
      <c r="F33" s="25">
        <v>16.3</v>
      </c>
      <c r="G33" s="25">
        <f>Table4[[#This Row],[Sale Price]]-Table4[[#This Row],[Store Cost]]</f>
        <v>4.9000000000000004</v>
      </c>
      <c r="H33" s="28">
        <f>IF(Table4[[#This Row],[Profit]]&gt;=50,Table4[[#This Row],[Profit]]*0.2,Table4[[#This Row],[Profit]]*0.1)</f>
        <v>0.49000000000000005</v>
      </c>
      <c r="I33" s="28" t="s">
        <v>108</v>
      </c>
      <c r="J33" s="28" t="s">
        <v>109</v>
      </c>
      <c r="K33" s="28" t="s">
        <v>83</v>
      </c>
    </row>
    <row r="34" spans="1:11" ht="15.75">
      <c r="A34" s="27" t="s">
        <v>89</v>
      </c>
      <c r="B34" s="26">
        <v>1033</v>
      </c>
      <c r="C34" s="28">
        <v>9822</v>
      </c>
      <c r="D34" s="28" t="s">
        <v>78</v>
      </c>
      <c r="E34" s="25">
        <v>58.3</v>
      </c>
      <c r="F34" s="25">
        <v>98.4</v>
      </c>
      <c r="G34" s="25">
        <f>Table4[[#This Row],[Sale Price]]-Table4[[#This Row],[Store Cost]]</f>
        <v>40.100000000000009</v>
      </c>
      <c r="H34" s="28">
        <f>IF(Table4[[#This Row],[Profit]]&gt;=50,Table4[[#This Row],[Profit]]*0.2,Table4[[#This Row],[Profit]]*0.1)</f>
        <v>4.0100000000000007</v>
      </c>
      <c r="I34" s="28" t="s">
        <v>110</v>
      </c>
      <c r="J34" s="28" t="s">
        <v>111</v>
      </c>
      <c r="K34" s="28" t="s">
        <v>81</v>
      </c>
    </row>
    <row r="35" spans="1:11" ht="15.75">
      <c r="A35" s="27" t="s">
        <v>89</v>
      </c>
      <c r="B35" s="26">
        <v>1034</v>
      </c>
      <c r="C35" s="28">
        <v>2877</v>
      </c>
      <c r="D35" s="28" t="s">
        <v>80</v>
      </c>
      <c r="E35" s="25">
        <v>11.4</v>
      </c>
      <c r="F35" s="25">
        <v>16.3</v>
      </c>
      <c r="G35" s="25">
        <f>Table4[[#This Row],[Sale Price]]-Table4[[#This Row],[Store Cost]]</f>
        <v>4.9000000000000004</v>
      </c>
      <c r="H35" s="28">
        <f>IF(Table4[[#This Row],[Profit]]&gt;=50,Table4[[#This Row],[Profit]]*0.2,Table4[[#This Row],[Profit]]*0.1)</f>
        <v>0.49000000000000005</v>
      </c>
      <c r="I35" s="28" t="s">
        <v>110</v>
      </c>
      <c r="J35" s="28" t="s">
        <v>111</v>
      </c>
      <c r="K35" s="28" t="s">
        <v>86</v>
      </c>
    </row>
    <row r="36" spans="1:11" ht="15.75">
      <c r="A36" s="27" t="s">
        <v>94</v>
      </c>
      <c r="B36" s="26">
        <v>1035</v>
      </c>
      <c r="C36" s="28">
        <v>2499</v>
      </c>
      <c r="D36" s="28" t="s">
        <v>82</v>
      </c>
      <c r="E36" s="25">
        <v>6.2</v>
      </c>
      <c r="F36" s="25">
        <v>9.1999999999999993</v>
      </c>
      <c r="G36" s="25">
        <f>Table4[[#This Row],[Sale Price]]-Table4[[#This Row],[Store Cost]]</f>
        <v>2.9999999999999991</v>
      </c>
      <c r="H36" s="28">
        <f>IF(Table4[[#This Row],[Profit]]&gt;=50,Table4[[#This Row],[Profit]]*0.2,Table4[[#This Row],[Profit]]*0.1)</f>
        <v>0.29999999999999993</v>
      </c>
      <c r="I36" s="28" t="s">
        <v>114</v>
      </c>
      <c r="J36" s="28" t="s">
        <v>115</v>
      </c>
      <c r="K36" s="28" t="s">
        <v>81</v>
      </c>
    </row>
    <row r="37" spans="1:11" ht="15.75">
      <c r="A37" s="27" t="s">
        <v>94</v>
      </c>
      <c r="B37" s="26">
        <v>1036</v>
      </c>
      <c r="C37" s="28">
        <v>2499</v>
      </c>
      <c r="D37" s="28" t="s">
        <v>82</v>
      </c>
      <c r="E37" s="25">
        <v>6.2</v>
      </c>
      <c r="F37" s="25">
        <v>9.1999999999999993</v>
      </c>
      <c r="G37" s="25">
        <f>Table4[[#This Row],[Sale Price]]-Table4[[#This Row],[Store Cost]]</f>
        <v>2.9999999999999991</v>
      </c>
      <c r="H37" s="28">
        <f>IF(Table4[[#This Row],[Profit]]&gt;=50,Table4[[#This Row],[Profit]]*0.2,Table4[[#This Row],[Profit]]*0.1)</f>
        <v>0.29999999999999993</v>
      </c>
      <c r="I37" s="28" t="s">
        <v>110</v>
      </c>
      <c r="J37" s="28" t="s">
        <v>111</v>
      </c>
      <c r="K37" s="28" t="s">
        <v>91</v>
      </c>
    </row>
    <row r="38" spans="1:11" ht="15.75">
      <c r="A38" s="27" t="s">
        <v>94</v>
      </c>
      <c r="B38" s="26">
        <v>1037</v>
      </c>
      <c r="C38" s="28">
        <v>6622</v>
      </c>
      <c r="D38" s="28" t="s">
        <v>95</v>
      </c>
      <c r="E38" s="25">
        <v>42</v>
      </c>
      <c r="F38" s="25">
        <v>77</v>
      </c>
      <c r="G38" s="25">
        <f>Table4[[#This Row],[Sale Price]]-Table4[[#This Row],[Store Cost]]</f>
        <v>35</v>
      </c>
      <c r="H38" s="28">
        <f>IF(Table4[[#This Row],[Profit]]&gt;=50,Table4[[#This Row],[Profit]]*0.2,Table4[[#This Row],[Profit]]*0.1)</f>
        <v>3.5</v>
      </c>
      <c r="I38" s="28" t="s">
        <v>110</v>
      </c>
      <c r="J38" s="28" t="s">
        <v>111</v>
      </c>
      <c r="K38" s="28" t="s">
        <v>91</v>
      </c>
    </row>
    <row r="39" spans="1:11" ht="15.75">
      <c r="A39" s="27" t="s">
        <v>94</v>
      </c>
      <c r="B39" s="26">
        <v>1038</v>
      </c>
      <c r="C39" s="28">
        <v>2499</v>
      </c>
      <c r="D39" s="28" t="s">
        <v>82</v>
      </c>
      <c r="E39" s="25">
        <v>6.2</v>
      </c>
      <c r="F39" s="25">
        <v>9.1999999999999993</v>
      </c>
      <c r="G39" s="25">
        <f>Table4[[#This Row],[Sale Price]]-Table4[[#This Row],[Store Cost]]</f>
        <v>2.9999999999999991</v>
      </c>
      <c r="H39" s="28">
        <f>IF(Table4[[#This Row],[Profit]]&gt;=50,Table4[[#This Row],[Profit]]*0.2,Table4[[#This Row],[Profit]]*0.1)</f>
        <v>0.29999999999999993</v>
      </c>
      <c r="I39" s="28" t="s">
        <v>110</v>
      </c>
      <c r="J39" s="28" t="s">
        <v>111</v>
      </c>
      <c r="K39" s="28" t="s">
        <v>91</v>
      </c>
    </row>
    <row r="40" spans="1:11" ht="15.75">
      <c r="A40" s="27" t="s">
        <v>94</v>
      </c>
      <c r="B40" s="26">
        <v>1039</v>
      </c>
      <c r="C40" s="28">
        <v>2877</v>
      </c>
      <c r="D40" s="28" t="s">
        <v>80</v>
      </c>
      <c r="E40" s="25">
        <v>11.4</v>
      </c>
      <c r="F40" s="25">
        <v>16.3</v>
      </c>
      <c r="G40" s="25">
        <f>Table4[[#This Row],[Sale Price]]-Table4[[#This Row],[Store Cost]]</f>
        <v>4.9000000000000004</v>
      </c>
      <c r="H40" s="28">
        <f>IF(Table4[[#This Row],[Profit]]&gt;=50,Table4[[#This Row],[Profit]]*0.2,Table4[[#This Row],[Profit]]*0.1)</f>
        <v>0.49000000000000005</v>
      </c>
      <c r="I40" s="28" t="s">
        <v>110</v>
      </c>
      <c r="J40" s="28" t="s">
        <v>111</v>
      </c>
      <c r="K40" s="28" t="s">
        <v>81</v>
      </c>
    </row>
    <row r="41" spans="1:11" ht="15.75">
      <c r="A41" s="27" t="s">
        <v>94</v>
      </c>
      <c r="B41" s="26">
        <v>1040</v>
      </c>
      <c r="C41" s="28">
        <v>1109</v>
      </c>
      <c r="D41" s="28" t="s">
        <v>85</v>
      </c>
      <c r="E41" s="25">
        <v>3</v>
      </c>
      <c r="F41" s="25">
        <v>8</v>
      </c>
      <c r="G41" s="25">
        <f>Table4[[#This Row],[Sale Price]]-Table4[[#This Row],[Store Cost]]</f>
        <v>5</v>
      </c>
      <c r="H41" s="28">
        <f>IF(Table4[[#This Row],[Profit]]&gt;=50,Table4[[#This Row],[Profit]]*0.2,Table4[[#This Row],[Profit]]*0.1)</f>
        <v>0.5</v>
      </c>
      <c r="I41" s="28" t="s">
        <v>110</v>
      </c>
      <c r="J41" s="28" t="s">
        <v>111</v>
      </c>
      <c r="K41" s="28" t="s">
        <v>83</v>
      </c>
    </row>
    <row r="42" spans="1:11" ht="15.75">
      <c r="A42" s="27" t="s">
        <v>94</v>
      </c>
      <c r="B42" s="26">
        <v>1041</v>
      </c>
      <c r="C42" s="28">
        <v>2499</v>
      </c>
      <c r="D42" s="28" t="s">
        <v>82</v>
      </c>
      <c r="E42" s="25">
        <v>6.2</v>
      </c>
      <c r="F42" s="25">
        <v>9.1999999999999993</v>
      </c>
      <c r="G42" s="25">
        <f>Table4[[#This Row],[Sale Price]]-Table4[[#This Row],[Store Cost]]</f>
        <v>2.9999999999999991</v>
      </c>
      <c r="H42" s="28">
        <f>IF(Table4[[#This Row],[Profit]]&gt;=50,Table4[[#This Row],[Profit]]*0.2,Table4[[#This Row],[Profit]]*0.1)</f>
        <v>0.29999999999999993</v>
      </c>
      <c r="I42" s="28" t="s">
        <v>108</v>
      </c>
      <c r="J42" s="28" t="s">
        <v>109</v>
      </c>
      <c r="K42" s="28" t="s">
        <v>79</v>
      </c>
    </row>
    <row r="43" spans="1:11" ht="15.75">
      <c r="A43" s="27" t="s">
        <v>94</v>
      </c>
      <c r="B43" s="26">
        <v>1042</v>
      </c>
      <c r="C43" s="28">
        <v>8722</v>
      </c>
      <c r="D43" s="28" t="s">
        <v>84</v>
      </c>
      <c r="E43" s="25">
        <v>344</v>
      </c>
      <c r="F43" s="25">
        <v>502</v>
      </c>
      <c r="G43" s="25">
        <f>Table4[[#This Row],[Sale Price]]-Table4[[#This Row],[Store Cost]]</f>
        <v>158</v>
      </c>
      <c r="H43" s="28">
        <f>IF(Table4[[#This Row],[Profit]]&gt;=50,Table4[[#This Row],[Profit]]*0.2,Table4[[#This Row],[Profit]]*0.1)</f>
        <v>31.6</v>
      </c>
      <c r="I43" s="28" t="s">
        <v>112</v>
      </c>
      <c r="J43" s="28" t="s">
        <v>113</v>
      </c>
      <c r="K43" s="28" t="s">
        <v>79</v>
      </c>
    </row>
    <row r="44" spans="1:11" ht="15.75">
      <c r="A44" s="27" t="s">
        <v>94</v>
      </c>
      <c r="B44" s="26">
        <v>1043</v>
      </c>
      <c r="C44" s="28">
        <v>2242</v>
      </c>
      <c r="D44" s="28" t="s">
        <v>90</v>
      </c>
      <c r="E44" s="25">
        <v>60</v>
      </c>
      <c r="F44" s="25">
        <v>124</v>
      </c>
      <c r="G44" s="25">
        <f>Table4[[#This Row],[Sale Price]]-Table4[[#This Row],[Store Cost]]</f>
        <v>64</v>
      </c>
      <c r="H44" s="28">
        <f>IF(Table4[[#This Row],[Profit]]&gt;=50,Table4[[#This Row],[Profit]]*0.2,Table4[[#This Row],[Profit]]*0.1)</f>
        <v>12.8</v>
      </c>
      <c r="I44" s="28" t="s">
        <v>112</v>
      </c>
      <c r="J44" s="28" t="s">
        <v>113</v>
      </c>
      <c r="K44" s="28" t="s">
        <v>81</v>
      </c>
    </row>
    <row r="45" spans="1:11" ht="15.75">
      <c r="A45" s="27" t="s">
        <v>94</v>
      </c>
      <c r="B45" s="26">
        <v>1044</v>
      </c>
      <c r="C45" s="28">
        <v>2877</v>
      </c>
      <c r="D45" s="28" t="s">
        <v>80</v>
      </c>
      <c r="E45" s="25">
        <v>11.4</v>
      </c>
      <c r="F45" s="25">
        <v>16.3</v>
      </c>
      <c r="G45" s="25">
        <f>Table4[[#This Row],[Sale Price]]-Table4[[#This Row],[Store Cost]]</f>
        <v>4.9000000000000004</v>
      </c>
      <c r="H45" s="28">
        <f>IF(Table4[[#This Row],[Profit]]&gt;=50,Table4[[#This Row],[Profit]]*0.2,Table4[[#This Row],[Profit]]*0.1)</f>
        <v>0.49000000000000005</v>
      </c>
      <c r="I45" s="28" t="s">
        <v>112</v>
      </c>
      <c r="J45" s="28" t="s">
        <v>113</v>
      </c>
      <c r="K45" s="28" t="s">
        <v>81</v>
      </c>
    </row>
    <row r="46" spans="1:11" ht="15.75">
      <c r="A46" s="27" t="s">
        <v>94</v>
      </c>
      <c r="B46" s="26">
        <v>1045</v>
      </c>
      <c r="C46" s="28">
        <v>8722</v>
      </c>
      <c r="D46" s="28" t="s">
        <v>84</v>
      </c>
      <c r="E46" s="25">
        <v>344</v>
      </c>
      <c r="F46" s="25">
        <v>502</v>
      </c>
      <c r="G46" s="25">
        <f>Table4[[#This Row],[Sale Price]]-Table4[[#This Row],[Store Cost]]</f>
        <v>158</v>
      </c>
      <c r="H46" s="28">
        <f>IF(Table4[[#This Row],[Profit]]&gt;=50,Table4[[#This Row],[Profit]]*0.2,Table4[[#This Row],[Profit]]*0.1)</f>
        <v>31.6</v>
      </c>
      <c r="I46" s="28" t="s">
        <v>114</v>
      </c>
      <c r="J46" s="28" t="s">
        <v>115</v>
      </c>
      <c r="K46" s="28" t="s">
        <v>83</v>
      </c>
    </row>
    <row r="47" spans="1:11" ht="15.75">
      <c r="A47" s="27" t="s">
        <v>94</v>
      </c>
      <c r="B47" s="26">
        <v>1046</v>
      </c>
      <c r="C47" s="28">
        <v>6119</v>
      </c>
      <c r="D47" s="28" t="s">
        <v>93</v>
      </c>
      <c r="E47" s="25">
        <v>9</v>
      </c>
      <c r="F47" s="25">
        <v>14</v>
      </c>
      <c r="G47" s="25">
        <f>Table4[[#This Row],[Sale Price]]-Table4[[#This Row],[Store Cost]]</f>
        <v>5</v>
      </c>
      <c r="H47" s="28">
        <f>IF(Table4[[#This Row],[Profit]]&gt;=50,Table4[[#This Row],[Profit]]*0.2,Table4[[#This Row],[Profit]]*0.1)</f>
        <v>0.5</v>
      </c>
      <c r="I47" s="28" t="s">
        <v>110</v>
      </c>
      <c r="J47" s="28" t="s">
        <v>111</v>
      </c>
      <c r="K47" s="28" t="s">
        <v>92</v>
      </c>
    </row>
    <row r="48" spans="1:11" ht="15.75">
      <c r="A48" s="27" t="s">
        <v>94</v>
      </c>
      <c r="B48" s="26">
        <v>1047</v>
      </c>
      <c r="C48" s="28">
        <v>6622</v>
      </c>
      <c r="D48" s="28" t="s">
        <v>95</v>
      </c>
      <c r="E48" s="25">
        <v>42</v>
      </c>
      <c r="F48" s="25">
        <v>77</v>
      </c>
      <c r="G48" s="25">
        <f>Table4[[#This Row],[Sale Price]]-Table4[[#This Row],[Store Cost]]</f>
        <v>35</v>
      </c>
      <c r="H48" s="28">
        <f>IF(Table4[[#This Row],[Profit]]&gt;=50,Table4[[#This Row],[Profit]]*0.2,Table4[[#This Row],[Profit]]*0.1)</f>
        <v>3.5</v>
      </c>
      <c r="I48" s="28" t="s">
        <v>114</v>
      </c>
      <c r="J48" s="28" t="s">
        <v>115</v>
      </c>
      <c r="K48" s="28" t="s">
        <v>83</v>
      </c>
    </row>
    <row r="49" spans="1:11" ht="15.75">
      <c r="A49" s="27" t="s">
        <v>94</v>
      </c>
      <c r="B49" s="26">
        <v>1048</v>
      </c>
      <c r="C49" s="28">
        <v>8722</v>
      </c>
      <c r="D49" s="28" t="s">
        <v>84</v>
      </c>
      <c r="E49" s="25">
        <v>344</v>
      </c>
      <c r="F49" s="25">
        <v>502</v>
      </c>
      <c r="G49" s="25">
        <f>Table4[[#This Row],[Sale Price]]-Table4[[#This Row],[Store Cost]]</f>
        <v>158</v>
      </c>
      <c r="H49" s="28">
        <f>IF(Table4[[#This Row],[Profit]]&gt;=50,Table4[[#This Row],[Profit]]*0.2,Table4[[#This Row],[Profit]]*0.1)</f>
        <v>31.6</v>
      </c>
      <c r="I49" s="28" t="s">
        <v>108</v>
      </c>
      <c r="J49" s="28" t="s">
        <v>109</v>
      </c>
      <c r="K49" s="28" t="s">
        <v>83</v>
      </c>
    </row>
    <row r="50" spans="1:11" ht="15.75">
      <c r="A50" s="27" t="s">
        <v>96</v>
      </c>
      <c r="B50" s="26">
        <v>1049</v>
      </c>
      <c r="C50" s="28">
        <v>2499</v>
      </c>
      <c r="D50" s="28" t="s">
        <v>82</v>
      </c>
      <c r="E50" s="25">
        <v>6.2</v>
      </c>
      <c r="F50" s="25">
        <v>9.1999999999999993</v>
      </c>
      <c r="G50" s="25">
        <f>Table4[[#This Row],[Sale Price]]-Table4[[#This Row],[Store Cost]]</f>
        <v>2.9999999999999991</v>
      </c>
      <c r="H50" s="28">
        <f>IF(Table4[[#This Row],[Profit]]&gt;=50,Table4[[#This Row],[Profit]]*0.2,Table4[[#This Row],[Profit]]*0.1)</f>
        <v>0.29999999999999993</v>
      </c>
      <c r="I50" s="28" t="s">
        <v>108</v>
      </c>
      <c r="J50" s="28" t="s">
        <v>109</v>
      </c>
      <c r="K50" s="28" t="s">
        <v>86</v>
      </c>
    </row>
    <row r="51" spans="1:11" ht="15.75">
      <c r="A51" s="27" t="s">
        <v>96</v>
      </c>
      <c r="B51" s="26">
        <v>1050</v>
      </c>
      <c r="C51" s="28">
        <v>2877</v>
      </c>
      <c r="D51" s="28" t="s">
        <v>80</v>
      </c>
      <c r="E51" s="25">
        <v>11.4</v>
      </c>
      <c r="F51" s="25">
        <v>16.3</v>
      </c>
      <c r="G51" s="25">
        <f>Table4[[#This Row],[Sale Price]]-Table4[[#This Row],[Store Cost]]</f>
        <v>4.9000000000000004</v>
      </c>
      <c r="H51" s="28">
        <f>IF(Table4[[#This Row],[Profit]]&gt;=50,Table4[[#This Row],[Profit]]*0.2,Table4[[#This Row],[Profit]]*0.1)</f>
        <v>0.49000000000000005</v>
      </c>
      <c r="I51" s="28" t="s">
        <v>108</v>
      </c>
      <c r="J51" s="28" t="s">
        <v>109</v>
      </c>
      <c r="K51" s="28" t="s">
        <v>83</v>
      </c>
    </row>
    <row r="52" spans="1:11" ht="15.75">
      <c r="A52" s="27" t="s">
        <v>96</v>
      </c>
      <c r="B52" s="26">
        <v>1051</v>
      </c>
      <c r="C52" s="28">
        <v>6119</v>
      </c>
      <c r="D52" s="28" t="s">
        <v>93</v>
      </c>
      <c r="E52" s="25">
        <v>9</v>
      </c>
      <c r="F52" s="25">
        <v>14</v>
      </c>
      <c r="G52" s="25">
        <f>Table4[[#This Row],[Sale Price]]-Table4[[#This Row],[Store Cost]]</f>
        <v>5</v>
      </c>
      <c r="H52" s="28">
        <f>IF(Table4[[#This Row],[Profit]]&gt;=50,Table4[[#This Row],[Profit]]*0.2,Table4[[#This Row],[Profit]]*0.1)</f>
        <v>0.5</v>
      </c>
      <c r="I52" s="28" t="s">
        <v>112</v>
      </c>
      <c r="J52" s="28" t="s">
        <v>113</v>
      </c>
      <c r="K52" s="28" t="s">
        <v>92</v>
      </c>
    </row>
    <row r="53" spans="1:11" ht="15.75">
      <c r="A53" s="27" t="s">
        <v>96</v>
      </c>
      <c r="B53" s="26">
        <v>1052</v>
      </c>
      <c r="C53" s="28">
        <v>6622</v>
      </c>
      <c r="D53" s="28" t="s">
        <v>95</v>
      </c>
      <c r="E53" s="25">
        <v>42</v>
      </c>
      <c r="F53" s="25">
        <v>77</v>
      </c>
      <c r="G53" s="25">
        <f>Table4[[#This Row],[Sale Price]]-Table4[[#This Row],[Store Cost]]</f>
        <v>35</v>
      </c>
      <c r="H53" s="28">
        <f>IF(Table4[[#This Row],[Profit]]&gt;=50,Table4[[#This Row],[Profit]]*0.2,Table4[[#This Row],[Profit]]*0.1)</f>
        <v>3.5</v>
      </c>
      <c r="I53" s="28" t="s">
        <v>112</v>
      </c>
      <c r="J53" s="28" t="s">
        <v>113</v>
      </c>
      <c r="K53" s="28" t="s">
        <v>83</v>
      </c>
    </row>
    <row r="54" spans="1:11" ht="15.75">
      <c r="A54" s="27" t="s">
        <v>96</v>
      </c>
      <c r="B54" s="26">
        <v>1053</v>
      </c>
      <c r="C54" s="28">
        <v>2242</v>
      </c>
      <c r="D54" s="28" t="s">
        <v>90</v>
      </c>
      <c r="E54" s="25">
        <v>60</v>
      </c>
      <c r="F54" s="25">
        <v>124</v>
      </c>
      <c r="G54" s="25">
        <f>Table4[[#This Row],[Sale Price]]-Table4[[#This Row],[Store Cost]]</f>
        <v>64</v>
      </c>
      <c r="H54" s="28">
        <f>IF(Table4[[#This Row],[Profit]]&gt;=50,Table4[[#This Row],[Profit]]*0.2,Table4[[#This Row],[Profit]]*0.1)</f>
        <v>12.8</v>
      </c>
      <c r="I54" s="28" t="s">
        <v>108</v>
      </c>
      <c r="J54" s="28" t="s">
        <v>109</v>
      </c>
      <c r="K54" s="28" t="s">
        <v>81</v>
      </c>
    </row>
    <row r="55" spans="1:11" ht="15.75">
      <c r="A55" s="27" t="s">
        <v>96</v>
      </c>
      <c r="B55" s="26">
        <v>1054</v>
      </c>
      <c r="C55" s="28">
        <v>4421</v>
      </c>
      <c r="D55" s="28" t="s">
        <v>87</v>
      </c>
      <c r="E55" s="25">
        <v>45</v>
      </c>
      <c r="F55" s="25">
        <v>87</v>
      </c>
      <c r="G55" s="25">
        <f>Table4[[#This Row],[Sale Price]]-Table4[[#This Row],[Store Cost]]</f>
        <v>42</v>
      </c>
      <c r="H55" s="28">
        <f>IF(Table4[[#This Row],[Profit]]&gt;=50,Table4[[#This Row],[Profit]]*0.2,Table4[[#This Row],[Profit]]*0.1)</f>
        <v>4.2</v>
      </c>
      <c r="I55" s="28" t="s">
        <v>112</v>
      </c>
      <c r="J55" s="28" t="s">
        <v>113</v>
      </c>
      <c r="K55" s="28" t="s">
        <v>91</v>
      </c>
    </row>
    <row r="56" spans="1:11" ht="15.75">
      <c r="A56" s="27" t="s">
        <v>96</v>
      </c>
      <c r="B56" s="26">
        <v>1055</v>
      </c>
      <c r="C56" s="28">
        <v>6119</v>
      </c>
      <c r="D56" s="28" t="s">
        <v>93</v>
      </c>
      <c r="E56" s="25">
        <v>9</v>
      </c>
      <c r="F56" s="25">
        <v>14</v>
      </c>
      <c r="G56" s="25">
        <f>Table4[[#This Row],[Sale Price]]-Table4[[#This Row],[Store Cost]]</f>
        <v>5</v>
      </c>
      <c r="H56" s="28">
        <f>IF(Table4[[#This Row],[Profit]]&gt;=50,Table4[[#This Row],[Profit]]*0.2,Table4[[#This Row],[Profit]]*0.1)</f>
        <v>0.5</v>
      </c>
      <c r="I56" s="28" t="s">
        <v>110</v>
      </c>
      <c r="J56" s="28" t="s">
        <v>111</v>
      </c>
      <c r="K56" s="28" t="s">
        <v>91</v>
      </c>
    </row>
    <row r="57" spans="1:11" ht="15.75">
      <c r="A57" s="27" t="s">
        <v>96</v>
      </c>
      <c r="B57" s="26">
        <v>1056</v>
      </c>
      <c r="C57" s="28">
        <v>1109</v>
      </c>
      <c r="D57" s="28" t="s">
        <v>85</v>
      </c>
      <c r="E57" s="25">
        <v>3</v>
      </c>
      <c r="F57" s="25">
        <v>8</v>
      </c>
      <c r="G57" s="25">
        <f>Table4[[#This Row],[Sale Price]]-Table4[[#This Row],[Store Cost]]</f>
        <v>5</v>
      </c>
      <c r="H57" s="28">
        <f>IF(Table4[[#This Row],[Profit]]&gt;=50,Table4[[#This Row],[Profit]]*0.2,Table4[[#This Row],[Profit]]*0.1)</f>
        <v>0.5</v>
      </c>
      <c r="I57" s="28" t="s">
        <v>112</v>
      </c>
      <c r="J57" s="28" t="s">
        <v>113</v>
      </c>
      <c r="K57" s="28" t="s">
        <v>81</v>
      </c>
    </row>
    <row r="58" spans="1:11" ht="15.75">
      <c r="A58" s="27" t="s">
        <v>96</v>
      </c>
      <c r="B58" s="26">
        <v>1057</v>
      </c>
      <c r="C58" s="28">
        <v>2499</v>
      </c>
      <c r="D58" s="28" t="s">
        <v>82</v>
      </c>
      <c r="E58" s="25">
        <v>6.2</v>
      </c>
      <c r="F58" s="25">
        <v>9.1999999999999993</v>
      </c>
      <c r="G58" s="25">
        <f>Table4[[#This Row],[Sale Price]]-Table4[[#This Row],[Store Cost]]</f>
        <v>2.9999999999999991</v>
      </c>
      <c r="H58" s="28">
        <f>IF(Table4[[#This Row],[Profit]]&gt;=50,Table4[[#This Row],[Profit]]*0.2,Table4[[#This Row],[Profit]]*0.1)</f>
        <v>0.29999999999999993</v>
      </c>
      <c r="I58" s="28" t="s">
        <v>110</v>
      </c>
      <c r="J58" s="28" t="s">
        <v>111</v>
      </c>
      <c r="K58" s="28" t="s">
        <v>81</v>
      </c>
    </row>
    <row r="59" spans="1:11" ht="15.75">
      <c r="A59" s="27" t="s">
        <v>96</v>
      </c>
      <c r="B59" s="26">
        <v>1058</v>
      </c>
      <c r="C59" s="28">
        <v>6119</v>
      </c>
      <c r="D59" s="28" t="s">
        <v>93</v>
      </c>
      <c r="E59" s="25">
        <v>9</v>
      </c>
      <c r="F59" s="25">
        <v>14</v>
      </c>
      <c r="G59" s="25">
        <f>Table4[[#This Row],[Sale Price]]-Table4[[#This Row],[Store Cost]]</f>
        <v>5</v>
      </c>
      <c r="H59" s="28">
        <f>IF(Table4[[#This Row],[Profit]]&gt;=50,Table4[[#This Row],[Profit]]*0.2,Table4[[#This Row],[Profit]]*0.1)</f>
        <v>0.5</v>
      </c>
      <c r="I59" s="28" t="s">
        <v>114</v>
      </c>
      <c r="J59" s="28" t="s">
        <v>115</v>
      </c>
      <c r="K59" s="28" t="s">
        <v>83</v>
      </c>
    </row>
    <row r="60" spans="1:11" ht="15.75">
      <c r="A60" s="27" t="s">
        <v>96</v>
      </c>
      <c r="B60" s="26">
        <v>1059</v>
      </c>
      <c r="C60" s="28">
        <v>2242</v>
      </c>
      <c r="D60" s="28" t="s">
        <v>90</v>
      </c>
      <c r="E60" s="25">
        <v>60</v>
      </c>
      <c r="F60" s="25">
        <v>124</v>
      </c>
      <c r="G60" s="25">
        <f>Table4[[#This Row],[Sale Price]]-Table4[[#This Row],[Store Cost]]</f>
        <v>64</v>
      </c>
      <c r="H60" s="28">
        <f>IF(Table4[[#This Row],[Profit]]&gt;=50,Table4[[#This Row],[Profit]]*0.2,Table4[[#This Row],[Profit]]*0.1)</f>
        <v>12.8</v>
      </c>
      <c r="I60" s="28" t="s">
        <v>112</v>
      </c>
      <c r="J60" s="28" t="s">
        <v>113</v>
      </c>
      <c r="K60" s="28" t="s">
        <v>83</v>
      </c>
    </row>
    <row r="61" spans="1:11" ht="15.75">
      <c r="A61" s="27" t="s">
        <v>96</v>
      </c>
      <c r="B61" s="26">
        <v>1060</v>
      </c>
      <c r="C61" s="28">
        <v>6119</v>
      </c>
      <c r="D61" s="28" t="s">
        <v>93</v>
      </c>
      <c r="E61" s="25">
        <v>9</v>
      </c>
      <c r="F61" s="25">
        <v>14</v>
      </c>
      <c r="G61" s="25">
        <f>Table4[[#This Row],[Sale Price]]-Table4[[#This Row],[Store Cost]]</f>
        <v>5</v>
      </c>
      <c r="H61" s="28">
        <f>IF(Table4[[#This Row],[Profit]]&gt;=50,Table4[[#This Row],[Profit]]*0.2,Table4[[#This Row],[Profit]]*0.1)</f>
        <v>0.5</v>
      </c>
      <c r="I61" s="28" t="s">
        <v>112</v>
      </c>
      <c r="J61" s="28" t="s">
        <v>113</v>
      </c>
      <c r="K61" s="28" t="s">
        <v>91</v>
      </c>
    </row>
    <row r="62" spans="1:11" ht="15.75">
      <c r="A62" s="27" t="s">
        <v>97</v>
      </c>
      <c r="B62" s="26">
        <v>1061</v>
      </c>
      <c r="C62" s="28">
        <v>1109</v>
      </c>
      <c r="D62" s="28" t="s">
        <v>85</v>
      </c>
      <c r="E62" s="25">
        <v>3</v>
      </c>
      <c r="F62" s="25">
        <v>8</v>
      </c>
      <c r="G62" s="25">
        <f>Table4[[#This Row],[Sale Price]]-Table4[[#This Row],[Store Cost]]</f>
        <v>5</v>
      </c>
      <c r="H62" s="28">
        <f>IF(Table4[[#This Row],[Profit]]&gt;=50,Table4[[#This Row],[Profit]]*0.2,Table4[[#This Row],[Profit]]*0.1)</f>
        <v>0.5</v>
      </c>
      <c r="I62" s="28" t="s">
        <v>112</v>
      </c>
      <c r="J62" s="28" t="s">
        <v>113</v>
      </c>
      <c r="K62" s="28" t="s">
        <v>91</v>
      </c>
    </row>
    <row r="63" spans="1:11" ht="15.75">
      <c r="A63" s="27" t="s">
        <v>97</v>
      </c>
      <c r="B63" s="26">
        <v>1062</v>
      </c>
      <c r="C63" s="28">
        <v>2499</v>
      </c>
      <c r="D63" s="28" t="s">
        <v>82</v>
      </c>
      <c r="E63" s="25">
        <v>6.2</v>
      </c>
      <c r="F63" s="25">
        <v>9.1999999999999993</v>
      </c>
      <c r="G63" s="25">
        <f>Table4[[#This Row],[Sale Price]]-Table4[[#This Row],[Store Cost]]</f>
        <v>2.9999999999999991</v>
      </c>
      <c r="H63" s="28">
        <f>IF(Table4[[#This Row],[Profit]]&gt;=50,Table4[[#This Row],[Profit]]*0.2,Table4[[#This Row],[Profit]]*0.1)</f>
        <v>0.29999999999999993</v>
      </c>
      <c r="I63" s="28" t="s">
        <v>108</v>
      </c>
      <c r="J63" s="28" t="s">
        <v>109</v>
      </c>
      <c r="K63" s="28" t="s">
        <v>83</v>
      </c>
    </row>
    <row r="64" spans="1:11" ht="15.75">
      <c r="A64" s="27" t="s">
        <v>97</v>
      </c>
      <c r="B64" s="26">
        <v>1063</v>
      </c>
      <c r="C64" s="28">
        <v>1109</v>
      </c>
      <c r="D64" s="28" t="s">
        <v>85</v>
      </c>
      <c r="E64" s="25">
        <v>3</v>
      </c>
      <c r="F64" s="25">
        <v>8</v>
      </c>
      <c r="G64" s="25">
        <f>Table4[[#This Row],[Sale Price]]-Table4[[#This Row],[Store Cost]]</f>
        <v>5</v>
      </c>
      <c r="H64" s="28">
        <f>IF(Table4[[#This Row],[Profit]]&gt;=50,Table4[[#This Row],[Profit]]*0.2,Table4[[#This Row],[Profit]]*0.1)</f>
        <v>0.5</v>
      </c>
      <c r="I64" s="28" t="s">
        <v>112</v>
      </c>
      <c r="J64" s="28" t="s">
        <v>113</v>
      </c>
      <c r="K64" s="28" t="s">
        <v>81</v>
      </c>
    </row>
    <row r="65" spans="1:11" ht="15.75">
      <c r="A65" s="27" t="s">
        <v>97</v>
      </c>
      <c r="B65" s="26">
        <v>1064</v>
      </c>
      <c r="C65" s="28">
        <v>2499</v>
      </c>
      <c r="D65" s="28" t="s">
        <v>82</v>
      </c>
      <c r="E65" s="25">
        <v>6.2</v>
      </c>
      <c r="F65" s="25">
        <v>9.1999999999999993</v>
      </c>
      <c r="G65" s="25">
        <f>Table4[[#This Row],[Sale Price]]-Table4[[#This Row],[Store Cost]]</f>
        <v>2.9999999999999991</v>
      </c>
      <c r="H65" s="28">
        <f>IF(Table4[[#This Row],[Profit]]&gt;=50,Table4[[#This Row],[Profit]]*0.2,Table4[[#This Row],[Profit]]*0.1)</f>
        <v>0.29999999999999993</v>
      </c>
      <c r="I65" s="28" t="s">
        <v>114</v>
      </c>
      <c r="J65" s="28" t="s">
        <v>115</v>
      </c>
      <c r="K65" s="28" t="s">
        <v>83</v>
      </c>
    </row>
    <row r="66" spans="1:11" ht="15.75">
      <c r="A66" s="27" t="s">
        <v>97</v>
      </c>
      <c r="B66" s="26">
        <v>1065</v>
      </c>
      <c r="C66" s="28">
        <v>2499</v>
      </c>
      <c r="D66" s="28" t="s">
        <v>82</v>
      </c>
      <c r="E66" s="25">
        <v>6.2</v>
      </c>
      <c r="F66" s="25">
        <v>9.1999999999999993</v>
      </c>
      <c r="G66" s="25">
        <f>Table4[[#This Row],[Sale Price]]-Table4[[#This Row],[Store Cost]]</f>
        <v>2.9999999999999991</v>
      </c>
      <c r="H66" s="28">
        <f>IF(Table4[[#This Row],[Profit]]&gt;=50,Table4[[#This Row],[Profit]]*0.2,Table4[[#This Row],[Profit]]*0.1)</f>
        <v>0.29999999999999993</v>
      </c>
      <c r="I66" s="28" t="s">
        <v>112</v>
      </c>
      <c r="J66" s="28" t="s">
        <v>113</v>
      </c>
      <c r="K66" s="28" t="s">
        <v>79</v>
      </c>
    </row>
    <row r="67" spans="1:11" ht="15.75">
      <c r="A67" s="27" t="s">
        <v>97</v>
      </c>
      <c r="B67" s="26">
        <v>1066</v>
      </c>
      <c r="C67" s="28">
        <v>2877</v>
      </c>
      <c r="D67" s="28" t="s">
        <v>80</v>
      </c>
      <c r="E67" s="25">
        <v>11.4</v>
      </c>
      <c r="F67" s="25">
        <v>16.3</v>
      </c>
      <c r="G67" s="25">
        <f>Table4[[#This Row],[Sale Price]]-Table4[[#This Row],[Store Cost]]</f>
        <v>4.9000000000000004</v>
      </c>
      <c r="H67" s="28">
        <f>IF(Table4[[#This Row],[Profit]]&gt;=50,Table4[[#This Row],[Profit]]*0.2,Table4[[#This Row],[Profit]]*0.1)</f>
        <v>0.49000000000000005</v>
      </c>
      <c r="I67" s="28" t="s">
        <v>112</v>
      </c>
      <c r="J67" s="28" t="s">
        <v>113</v>
      </c>
      <c r="K67" s="28" t="s">
        <v>91</v>
      </c>
    </row>
    <row r="68" spans="1:11" ht="15.75">
      <c r="A68" s="27" t="s">
        <v>97</v>
      </c>
      <c r="B68" s="26">
        <v>1067</v>
      </c>
      <c r="C68" s="28">
        <v>2877</v>
      </c>
      <c r="D68" s="28" t="s">
        <v>80</v>
      </c>
      <c r="E68" s="25">
        <v>11.4</v>
      </c>
      <c r="F68" s="25">
        <v>16.3</v>
      </c>
      <c r="G68" s="25">
        <f>Table4[[#This Row],[Sale Price]]-Table4[[#This Row],[Store Cost]]</f>
        <v>4.9000000000000004</v>
      </c>
      <c r="H68" s="28">
        <f>IF(Table4[[#This Row],[Profit]]&gt;=50,Table4[[#This Row],[Profit]]*0.2,Table4[[#This Row],[Profit]]*0.1)</f>
        <v>0.49000000000000005</v>
      </c>
      <c r="I68" s="28" t="s">
        <v>112</v>
      </c>
      <c r="J68" s="28" t="s">
        <v>113</v>
      </c>
      <c r="K68" s="28" t="s">
        <v>92</v>
      </c>
    </row>
    <row r="69" spans="1:11" ht="15.75">
      <c r="A69" s="27" t="s">
        <v>97</v>
      </c>
      <c r="B69" s="26">
        <v>1068</v>
      </c>
      <c r="C69" s="28">
        <v>6119</v>
      </c>
      <c r="D69" s="28" t="s">
        <v>93</v>
      </c>
      <c r="E69" s="25">
        <v>9</v>
      </c>
      <c r="F69" s="25">
        <v>14</v>
      </c>
      <c r="G69" s="25">
        <f>Table4[[#This Row],[Sale Price]]-Table4[[#This Row],[Store Cost]]</f>
        <v>5</v>
      </c>
      <c r="H69" s="28">
        <f>IF(Table4[[#This Row],[Profit]]&gt;=50,Table4[[#This Row],[Profit]]*0.2,Table4[[#This Row],[Profit]]*0.1)</f>
        <v>0.5</v>
      </c>
      <c r="I69" s="28" t="s">
        <v>110</v>
      </c>
      <c r="J69" s="28" t="s">
        <v>111</v>
      </c>
      <c r="K69" s="28" t="s">
        <v>81</v>
      </c>
    </row>
    <row r="70" spans="1:11" ht="15.75">
      <c r="A70" s="27" t="s">
        <v>97</v>
      </c>
      <c r="B70" s="26">
        <v>1069</v>
      </c>
      <c r="C70" s="28">
        <v>1109</v>
      </c>
      <c r="D70" s="28" t="s">
        <v>85</v>
      </c>
      <c r="E70" s="25">
        <v>3</v>
      </c>
      <c r="F70" s="25">
        <v>8</v>
      </c>
      <c r="G70" s="25">
        <f>Table4[[#This Row],[Sale Price]]-Table4[[#This Row],[Store Cost]]</f>
        <v>5</v>
      </c>
      <c r="H70" s="28">
        <f>IF(Table4[[#This Row],[Profit]]&gt;=50,Table4[[#This Row],[Profit]]*0.2,Table4[[#This Row],[Profit]]*0.1)</f>
        <v>0.5</v>
      </c>
      <c r="I70" s="28" t="s">
        <v>112</v>
      </c>
      <c r="J70" s="28" t="s">
        <v>113</v>
      </c>
      <c r="K70" s="28" t="s">
        <v>83</v>
      </c>
    </row>
    <row r="71" spans="1:11" ht="15.75">
      <c r="A71" s="27" t="s">
        <v>97</v>
      </c>
      <c r="B71" s="26">
        <v>1070</v>
      </c>
      <c r="C71" s="28">
        <v>2499</v>
      </c>
      <c r="D71" s="28" t="s">
        <v>82</v>
      </c>
      <c r="E71" s="25">
        <v>6.2</v>
      </c>
      <c r="F71" s="25">
        <v>9.1999999999999993</v>
      </c>
      <c r="G71" s="25">
        <f>Table4[[#This Row],[Sale Price]]-Table4[[#This Row],[Store Cost]]</f>
        <v>2.9999999999999991</v>
      </c>
      <c r="H71" s="28">
        <f>IF(Table4[[#This Row],[Profit]]&gt;=50,Table4[[#This Row],[Profit]]*0.2,Table4[[#This Row],[Profit]]*0.1)</f>
        <v>0.29999999999999993</v>
      </c>
      <c r="I71" s="28" t="s">
        <v>114</v>
      </c>
      <c r="J71" s="28" t="s">
        <v>115</v>
      </c>
      <c r="K71" s="28" t="s">
        <v>83</v>
      </c>
    </row>
    <row r="72" spans="1:11" ht="15.75">
      <c r="A72" s="27" t="s">
        <v>97</v>
      </c>
      <c r="B72" s="26">
        <v>1071</v>
      </c>
      <c r="C72" s="28">
        <v>1109</v>
      </c>
      <c r="D72" s="28" t="s">
        <v>85</v>
      </c>
      <c r="E72" s="25">
        <v>3</v>
      </c>
      <c r="F72" s="25">
        <v>8</v>
      </c>
      <c r="G72" s="25">
        <f>Table4[[#This Row],[Sale Price]]-Table4[[#This Row],[Store Cost]]</f>
        <v>5</v>
      </c>
      <c r="H72" s="28">
        <f>IF(Table4[[#This Row],[Profit]]&gt;=50,Table4[[#This Row],[Profit]]*0.2,Table4[[#This Row],[Profit]]*0.1)</f>
        <v>0.5</v>
      </c>
      <c r="I72" s="28" t="s">
        <v>108</v>
      </c>
      <c r="J72" s="28" t="s">
        <v>109</v>
      </c>
      <c r="K72" s="28" t="s">
        <v>83</v>
      </c>
    </row>
    <row r="73" spans="1:11" ht="15.75">
      <c r="A73" s="27" t="s">
        <v>97</v>
      </c>
      <c r="B73" s="26">
        <v>1072</v>
      </c>
      <c r="C73" s="28">
        <v>1109</v>
      </c>
      <c r="D73" s="28" t="s">
        <v>85</v>
      </c>
      <c r="E73" s="25">
        <v>3</v>
      </c>
      <c r="F73" s="25">
        <v>8</v>
      </c>
      <c r="G73" s="25">
        <f>Table4[[#This Row],[Sale Price]]-Table4[[#This Row],[Store Cost]]</f>
        <v>5</v>
      </c>
      <c r="H73" s="28">
        <f>IF(Table4[[#This Row],[Profit]]&gt;=50,Table4[[#This Row],[Profit]]*0.2,Table4[[#This Row],[Profit]]*0.1)</f>
        <v>0.5</v>
      </c>
      <c r="I73" s="28" t="s">
        <v>112</v>
      </c>
      <c r="J73" s="28" t="s">
        <v>113</v>
      </c>
      <c r="K73" s="28" t="s">
        <v>91</v>
      </c>
    </row>
    <row r="74" spans="1:11" ht="15.75">
      <c r="A74" s="27" t="s">
        <v>97</v>
      </c>
      <c r="B74" s="26">
        <v>1073</v>
      </c>
      <c r="C74" s="28">
        <v>6622</v>
      </c>
      <c r="D74" s="28" t="s">
        <v>95</v>
      </c>
      <c r="E74" s="25">
        <v>42</v>
      </c>
      <c r="F74" s="25">
        <v>77</v>
      </c>
      <c r="G74" s="25">
        <f>Table4[[#This Row],[Sale Price]]-Table4[[#This Row],[Store Cost]]</f>
        <v>35</v>
      </c>
      <c r="H74" s="28">
        <f>IF(Table4[[#This Row],[Profit]]&gt;=50,Table4[[#This Row],[Profit]]*0.2,Table4[[#This Row],[Profit]]*0.1)</f>
        <v>3.5</v>
      </c>
      <c r="I74" s="28" t="s">
        <v>112</v>
      </c>
      <c r="J74" s="28" t="s">
        <v>113</v>
      </c>
      <c r="K74" s="28" t="s">
        <v>81</v>
      </c>
    </row>
    <row r="75" spans="1:11" ht="15.75">
      <c r="A75" s="27" t="s">
        <v>97</v>
      </c>
      <c r="B75" s="26">
        <v>1074</v>
      </c>
      <c r="C75" s="28">
        <v>2877</v>
      </c>
      <c r="D75" s="28" t="s">
        <v>80</v>
      </c>
      <c r="E75" s="25">
        <v>11.4</v>
      </c>
      <c r="F75" s="25">
        <v>16.3</v>
      </c>
      <c r="G75" s="25">
        <f>Table4[[#This Row],[Sale Price]]-Table4[[#This Row],[Store Cost]]</f>
        <v>4.9000000000000004</v>
      </c>
      <c r="H75" s="28">
        <f>IF(Table4[[#This Row],[Profit]]&gt;=50,Table4[[#This Row],[Profit]]*0.2,Table4[[#This Row],[Profit]]*0.1)</f>
        <v>0.49000000000000005</v>
      </c>
      <c r="I75" s="28" t="s">
        <v>112</v>
      </c>
      <c r="J75" s="28" t="s">
        <v>113</v>
      </c>
      <c r="K75" s="28" t="s">
        <v>83</v>
      </c>
    </row>
    <row r="76" spans="1:11" ht="15.75">
      <c r="A76" s="27" t="s">
        <v>97</v>
      </c>
      <c r="B76" s="26">
        <v>1075</v>
      </c>
      <c r="C76" s="28">
        <v>1109</v>
      </c>
      <c r="D76" s="28" t="s">
        <v>85</v>
      </c>
      <c r="E76" s="25">
        <v>3</v>
      </c>
      <c r="F76" s="25">
        <v>8</v>
      </c>
      <c r="G76" s="25">
        <f>Table4[[#This Row],[Sale Price]]-Table4[[#This Row],[Store Cost]]</f>
        <v>5</v>
      </c>
      <c r="H76" s="28">
        <f>IF(Table4[[#This Row],[Profit]]&gt;=50,Table4[[#This Row],[Profit]]*0.2,Table4[[#This Row],[Profit]]*0.1)</f>
        <v>0.5</v>
      </c>
      <c r="I76" s="28" t="s">
        <v>114</v>
      </c>
      <c r="J76" s="28" t="s">
        <v>115</v>
      </c>
      <c r="K76" s="28" t="s">
        <v>81</v>
      </c>
    </row>
    <row r="77" spans="1:11" ht="15.75">
      <c r="A77" s="27" t="s">
        <v>97</v>
      </c>
      <c r="B77" s="26">
        <v>1076</v>
      </c>
      <c r="C77" s="28">
        <v>1109</v>
      </c>
      <c r="D77" s="28" t="s">
        <v>85</v>
      </c>
      <c r="E77" s="25">
        <v>3</v>
      </c>
      <c r="F77" s="25">
        <v>8</v>
      </c>
      <c r="G77" s="25">
        <f>Table4[[#This Row],[Sale Price]]-Table4[[#This Row],[Store Cost]]</f>
        <v>5</v>
      </c>
      <c r="H77" s="28">
        <f>IF(Table4[[#This Row],[Profit]]&gt;=50,Table4[[#This Row],[Profit]]*0.2,Table4[[#This Row],[Profit]]*0.1)</f>
        <v>0.5</v>
      </c>
      <c r="I77" s="28" t="s">
        <v>110</v>
      </c>
      <c r="J77" s="28" t="s">
        <v>111</v>
      </c>
      <c r="K77" s="28" t="s">
        <v>83</v>
      </c>
    </row>
    <row r="78" spans="1:11" ht="15.75">
      <c r="A78" s="27" t="s">
        <v>97</v>
      </c>
      <c r="B78" s="26">
        <v>1077</v>
      </c>
      <c r="C78" s="28">
        <v>9822</v>
      </c>
      <c r="D78" s="28" t="s">
        <v>78</v>
      </c>
      <c r="E78" s="25">
        <v>58.3</v>
      </c>
      <c r="F78" s="25">
        <v>98.4</v>
      </c>
      <c r="G78" s="25">
        <f>Table4[[#This Row],[Sale Price]]-Table4[[#This Row],[Store Cost]]</f>
        <v>40.100000000000009</v>
      </c>
      <c r="H78" s="28">
        <f>IF(Table4[[#This Row],[Profit]]&gt;=50,Table4[[#This Row],[Profit]]*0.2,Table4[[#This Row],[Profit]]*0.1)</f>
        <v>4.0100000000000007</v>
      </c>
      <c r="I78" s="28" t="s">
        <v>114</v>
      </c>
      <c r="J78" s="28" t="s">
        <v>115</v>
      </c>
      <c r="K78" s="28" t="s">
        <v>83</v>
      </c>
    </row>
    <row r="79" spans="1:11" ht="15.75">
      <c r="A79" s="27" t="s">
        <v>97</v>
      </c>
      <c r="B79" s="26">
        <v>1078</v>
      </c>
      <c r="C79" s="28">
        <v>2877</v>
      </c>
      <c r="D79" s="28" t="s">
        <v>80</v>
      </c>
      <c r="E79" s="25">
        <v>11.4</v>
      </c>
      <c r="F79" s="25">
        <v>16.3</v>
      </c>
      <c r="G79" s="25">
        <f>Table4[[#This Row],[Sale Price]]-Table4[[#This Row],[Store Cost]]</f>
        <v>4.9000000000000004</v>
      </c>
      <c r="H79" s="28">
        <f>IF(Table4[[#This Row],[Profit]]&gt;=50,Table4[[#This Row],[Profit]]*0.2,Table4[[#This Row],[Profit]]*0.1)</f>
        <v>0.49000000000000005</v>
      </c>
      <c r="I79" s="28" t="s">
        <v>110</v>
      </c>
      <c r="J79" s="28" t="s">
        <v>111</v>
      </c>
      <c r="K79" s="28" t="s">
        <v>91</v>
      </c>
    </row>
    <row r="80" spans="1:11" ht="15.75">
      <c r="A80" s="27" t="s">
        <v>98</v>
      </c>
      <c r="B80" s="26">
        <v>1079</v>
      </c>
      <c r="C80" s="28">
        <v>2877</v>
      </c>
      <c r="D80" s="28" t="s">
        <v>80</v>
      </c>
      <c r="E80" s="25">
        <v>11.4</v>
      </c>
      <c r="F80" s="25">
        <v>16.3</v>
      </c>
      <c r="G80" s="25">
        <f>Table4[[#This Row],[Sale Price]]-Table4[[#This Row],[Store Cost]]</f>
        <v>4.9000000000000004</v>
      </c>
      <c r="H80" s="28">
        <f>IF(Table4[[#This Row],[Profit]]&gt;=50,Table4[[#This Row],[Profit]]*0.2,Table4[[#This Row],[Profit]]*0.1)</f>
        <v>0.49000000000000005</v>
      </c>
      <c r="I80" s="28" t="s">
        <v>110</v>
      </c>
      <c r="J80" s="28" t="s">
        <v>111</v>
      </c>
      <c r="K80" s="28" t="s">
        <v>79</v>
      </c>
    </row>
    <row r="81" spans="1:11" ht="15.75">
      <c r="A81" s="27" t="s">
        <v>98</v>
      </c>
      <c r="B81" s="26">
        <v>1080</v>
      </c>
      <c r="C81" s="28">
        <v>4421</v>
      </c>
      <c r="D81" s="28" t="s">
        <v>87</v>
      </c>
      <c r="E81" s="25">
        <v>45</v>
      </c>
      <c r="F81" s="25">
        <v>87</v>
      </c>
      <c r="G81" s="25">
        <f>Table4[[#This Row],[Sale Price]]-Table4[[#This Row],[Store Cost]]</f>
        <v>42</v>
      </c>
      <c r="H81" s="28">
        <f>IF(Table4[[#This Row],[Profit]]&gt;=50,Table4[[#This Row],[Profit]]*0.2,Table4[[#This Row],[Profit]]*0.1)</f>
        <v>4.2</v>
      </c>
      <c r="I81" s="28" t="s">
        <v>112</v>
      </c>
      <c r="J81" s="28" t="s">
        <v>113</v>
      </c>
      <c r="K81" s="28" t="s">
        <v>81</v>
      </c>
    </row>
    <row r="82" spans="1:11" ht="15.75">
      <c r="A82" s="27" t="s">
        <v>98</v>
      </c>
      <c r="B82" s="26">
        <v>1081</v>
      </c>
      <c r="C82" s="28">
        <v>6119</v>
      </c>
      <c r="D82" s="28" t="s">
        <v>93</v>
      </c>
      <c r="E82" s="25">
        <v>9</v>
      </c>
      <c r="F82" s="25">
        <v>14</v>
      </c>
      <c r="G82" s="25">
        <f>Table4[[#This Row],[Sale Price]]-Table4[[#This Row],[Store Cost]]</f>
        <v>5</v>
      </c>
      <c r="H82" s="28">
        <f>IF(Table4[[#This Row],[Profit]]&gt;=50,Table4[[#This Row],[Profit]]*0.2,Table4[[#This Row],[Profit]]*0.1)</f>
        <v>0.5</v>
      </c>
      <c r="I82" s="28" t="s">
        <v>112</v>
      </c>
      <c r="J82" s="28" t="s">
        <v>113</v>
      </c>
      <c r="K82" s="28" t="s">
        <v>92</v>
      </c>
    </row>
    <row r="83" spans="1:11" ht="15.75">
      <c r="A83" s="27" t="s">
        <v>98</v>
      </c>
      <c r="B83" s="26">
        <v>1082</v>
      </c>
      <c r="C83" s="28">
        <v>1109</v>
      </c>
      <c r="D83" s="28" t="s">
        <v>85</v>
      </c>
      <c r="E83" s="25">
        <v>3</v>
      </c>
      <c r="F83" s="25">
        <v>8</v>
      </c>
      <c r="G83" s="25">
        <f>Table4[[#This Row],[Sale Price]]-Table4[[#This Row],[Store Cost]]</f>
        <v>5</v>
      </c>
      <c r="H83" s="28">
        <f>IF(Table4[[#This Row],[Profit]]&gt;=50,Table4[[#This Row],[Profit]]*0.2,Table4[[#This Row],[Profit]]*0.1)</f>
        <v>0.5</v>
      </c>
      <c r="I83" s="28" t="s">
        <v>108</v>
      </c>
      <c r="J83" s="28" t="s">
        <v>109</v>
      </c>
      <c r="K83" s="28" t="s">
        <v>81</v>
      </c>
    </row>
    <row r="84" spans="1:11" ht="15.75">
      <c r="A84" s="27" t="s">
        <v>98</v>
      </c>
      <c r="B84" s="26">
        <v>1083</v>
      </c>
      <c r="C84" s="28">
        <v>1109</v>
      </c>
      <c r="D84" s="28" t="s">
        <v>85</v>
      </c>
      <c r="E84" s="25">
        <v>3</v>
      </c>
      <c r="F84" s="25">
        <v>8</v>
      </c>
      <c r="G84" s="25">
        <f>Table4[[#This Row],[Sale Price]]-Table4[[#This Row],[Store Cost]]</f>
        <v>5</v>
      </c>
      <c r="H84" s="28">
        <f>IF(Table4[[#This Row],[Profit]]&gt;=50,Table4[[#This Row],[Profit]]*0.2,Table4[[#This Row],[Profit]]*0.1)</f>
        <v>0.5</v>
      </c>
      <c r="I84" s="28" t="s">
        <v>108</v>
      </c>
      <c r="J84" s="28" t="s">
        <v>109</v>
      </c>
      <c r="K84" s="28" t="s">
        <v>91</v>
      </c>
    </row>
    <row r="85" spans="1:11" ht="15.75">
      <c r="A85" s="27" t="s">
        <v>98</v>
      </c>
      <c r="B85" s="26">
        <v>1084</v>
      </c>
      <c r="C85" s="28">
        <v>6119</v>
      </c>
      <c r="D85" s="28" t="s">
        <v>93</v>
      </c>
      <c r="E85" s="25">
        <v>9</v>
      </c>
      <c r="F85" s="25">
        <v>14</v>
      </c>
      <c r="G85" s="25">
        <f>Table4[[#This Row],[Sale Price]]-Table4[[#This Row],[Store Cost]]</f>
        <v>5</v>
      </c>
      <c r="H85" s="28">
        <f>IF(Table4[[#This Row],[Profit]]&gt;=50,Table4[[#This Row],[Profit]]*0.2,Table4[[#This Row],[Profit]]*0.1)</f>
        <v>0.5</v>
      </c>
      <c r="I85" s="28" t="s">
        <v>108</v>
      </c>
      <c r="J85" s="28" t="s">
        <v>109</v>
      </c>
      <c r="K85" s="28" t="s">
        <v>83</v>
      </c>
    </row>
    <row r="86" spans="1:11" ht="15.75">
      <c r="A86" s="27" t="s">
        <v>98</v>
      </c>
      <c r="B86" s="26">
        <v>1085</v>
      </c>
      <c r="C86" s="28">
        <v>9822</v>
      </c>
      <c r="D86" s="28" t="s">
        <v>78</v>
      </c>
      <c r="E86" s="25">
        <v>58.3</v>
      </c>
      <c r="F86" s="25">
        <v>98.4</v>
      </c>
      <c r="G86" s="25">
        <f>Table4[[#This Row],[Sale Price]]-Table4[[#This Row],[Store Cost]]</f>
        <v>40.100000000000009</v>
      </c>
      <c r="H86" s="28">
        <f>IF(Table4[[#This Row],[Profit]]&gt;=50,Table4[[#This Row],[Profit]]*0.2,Table4[[#This Row],[Profit]]*0.1)</f>
        <v>4.0100000000000007</v>
      </c>
      <c r="I86" s="28" t="s">
        <v>112</v>
      </c>
      <c r="J86" s="28" t="s">
        <v>113</v>
      </c>
      <c r="K86" s="28" t="s">
        <v>91</v>
      </c>
    </row>
    <row r="87" spans="1:11" ht="15.75">
      <c r="A87" s="27" t="s">
        <v>98</v>
      </c>
      <c r="B87" s="26">
        <v>1086</v>
      </c>
      <c r="C87" s="28">
        <v>1109</v>
      </c>
      <c r="D87" s="28" t="s">
        <v>85</v>
      </c>
      <c r="E87" s="25">
        <v>3</v>
      </c>
      <c r="F87" s="25">
        <v>8</v>
      </c>
      <c r="G87" s="25">
        <f>Table4[[#This Row],[Sale Price]]-Table4[[#This Row],[Store Cost]]</f>
        <v>5</v>
      </c>
      <c r="H87" s="28">
        <f>IF(Table4[[#This Row],[Profit]]&gt;=50,Table4[[#This Row],[Profit]]*0.2,Table4[[#This Row],[Profit]]*0.1)</f>
        <v>0.5</v>
      </c>
      <c r="I87" s="28" t="s">
        <v>114</v>
      </c>
      <c r="J87" s="28" t="s">
        <v>115</v>
      </c>
      <c r="K87" s="28" t="s">
        <v>83</v>
      </c>
    </row>
    <row r="88" spans="1:11" ht="15.75">
      <c r="A88" s="27" t="s">
        <v>98</v>
      </c>
      <c r="B88" s="26">
        <v>1087</v>
      </c>
      <c r="C88" s="28">
        <v>2499</v>
      </c>
      <c r="D88" s="28" t="s">
        <v>82</v>
      </c>
      <c r="E88" s="25">
        <v>6.2</v>
      </c>
      <c r="F88" s="25">
        <v>9.1999999999999993</v>
      </c>
      <c r="G88" s="25">
        <f>Table4[[#This Row],[Sale Price]]-Table4[[#This Row],[Store Cost]]</f>
        <v>2.9999999999999991</v>
      </c>
      <c r="H88" s="28">
        <f>IF(Table4[[#This Row],[Profit]]&gt;=50,Table4[[#This Row],[Profit]]*0.2,Table4[[#This Row],[Profit]]*0.1)</f>
        <v>0.29999999999999993</v>
      </c>
      <c r="I88" s="28" t="s">
        <v>108</v>
      </c>
      <c r="J88" s="28" t="s">
        <v>109</v>
      </c>
      <c r="K88" s="28" t="s">
        <v>81</v>
      </c>
    </row>
    <row r="89" spans="1:11" ht="15.75">
      <c r="A89" s="27" t="s">
        <v>98</v>
      </c>
      <c r="B89" s="26">
        <v>1088</v>
      </c>
      <c r="C89" s="28">
        <v>2499</v>
      </c>
      <c r="D89" s="28" t="s">
        <v>82</v>
      </c>
      <c r="E89" s="25">
        <v>6.2</v>
      </c>
      <c r="F89" s="25">
        <v>9.1999999999999993</v>
      </c>
      <c r="G89" s="25">
        <f>Table4[[#This Row],[Sale Price]]-Table4[[#This Row],[Store Cost]]</f>
        <v>2.9999999999999991</v>
      </c>
      <c r="H89" s="28">
        <f>IF(Table4[[#This Row],[Profit]]&gt;=50,Table4[[#This Row],[Profit]]*0.2,Table4[[#This Row],[Profit]]*0.1)</f>
        <v>0.29999999999999993</v>
      </c>
      <c r="I89" s="28" t="s">
        <v>108</v>
      </c>
      <c r="J89" s="28" t="s">
        <v>109</v>
      </c>
      <c r="K89" s="28" t="s">
        <v>79</v>
      </c>
    </row>
    <row r="90" spans="1:11" ht="15.75">
      <c r="A90" s="27" t="s">
        <v>98</v>
      </c>
      <c r="B90" s="26">
        <v>1089</v>
      </c>
      <c r="C90" s="28">
        <v>6119</v>
      </c>
      <c r="D90" s="28" t="s">
        <v>93</v>
      </c>
      <c r="E90" s="25">
        <v>9</v>
      </c>
      <c r="F90" s="25">
        <v>14</v>
      </c>
      <c r="G90" s="25">
        <f>Table4[[#This Row],[Sale Price]]-Table4[[#This Row],[Store Cost]]</f>
        <v>5</v>
      </c>
      <c r="H90" s="28">
        <f>IF(Table4[[#This Row],[Profit]]&gt;=50,Table4[[#This Row],[Profit]]*0.2,Table4[[#This Row],[Profit]]*0.1)</f>
        <v>0.5</v>
      </c>
      <c r="I90" s="28" t="s">
        <v>112</v>
      </c>
      <c r="J90" s="28" t="s">
        <v>113</v>
      </c>
      <c r="K90" s="28" t="s">
        <v>91</v>
      </c>
    </row>
    <row r="91" spans="1:11" ht="15.75">
      <c r="A91" s="27" t="s">
        <v>98</v>
      </c>
      <c r="B91" s="26">
        <v>1090</v>
      </c>
      <c r="C91" s="28">
        <v>2877</v>
      </c>
      <c r="D91" s="28" t="s">
        <v>80</v>
      </c>
      <c r="E91" s="25">
        <v>11.4</v>
      </c>
      <c r="F91" s="25">
        <v>16.3</v>
      </c>
      <c r="G91" s="25">
        <f>Table4[[#This Row],[Sale Price]]-Table4[[#This Row],[Store Cost]]</f>
        <v>4.9000000000000004</v>
      </c>
      <c r="H91" s="28">
        <f>IF(Table4[[#This Row],[Profit]]&gt;=50,Table4[[#This Row],[Profit]]*0.2,Table4[[#This Row],[Profit]]*0.1)</f>
        <v>0.49000000000000005</v>
      </c>
      <c r="I91" s="28" t="s">
        <v>108</v>
      </c>
      <c r="J91" s="28" t="s">
        <v>109</v>
      </c>
      <c r="K91" s="28" t="s">
        <v>81</v>
      </c>
    </row>
    <row r="92" spans="1:11" ht="15.75">
      <c r="A92" s="27" t="s">
        <v>98</v>
      </c>
      <c r="B92" s="26">
        <v>1091</v>
      </c>
      <c r="C92" s="28">
        <v>2877</v>
      </c>
      <c r="D92" s="28" t="s">
        <v>80</v>
      </c>
      <c r="E92" s="25">
        <v>11.4</v>
      </c>
      <c r="F92" s="25">
        <v>16.3</v>
      </c>
      <c r="G92" s="25">
        <f>Table4[[#This Row],[Sale Price]]-Table4[[#This Row],[Store Cost]]</f>
        <v>4.9000000000000004</v>
      </c>
      <c r="H92" s="28">
        <f>IF(Table4[[#This Row],[Profit]]&gt;=50,Table4[[#This Row],[Profit]]*0.2,Table4[[#This Row],[Profit]]*0.1)</f>
        <v>0.49000000000000005</v>
      </c>
      <c r="I92" s="28" t="s">
        <v>114</v>
      </c>
      <c r="J92" s="28" t="s">
        <v>115</v>
      </c>
      <c r="K92" s="28" t="s">
        <v>91</v>
      </c>
    </row>
    <row r="93" spans="1:11" ht="15.75">
      <c r="A93" s="27" t="s">
        <v>98</v>
      </c>
      <c r="B93" s="26">
        <v>1092</v>
      </c>
      <c r="C93" s="28">
        <v>2877</v>
      </c>
      <c r="D93" s="28" t="s">
        <v>80</v>
      </c>
      <c r="E93" s="25">
        <v>11.4</v>
      </c>
      <c r="F93" s="25">
        <v>16.3</v>
      </c>
      <c r="G93" s="25">
        <f>Table4[[#This Row],[Sale Price]]-Table4[[#This Row],[Store Cost]]</f>
        <v>4.9000000000000004</v>
      </c>
      <c r="H93" s="28">
        <f>IF(Table4[[#This Row],[Profit]]&gt;=50,Table4[[#This Row],[Profit]]*0.2,Table4[[#This Row],[Profit]]*0.1)</f>
        <v>0.49000000000000005</v>
      </c>
      <c r="I93" s="28" t="s">
        <v>112</v>
      </c>
      <c r="J93" s="28" t="s">
        <v>113</v>
      </c>
      <c r="K93" s="28" t="s">
        <v>81</v>
      </c>
    </row>
    <row r="94" spans="1:11" ht="15.75">
      <c r="A94" s="27" t="s">
        <v>98</v>
      </c>
      <c r="B94" s="26">
        <v>1093</v>
      </c>
      <c r="C94" s="28">
        <v>6119</v>
      </c>
      <c r="D94" s="28" t="s">
        <v>93</v>
      </c>
      <c r="E94" s="25">
        <v>9</v>
      </c>
      <c r="F94" s="25">
        <v>14</v>
      </c>
      <c r="G94" s="25">
        <f>Table4[[#This Row],[Sale Price]]-Table4[[#This Row],[Store Cost]]</f>
        <v>5</v>
      </c>
      <c r="H94" s="28">
        <f>IF(Table4[[#This Row],[Profit]]&gt;=50,Table4[[#This Row],[Profit]]*0.2,Table4[[#This Row],[Profit]]*0.1)</f>
        <v>0.5</v>
      </c>
      <c r="I94" s="28" t="s">
        <v>110</v>
      </c>
      <c r="J94" s="28" t="s">
        <v>111</v>
      </c>
      <c r="K94" s="28" t="s">
        <v>83</v>
      </c>
    </row>
    <row r="95" spans="1:11" ht="15.75">
      <c r="A95" s="27" t="s">
        <v>98</v>
      </c>
      <c r="B95" s="26">
        <v>1094</v>
      </c>
      <c r="C95" s="28">
        <v>6119</v>
      </c>
      <c r="D95" s="28" t="s">
        <v>93</v>
      </c>
      <c r="E95" s="25">
        <v>9</v>
      </c>
      <c r="F95" s="25">
        <v>14</v>
      </c>
      <c r="G95" s="25">
        <f>Table4[[#This Row],[Sale Price]]-Table4[[#This Row],[Store Cost]]</f>
        <v>5</v>
      </c>
      <c r="H95" s="28">
        <f>IF(Table4[[#This Row],[Profit]]&gt;=50,Table4[[#This Row],[Profit]]*0.2,Table4[[#This Row],[Profit]]*0.1)</f>
        <v>0.5</v>
      </c>
      <c r="I95" s="28" t="s">
        <v>112</v>
      </c>
      <c r="J95" s="28" t="s">
        <v>113</v>
      </c>
      <c r="K95" s="28" t="s">
        <v>81</v>
      </c>
    </row>
    <row r="96" spans="1:11" ht="15.75">
      <c r="A96" s="27" t="s">
        <v>98</v>
      </c>
      <c r="B96" s="26">
        <v>1095</v>
      </c>
      <c r="C96" s="28">
        <v>2499</v>
      </c>
      <c r="D96" s="28" t="s">
        <v>82</v>
      </c>
      <c r="E96" s="25">
        <v>6.2</v>
      </c>
      <c r="F96" s="25">
        <v>9.1999999999999993</v>
      </c>
      <c r="G96" s="25">
        <f>Table4[[#This Row],[Sale Price]]-Table4[[#This Row],[Store Cost]]</f>
        <v>2.9999999999999991</v>
      </c>
      <c r="H96" s="28">
        <f>IF(Table4[[#This Row],[Profit]]&gt;=50,Table4[[#This Row],[Profit]]*0.2,Table4[[#This Row],[Profit]]*0.1)</f>
        <v>0.29999999999999993</v>
      </c>
      <c r="I96" s="28" t="s">
        <v>114</v>
      </c>
      <c r="J96" s="28" t="s">
        <v>115</v>
      </c>
      <c r="K96" s="28" t="s">
        <v>83</v>
      </c>
    </row>
    <row r="97" spans="1:11" ht="15.75">
      <c r="A97" s="27" t="s">
        <v>98</v>
      </c>
      <c r="B97" s="26">
        <v>1096</v>
      </c>
      <c r="C97" s="28">
        <v>6119</v>
      </c>
      <c r="D97" s="28" t="s">
        <v>93</v>
      </c>
      <c r="E97" s="25">
        <v>9</v>
      </c>
      <c r="F97" s="25">
        <v>14</v>
      </c>
      <c r="G97" s="25">
        <f>Table4[[#This Row],[Sale Price]]-Table4[[#This Row],[Store Cost]]</f>
        <v>5</v>
      </c>
      <c r="H97" s="28">
        <f>IF(Table4[[#This Row],[Profit]]&gt;=50,Table4[[#This Row],[Profit]]*0.2,Table4[[#This Row],[Profit]]*0.1)</f>
        <v>0.5</v>
      </c>
      <c r="I97" s="28" t="s">
        <v>112</v>
      </c>
      <c r="J97" s="28" t="s">
        <v>113</v>
      </c>
      <c r="K97" s="28" t="s">
        <v>83</v>
      </c>
    </row>
    <row r="98" spans="1:11" ht="15.75">
      <c r="A98" s="27" t="s">
        <v>98</v>
      </c>
      <c r="B98" s="26">
        <v>1097</v>
      </c>
      <c r="C98" s="28">
        <v>9212</v>
      </c>
      <c r="D98" s="28" t="s">
        <v>88</v>
      </c>
      <c r="E98" s="25">
        <v>4</v>
      </c>
      <c r="F98" s="25">
        <v>7</v>
      </c>
      <c r="G98" s="25">
        <f>Table4[[#This Row],[Sale Price]]-Table4[[#This Row],[Store Cost]]</f>
        <v>3</v>
      </c>
      <c r="H98" s="28">
        <f>IF(Table4[[#This Row],[Profit]]&gt;=50,Table4[[#This Row],[Profit]]*0.2,Table4[[#This Row],[Profit]]*0.1)</f>
        <v>0.30000000000000004</v>
      </c>
      <c r="I98" s="28" t="s">
        <v>114</v>
      </c>
      <c r="J98" s="28" t="s">
        <v>115</v>
      </c>
      <c r="K98" s="28" t="s">
        <v>91</v>
      </c>
    </row>
    <row r="99" spans="1:11" ht="15.75">
      <c r="A99" s="27" t="s">
        <v>98</v>
      </c>
      <c r="B99" s="26">
        <v>1098</v>
      </c>
      <c r="C99" s="28">
        <v>2877</v>
      </c>
      <c r="D99" s="28" t="s">
        <v>80</v>
      </c>
      <c r="E99" s="25">
        <v>11.4</v>
      </c>
      <c r="F99" s="25">
        <v>16.3</v>
      </c>
      <c r="G99" s="25">
        <f>Table4[[#This Row],[Sale Price]]-Table4[[#This Row],[Store Cost]]</f>
        <v>4.9000000000000004</v>
      </c>
      <c r="H99" s="28">
        <f>IF(Table4[[#This Row],[Profit]]&gt;=50,Table4[[#This Row],[Profit]]*0.2,Table4[[#This Row],[Profit]]*0.1)</f>
        <v>0.49000000000000005</v>
      </c>
      <c r="I99" s="28" t="s">
        <v>110</v>
      </c>
      <c r="J99" s="28" t="s">
        <v>111</v>
      </c>
      <c r="K99" s="28" t="s">
        <v>79</v>
      </c>
    </row>
    <row r="100" spans="1:11" ht="15.75">
      <c r="A100" s="27" t="s">
        <v>99</v>
      </c>
      <c r="B100" s="26">
        <v>1099</v>
      </c>
      <c r="C100" s="28">
        <v>2877</v>
      </c>
      <c r="D100" s="28" t="s">
        <v>80</v>
      </c>
      <c r="E100" s="25">
        <v>11.4</v>
      </c>
      <c r="F100" s="25">
        <v>16.3</v>
      </c>
      <c r="G100" s="25">
        <f>Table4[[#This Row],[Sale Price]]-Table4[[#This Row],[Store Cost]]</f>
        <v>4.9000000000000004</v>
      </c>
      <c r="H100" s="28">
        <f>IF(Table4[[#This Row],[Profit]]&gt;=50,Table4[[#This Row],[Profit]]*0.2,Table4[[#This Row],[Profit]]*0.1)</f>
        <v>0.49000000000000005</v>
      </c>
      <c r="I100" s="28" t="s">
        <v>112</v>
      </c>
      <c r="J100" s="28" t="s">
        <v>113</v>
      </c>
      <c r="K100" s="28" t="s">
        <v>81</v>
      </c>
    </row>
    <row r="101" spans="1:11" ht="15.75">
      <c r="A101" s="27" t="s">
        <v>99</v>
      </c>
      <c r="B101" s="26">
        <v>1100</v>
      </c>
      <c r="C101" s="28">
        <v>6119</v>
      </c>
      <c r="D101" s="28" t="s">
        <v>93</v>
      </c>
      <c r="E101" s="25">
        <v>9</v>
      </c>
      <c r="F101" s="25">
        <v>14</v>
      </c>
      <c r="G101" s="25">
        <f>Table4[[#This Row],[Sale Price]]-Table4[[#This Row],[Store Cost]]</f>
        <v>5</v>
      </c>
      <c r="H101" s="28">
        <f>IF(Table4[[#This Row],[Profit]]&gt;=50,Table4[[#This Row],[Profit]]*0.2,Table4[[#This Row],[Profit]]*0.1)</f>
        <v>0.5</v>
      </c>
      <c r="I101" s="28" t="s">
        <v>108</v>
      </c>
      <c r="J101" s="28" t="s">
        <v>109</v>
      </c>
      <c r="K101" s="28" t="s">
        <v>92</v>
      </c>
    </row>
    <row r="102" spans="1:11" ht="15.75">
      <c r="A102" s="27" t="s">
        <v>99</v>
      </c>
      <c r="B102" s="26">
        <v>1101</v>
      </c>
      <c r="C102" s="28">
        <v>2499</v>
      </c>
      <c r="D102" s="28" t="s">
        <v>82</v>
      </c>
      <c r="E102" s="25">
        <v>6.2</v>
      </c>
      <c r="F102" s="25">
        <v>9.1999999999999993</v>
      </c>
      <c r="G102" s="25">
        <f>Table4[[#This Row],[Sale Price]]-Table4[[#This Row],[Store Cost]]</f>
        <v>2.9999999999999991</v>
      </c>
      <c r="H102" s="28">
        <f>IF(Table4[[#This Row],[Profit]]&gt;=50,Table4[[#This Row],[Profit]]*0.2,Table4[[#This Row],[Profit]]*0.1)</f>
        <v>0.29999999999999993</v>
      </c>
      <c r="I102" s="28" t="s">
        <v>112</v>
      </c>
      <c r="J102" s="28" t="s">
        <v>113</v>
      </c>
      <c r="K102" s="28" t="s">
        <v>81</v>
      </c>
    </row>
    <row r="103" spans="1:11" ht="15.75">
      <c r="A103" s="27" t="s">
        <v>99</v>
      </c>
      <c r="B103" s="26">
        <v>1102</v>
      </c>
      <c r="C103" s="28">
        <v>2242</v>
      </c>
      <c r="D103" s="28" t="s">
        <v>90</v>
      </c>
      <c r="E103" s="25">
        <v>60</v>
      </c>
      <c r="F103" s="25">
        <v>124</v>
      </c>
      <c r="G103" s="25">
        <f>Table4[[#This Row],[Sale Price]]-Table4[[#This Row],[Store Cost]]</f>
        <v>64</v>
      </c>
      <c r="H103" s="28">
        <f>IF(Table4[[#This Row],[Profit]]&gt;=50,Table4[[#This Row],[Profit]]*0.2,Table4[[#This Row],[Profit]]*0.1)</f>
        <v>12.8</v>
      </c>
      <c r="I103" s="28" t="s">
        <v>110</v>
      </c>
      <c r="J103" s="28" t="s">
        <v>111</v>
      </c>
      <c r="K103" s="28" t="s">
        <v>91</v>
      </c>
    </row>
    <row r="104" spans="1:11" ht="15.75">
      <c r="A104" s="27" t="s">
        <v>99</v>
      </c>
      <c r="B104" s="26">
        <v>1103</v>
      </c>
      <c r="C104" s="28">
        <v>2877</v>
      </c>
      <c r="D104" s="28" t="s">
        <v>80</v>
      </c>
      <c r="E104" s="25">
        <v>11.4</v>
      </c>
      <c r="F104" s="25">
        <v>16.3</v>
      </c>
      <c r="G104" s="25">
        <f>Table4[[#This Row],[Sale Price]]-Table4[[#This Row],[Store Cost]]</f>
        <v>4.9000000000000004</v>
      </c>
      <c r="H104" s="28">
        <f>IF(Table4[[#This Row],[Profit]]&gt;=50,Table4[[#This Row],[Profit]]*0.2,Table4[[#This Row],[Profit]]*0.1)</f>
        <v>0.49000000000000005</v>
      </c>
      <c r="I104" s="28" t="s">
        <v>110</v>
      </c>
      <c r="J104" s="28" t="s">
        <v>111</v>
      </c>
      <c r="K104" s="28" t="s">
        <v>83</v>
      </c>
    </row>
    <row r="105" spans="1:11" ht="15.75">
      <c r="A105" s="27" t="s">
        <v>99</v>
      </c>
      <c r="B105" s="26">
        <v>1104</v>
      </c>
      <c r="C105" s="28">
        <v>2877</v>
      </c>
      <c r="D105" s="28" t="s">
        <v>80</v>
      </c>
      <c r="E105" s="25">
        <v>11.4</v>
      </c>
      <c r="F105" s="25">
        <v>16.3</v>
      </c>
      <c r="G105" s="25">
        <f>Table4[[#This Row],[Sale Price]]-Table4[[#This Row],[Store Cost]]</f>
        <v>4.9000000000000004</v>
      </c>
      <c r="H105" s="28">
        <f>IF(Table4[[#This Row],[Profit]]&gt;=50,Table4[[#This Row],[Profit]]*0.2,Table4[[#This Row],[Profit]]*0.1)</f>
        <v>0.49000000000000005</v>
      </c>
      <c r="I105" s="28" t="s">
        <v>112</v>
      </c>
      <c r="J105" s="28" t="s">
        <v>113</v>
      </c>
      <c r="K105" s="28" t="s">
        <v>91</v>
      </c>
    </row>
    <row r="106" spans="1:11" ht="15.75">
      <c r="A106" s="27" t="s">
        <v>99</v>
      </c>
      <c r="B106" s="26">
        <v>1105</v>
      </c>
      <c r="C106" s="28">
        <v>2499</v>
      </c>
      <c r="D106" s="28" t="s">
        <v>82</v>
      </c>
      <c r="E106" s="25">
        <v>6.2</v>
      </c>
      <c r="F106" s="25">
        <v>9.1999999999999993</v>
      </c>
      <c r="G106" s="25">
        <f>Table4[[#This Row],[Sale Price]]-Table4[[#This Row],[Store Cost]]</f>
        <v>2.9999999999999991</v>
      </c>
      <c r="H106" s="28">
        <f>IF(Table4[[#This Row],[Profit]]&gt;=50,Table4[[#This Row],[Profit]]*0.2,Table4[[#This Row],[Profit]]*0.1)</f>
        <v>0.29999999999999993</v>
      </c>
      <c r="I106" s="28" t="s">
        <v>110</v>
      </c>
      <c r="J106" s="28" t="s">
        <v>111</v>
      </c>
      <c r="K106" s="28" t="s">
        <v>83</v>
      </c>
    </row>
    <row r="107" spans="1:11" ht="15.75">
      <c r="A107" s="27" t="s">
        <v>99</v>
      </c>
      <c r="B107" s="26">
        <v>1106</v>
      </c>
      <c r="C107" s="28">
        <v>9822</v>
      </c>
      <c r="D107" s="28" t="s">
        <v>78</v>
      </c>
      <c r="E107" s="25">
        <v>58.3</v>
      </c>
      <c r="F107" s="25">
        <v>98.4</v>
      </c>
      <c r="G107" s="25">
        <f>Table4[[#This Row],[Sale Price]]-Table4[[#This Row],[Store Cost]]</f>
        <v>40.100000000000009</v>
      </c>
      <c r="H107" s="28">
        <f>IF(Table4[[#This Row],[Profit]]&gt;=50,Table4[[#This Row],[Profit]]*0.2,Table4[[#This Row],[Profit]]*0.1)</f>
        <v>4.0100000000000007</v>
      </c>
      <c r="I107" s="28" t="s">
        <v>110</v>
      </c>
      <c r="J107" s="28" t="s">
        <v>111</v>
      </c>
      <c r="K107" s="28" t="s">
        <v>81</v>
      </c>
    </row>
    <row r="108" spans="1:11" ht="15.75">
      <c r="A108" s="27" t="s">
        <v>99</v>
      </c>
      <c r="B108" s="26">
        <v>1107</v>
      </c>
      <c r="C108" s="28">
        <v>1109</v>
      </c>
      <c r="D108" s="28" t="s">
        <v>85</v>
      </c>
      <c r="E108" s="25">
        <v>3</v>
      </c>
      <c r="F108" s="25">
        <v>8</v>
      </c>
      <c r="G108" s="25">
        <f>Table4[[#This Row],[Sale Price]]-Table4[[#This Row],[Store Cost]]</f>
        <v>5</v>
      </c>
      <c r="H108" s="28">
        <f>IF(Table4[[#This Row],[Profit]]&gt;=50,Table4[[#This Row],[Profit]]*0.2,Table4[[#This Row],[Profit]]*0.1)</f>
        <v>0.5</v>
      </c>
      <c r="I108" s="28" t="s">
        <v>114</v>
      </c>
      <c r="J108" s="28" t="s">
        <v>115</v>
      </c>
      <c r="K108" s="28" t="s">
        <v>79</v>
      </c>
    </row>
    <row r="109" spans="1:11" ht="15.75">
      <c r="A109" s="27" t="s">
        <v>99</v>
      </c>
      <c r="B109" s="26">
        <v>1108</v>
      </c>
      <c r="C109" s="28">
        <v>9822</v>
      </c>
      <c r="D109" s="28" t="s">
        <v>78</v>
      </c>
      <c r="E109" s="25">
        <v>58.3</v>
      </c>
      <c r="F109" s="25">
        <v>98.4</v>
      </c>
      <c r="G109" s="25">
        <f>Table4[[#This Row],[Sale Price]]-Table4[[#This Row],[Store Cost]]</f>
        <v>40.100000000000009</v>
      </c>
      <c r="H109" s="28">
        <f>IF(Table4[[#This Row],[Profit]]&gt;=50,Table4[[#This Row],[Profit]]*0.2,Table4[[#This Row],[Profit]]*0.1)</f>
        <v>4.0100000000000007</v>
      </c>
      <c r="I109" s="28" t="s">
        <v>112</v>
      </c>
      <c r="J109" s="28" t="s">
        <v>113</v>
      </c>
      <c r="K109" s="28" t="s">
        <v>91</v>
      </c>
    </row>
    <row r="110" spans="1:11" ht="15.75">
      <c r="A110" s="27" t="s">
        <v>99</v>
      </c>
      <c r="B110" s="26">
        <v>1109</v>
      </c>
      <c r="C110" s="28">
        <v>8722</v>
      </c>
      <c r="D110" s="28" t="s">
        <v>84</v>
      </c>
      <c r="E110" s="25">
        <v>344</v>
      </c>
      <c r="F110" s="25">
        <v>502</v>
      </c>
      <c r="G110" s="25">
        <f>Table4[[#This Row],[Sale Price]]-Table4[[#This Row],[Store Cost]]</f>
        <v>158</v>
      </c>
      <c r="H110" s="28">
        <f>IF(Table4[[#This Row],[Profit]]&gt;=50,Table4[[#This Row],[Profit]]*0.2,Table4[[#This Row],[Profit]]*0.1)</f>
        <v>31.6</v>
      </c>
      <c r="I110" s="28" t="s">
        <v>110</v>
      </c>
      <c r="J110" s="28" t="s">
        <v>111</v>
      </c>
      <c r="K110" s="28" t="s">
        <v>81</v>
      </c>
    </row>
    <row r="111" spans="1:11" ht="15.75">
      <c r="A111" s="27" t="s">
        <v>99</v>
      </c>
      <c r="B111" s="26">
        <v>1110</v>
      </c>
      <c r="C111" s="28">
        <v>8722</v>
      </c>
      <c r="D111" s="28" t="s">
        <v>84</v>
      </c>
      <c r="E111" s="25">
        <v>344</v>
      </c>
      <c r="F111" s="25">
        <v>502</v>
      </c>
      <c r="G111" s="25">
        <f>Table4[[#This Row],[Sale Price]]-Table4[[#This Row],[Store Cost]]</f>
        <v>158</v>
      </c>
      <c r="H111" s="28">
        <f>IF(Table4[[#This Row],[Profit]]&gt;=50,Table4[[#This Row],[Profit]]*0.2,Table4[[#This Row],[Profit]]*0.1)</f>
        <v>31.6</v>
      </c>
      <c r="I111" s="28" t="s">
        <v>114</v>
      </c>
      <c r="J111" s="28" t="s">
        <v>115</v>
      </c>
      <c r="K111" s="28" t="s">
        <v>91</v>
      </c>
    </row>
    <row r="112" spans="1:11" ht="15.75">
      <c r="A112" s="27" t="s">
        <v>99</v>
      </c>
      <c r="B112" s="26">
        <v>1111</v>
      </c>
      <c r="C112" s="28">
        <v>6622</v>
      </c>
      <c r="D112" s="28" t="s">
        <v>95</v>
      </c>
      <c r="E112" s="25">
        <v>42</v>
      </c>
      <c r="F112" s="25">
        <v>77</v>
      </c>
      <c r="G112" s="25">
        <f>Table4[[#This Row],[Sale Price]]-Table4[[#This Row],[Store Cost]]</f>
        <v>35</v>
      </c>
      <c r="H112" s="28">
        <f>IF(Table4[[#This Row],[Profit]]&gt;=50,Table4[[#This Row],[Profit]]*0.2,Table4[[#This Row],[Profit]]*0.1)</f>
        <v>3.5</v>
      </c>
      <c r="I112" s="28" t="s">
        <v>114</v>
      </c>
      <c r="J112" s="28" t="s">
        <v>115</v>
      </c>
      <c r="K112" s="28" t="s">
        <v>81</v>
      </c>
    </row>
    <row r="113" spans="1:11" ht="15.75">
      <c r="A113" s="27" t="s">
        <v>99</v>
      </c>
      <c r="B113" s="26">
        <v>1112</v>
      </c>
      <c r="C113" s="28">
        <v>6622</v>
      </c>
      <c r="D113" s="28" t="s">
        <v>95</v>
      </c>
      <c r="E113" s="25">
        <v>42</v>
      </c>
      <c r="F113" s="25">
        <v>77</v>
      </c>
      <c r="G113" s="25">
        <f>Table4[[#This Row],[Sale Price]]-Table4[[#This Row],[Store Cost]]</f>
        <v>35</v>
      </c>
      <c r="H113" s="28">
        <f>IF(Table4[[#This Row],[Profit]]&gt;=50,Table4[[#This Row],[Profit]]*0.2,Table4[[#This Row],[Profit]]*0.1)</f>
        <v>3.5</v>
      </c>
      <c r="I113" s="28" t="s">
        <v>112</v>
      </c>
      <c r="J113" s="28" t="s">
        <v>113</v>
      </c>
      <c r="K113" s="28" t="s">
        <v>83</v>
      </c>
    </row>
    <row r="114" spans="1:11" ht="15.75">
      <c r="A114" s="27" t="s">
        <v>99</v>
      </c>
      <c r="B114" s="26">
        <v>1113</v>
      </c>
      <c r="C114" s="28">
        <v>9822</v>
      </c>
      <c r="D114" s="28" t="s">
        <v>78</v>
      </c>
      <c r="E114" s="25">
        <v>58.3</v>
      </c>
      <c r="F114" s="25">
        <v>98.4</v>
      </c>
      <c r="G114" s="25">
        <f>Table4[[#This Row],[Sale Price]]-Table4[[#This Row],[Store Cost]]</f>
        <v>40.100000000000009</v>
      </c>
      <c r="H114" s="28">
        <f>IF(Table4[[#This Row],[Profit]]&gt;=50,Table4[[#This Row],[Profit]]*0.2,Table4[[#This Row],[Profit]]*0.1)</f>
        <v>4.0100000000000007</v>
      </c>
      <c r="I114" s="28" t="s">
        <v>108</v>
      </c>
      <c r="J114" s="28" t="s">
        <v>109</v>
      </c>
      <c r="K114" s="28" t="s">
        <v>81</v>
      </c>
    </row>
    <row r="115" spans="1:11" ht="15.75">
      <c r="A115" s="27" t="s">
        <v>99</v>
      </c>
      <c r="B115" s="26">
        <v>1114</v>
      </c>
      <c r="C115" s="28">
        <v>2242</v>
      </c>
      <c r="D115" s="28" t="s">
        <v>90</v>
      </c>
      <c r="E115" s="25">
        <v>60</v>
      </c>
      <c r="F115" s="25">
        <v>124</v>
      </c>
      <c r="G115" s="25">
        <f>Table4[[#This Row],[Sale Price]]-Table4[[#This Row],[Store Cost]]</f>
        <v>64</v>
      </c>
      <c r="H115" s="28">
        <f>IF(Table4[[#This Row],[Profit]]&gt;=50,Table4[[#This Row],[Profit]]*0.2,Table4[[#This Row],[Profit]]*0.1)</f>
        <v>12.8</v>
      </c>
      <c r="I115" s="28" t="s">
        <v>110</v>
      </c>
      <c r="J115" s="28" t="s">
        <v>111</v>
      </c>
      <c r="K115" s="28" t="s">
        <v>83</v>
      </c>
    </row>
    <row r="116" spans="1:11" ht="15.75">
      <c r="A116" s="27" t="s">
        <v>99</v>
      </c>
      <c r="B116" s="26">
        <v>1115</v>
      </c>
      <c r="C116" s="28">
        <v>8722</v>
      </c>
      <c r="D116" s="28" t="s">
        <v>84</v>
      </c>
      <c r="E116" s="25">
        <v>344</v>
      </c>
      <c r="F116" s="25">
        <v>502</v>
      </c>
      <c r="G116" s="25">
        <f>Table4[[#This Row],[Sale Price]]-Table4[[#This Row],[Store Cost]]</f>
        <v>158</v>
      </c>
      <c r="H116" s="28">
        <f>IF(Table4[[#This Row],[Profit]]&gt;=50,Table4[[#This Row],[Profit]]*0.2,Table4[[#This Row],[Profit]]*0.1)</f>
        <v>31.6</v>
      </c>
      <c r="I116" s="28" t="s">
        <v>108</v>
      </c>
      <c r="J116" s="28" t="s">
        <v>109</v>
      </c>
      <c r="K116" s="28" t="s">
        <v>83</v>
      </c>
    </row>
    <row r="117" spans="1:11" ht="15.75">
      <c r="A117" s="27" t="s">
        <v>99</v>
      </c>
      <c r="B117" s="26">
        <v>1116</v>
      </c>
      <c r="C117" s="28">
        <v>6622</v>
      </c>
      <c r="D117" s="28" t="s">
        <v>95</v>
      </c>
      <c r="E117" s="25">
        <v>42</v>
      </c>
      <c r="F117" s="25">
        <v>77</v>
      </c>
      <c r="G117" s="25">
        <f>Table4[[#This Row],[Sale Price]]-Table4[[#This Row],[Store Cost]]</f>
        <v>35</v>
      </c>
      <c r="H117" s="28">
        <f>IF(Table4[[#This Row],[Profit]]&gt;=50,Table4[[#This Row],[Profit]]*0.2,Table4[[#This Row],[Profit]]*0.1)</f>
        <v>3.5</v>
      </c>
      <c r="I117" s="28" t="s">
        <v>112</v>
      </c>
      <c r="J117" s="28" t="s">
        <v>113</v>
      </c>
      <c r="K117" s="28" t="s">
        <v>91</v>
      </c>
    </row>
    <row r="118" spans="1:11" ht="15.75">
      <c r="A118" s="27" t="s">
        <v>99</v>
      </c>
      <c r="B118" s="26">
        <v>1117</v>
      </c>
      <c r="C118" s="28">
        <v>8722</v>
      </c>
      <c r="D118" s="28" t="s">
        <v>84</v>
      </c>
      <c r="E118" s="25">
        <v>344</v>
      </c>
      <c r="F118" s="25">
        <v>502</v>
      </c>
      <c r="G118" s="25">
        <f>Table4[[#This Row],[Sale Price]]-Table4[[#This Row],[Store Cost]]</f>
        <v>158</v>
      </c>
      <c r="H118" s="28">
        <f>IF(Table4[[#This Row],[Profit]]&gt;=50,Table4[[#This Row],[Profit]]*0.2,Table4[[#This Row],[Profit]]*0.1)</f>
        <v>31.6</v>
      </c>
      <c r="I118" s="28" t="s">
        <v>114</v>
      </c>
      <c r="J118" s="28" t="s">
        <v>115</v>
      </c>
      <c r="K118" s="28" t="s">
        <v>79</v>
      </c>
    </row>
    <row r="119" spans="1:11" ht="15.75">
      <c r="A119" s="27" t="s">
        <v>99</v>
      </c>
      <c r="B119" s="26">
        <v>1118</v>
      </c>
      <c r="C119" s="28">
        <v>9822</v>
      </c>
      <c r="D119" s="28" t="s">
        <v>78</v>
      </c>
      <c r="E119" s="25">
        <v>58.3</v>
      </c>
      <c r="F119" s="25">
        <v>98.4</v>
      </c>
      <c r="G119" s="25">
        <f>Table4[[#This Row],[Sale Price]]-Table4[[#This Row],[Store Cost]]</f>
        <v>40.100000000000009</v>
      </c>
      <c r="H119" s="28">
        <f>IF(Table4[[#This Row],[Profit]]&gt;=50,Table4[[#This Row],[Profit]]*0.2,Table4[[#This Row],[Profit]]*0.1)</f>
        <v>4.0100000000000007</v>
      </c>
      <c r="I119" s="28" t="s">
        <v>110</v>
      </c>
      <c r="J119" s="28" t="s">
        <v>111</v>
      </c>
      <c r="K119" s="28" t="s">
        <v>81</v>
      </c>
    </row>
    <row r="120" spans="1:11" ht="15.75">
      <c r="A120" s="27" t="s">
        <v>99</v>
      </c>
      <c r="B120" s="26">
        <v>1119</v>
      </c>
      <c r="C120" s="28">
        <v>2242</v>
      </c>
      <c r="D120" s="28" t="s">
        <v>90</v>
      </c>
      <c r="E120" s="25">
        <v>60</v>
      </c>
      <c r="F120" s="25">
        <v>124</v>
      </c>
      <c r="G120" s="25">
        <f>Table4[[#This Row],[Sale Price]]-Table4[[#This Row],[Store Cost]]</f>
        <v>64</v>
      </c>
      <c r="H120" s="28">
        <f>IF(Table4[[#This Row],[Profit]]&gt;=50,Table4[[#This Row],[Profit]]*0.2,Table4[[#This Row],[Profit]]*0.1)</f>
        <v>12.8</v>
      </c>
      <c r="I120" s="28" t="s">
        <v>108</v>
      </c>
      <c r="J120" s="28" t="s">
        <v>109</v>
      </c>
      <c r="K120" s="28" t="s">
        <v>92</v>
      </c>
    </row>
    <row r="121" spans="1:11" ht="15.75">
      <c r="A121" s="27" t="s">
        <v>99</v>
      </c>
      <c r="B121" s="26">
        <v>1120</v>
      </c>
      <c r="C121" s="28">
        <v>2242</v>
      </c>
      <c r="D121" s="28" t="s">
        <v>90</v>
      </c>
      <c r="E121" s="25">
        <v>60</v>
      </c>
      <c r="F121" s="25">
        <v>124</v>
      </c>
      <c r="G121" s="25">
        <f>Table4[[#This Row],[Sale Price]]-Table4[[#This Row],[Store Cost]]</f>
        <v>64</v>
      </c>
      <c r="H121" s="28">
        <f>IF(Table4[[#This Row],[Profit]]&gt;=50,Table4[[#This Row],[Profit]]*0.2,Table4[[#This Row],[Profit]]*0.1)</f>
        <v>12.8</v>
      </c>
      <c r="I121" s="28" t="s">
        <v>112</v>
      </c>
      <c r="J121" s="28" t="s">
        <v>113</v>
      </c>
      <c r="K121" s="28" t="s">
        <v>81</v>
      </c>
    </row>
    <row r="122" spans="1:11" ht="15.75">
      <c r="A122" s="27" t="s">
        <v>99</v>
      </c>
      <c r="B122" s="26">
        <v>1121</v>
      </c>
      <c r="C122" s="28">
        <v>4421</v>
      </c>
      <c r="D122" s="28" t="s">
        <v>87</v>
      </c>
      <c r="E122" s="25">
        <v>45</v>
      </c>
      <c r="F122" s="25">
        <v>87</v>
      </c>
      <c r="G122" s="25">
        <f>Table4[[#This Row],[Sale Price]]-Table4[[#This Row],[Store Cost]]</f>
        <v>42</v>
      </c>
      <c r="H122" s="28">
        <f>IF(Table4[[#This Row],[Profit]]&gt;=50,Table4[[#This Row],[Profit]]*0.2,Table4[[#This Row],[Profit]]*0.1)</f>
        <v>4.2</v>
      </c>
      <c r="I122" s="28" t="s">
        <v>112</v>
      </c>
      <c r="J122" s="28" t="s">
        <v>113</v>
      </c>
      <c r="K122" s="28" t="s">
        <v>91</v>
      </c>
    </row>
    <row r="123" spans="1:11" ht="15.75">
      <c r="A123" s="27" t="s">
        <v>99</v>
      </c>
      <c r="B123" s="26">
        <v>1122</v>
      </c>
      <c r="C123" s="28">
        <v>8722</v>
      </c>
      <c r="D123" s="28" t="s">
        <v>84</v>
      </c>
      <c r="E123" s="25">
        <v>344</v>
      </c>
      <c r="F123" s="25">
        <v>502</v>
      </c>
      <c r="G123" s="25">
        <f>Table4[[#This Row],[Sale Price]]-Table4[[#This Row],[Store Cost]]</f>
        <v>158</v>
      </c>
      <c r="H123" s="28">
        <f>IF(Table4[[#This Row],[Profit]]&gt;=50,Table4[[#This Row],[Profit]]*0.2,Table4[[#This Row],[Profit]]*0.1)</f>
        <v>31.6</v>
      </c>
      <c r="I123" s="28" t="s">
        <v>112</v>
      </c>
      <c r="J123" s="28" t="s">
        <v>113</v>
      </c>
      <c r="K123" s="28" t="s">
        <v>83</v>
      </c>
    </row>
    <row r="124" spans="1:11" ht="15.75">
      <c r="A124" s="27" t="s">
        <v>99</v>
      </c>
      <c r="B124" s="26">
        <v>1123</v>
      </c>
      <c r="C124" s="28">
        <v>9822</v>
      </c>
      <c r="D124" s="28" t="s">
        <v>78</v>
      </c>
      <c r="E124" s="25">
        <v>58.3</v>
      </c>
      <c r="F124" s="25">
        <v>98.4</v>
      </c>
      <c r="G124" s="25">
        <f>Table4[[#This Row],[Sale Price]]-Table4[[#This Row],[Store Cost]]</f>
        <v>40.100000000000009</v>
      </c>
      <c r="H124" s="28">
        <f>IF(Table4[[#This Row],[Profit]]&gt;=50,Table4[[#This Row],[Profit]]*0.2,Table4[[#This Row],[Profit]]*0.1)</f>
        <v>4.0100000000000007</v>
      </c>
      <c r="I124" s="28" t="s">
        <v>112</v>
      </c>
      <c r="J124" s="28" t="s">
        <v>113</v>
      </c>
      <c r="K124" s="28" t="s">
        <v>91</v>
      </c>
    </row>
    <row r="125" spans="1:11" ht="15.75">
      <c r="A125" s="27" t="s">
        <v>99</v>
      </c>
      <c r="B125" s="26">
        <v>1124</v>
      </c>
      <c r="C125" s="28">
        <v>4421</v>
      </c>
      <c r="D125" s="28" t="s">
        <v>87</v>
      </c>
      <c r="E125" s="25">
        <v>45</v>
      </c>
      <c r="F125" s="25">
        <v>87</v>
      </c>
      <c r="G125" s="25">
        <f>Table4[[#This Row],[Sale Price]]-Table4[[#This Row],[Store Cost]]</f>
        <v>42</v>
      </c>
      <c r="H125" s="28">
        <f>IF(Table4[[#This Row],[Profit]]&gt;=50,Table4[[#This Row],[Profit]]*0.2,Table4[[#This Row],[Profit]]*0.1)</f>
        <v>4.2</v>
      </c>
      <c r="I125" s="28" t="s">
        <v>112</v>
      </c>
      <c r="J125" s="28" t="s">
        <v>113</v>
      </c>
      <c r="K125" s="28" t="s">
        <v>83</v>
      </c>
    </row>
    <row r="126" spans="1:11" ht="15.75">
      <c r="A126" s="27" t="s">
        <v>100</v>
      </c>
      <c r="B126" s="26">
        <v>1125</v>
      </c>
      <c r="C126" s="28">
        <v>2242</v>
      </c>
      <c r="D126" s="28" t="s">
        <v>90</v>
      </c>
      <c r="E126" s="25">
        <v>60</v>
      </c>
      <c r="F126" s="25">
        <v>124</v>
      </c>
      <c r="G126" s="25">
        <f>Table4[[#This Row],[Sale Price]]-Table4[[#This Row],[Store Cost]]</f>
        <v>64</v>
      </c>
      <c r="H126" s="28">
        <f>IF(Table4[[#This Row],[Profit]]&gt;=50,Table4[[#This Row],[Profit]]*0.2,Table4[[#This Row],[Profit]]*0.1)</f>
        <v>12.8</v>
      </c>
      <c r="I126" s="28" t="s">
        <v>112</v>
      </c>
      <c r="J126" s="28" t="s">
        <v>113</v>
      </c>
      <c r="K126" s="28" t="s">
        <v>81</v>
      </c>
    </row>
    <row r="127" spans="1:11" ht="15.75">
      <c r="A127" s="27" t="s">
        <v>100</v>
      </c>
      <c r="B127" s="26">
        <v>1126</v>
      </c>
      <c r="C127" s="28">
        <v>9212</v>
      </c>
      <c r="D127" s="28" t="s">
        <v>88</v>
      </c>
      <c r="E127" s="25">
        <v>4</v>
      </c>
      <c r="F127" s="25">
        <v>7</v>
      </c>
      <c r="G127" s="25">
        <f>Table4[[#This Row],[Sale Price]]-Table4[[#This Row],[Store Cost]]</f>
        <v>3</v>
      </c>
      <c r="H127" s="28">
        <f>IF(Table4[[#This Row],[Profit]]&gt;=50,Table4[[#This Row],[Profit]]*0.2,Table4[[#This Row],[Profit]]*0.1)</f>
        <v>0.30000000000000004</v>
      </c>
      <c r="I127" s="28" t="s">
        <v>112</v>
      </c>
      <c r="J127" s="28" t="s">
        <v>113</v>
      </c>
      <c r="K127" s="28" t="s">
        <v>79</v>
      </c>
    </row>
    <row r="128" spans="1:11" ht="15.75">
      <c r="A128" s="27" t="s">
        <v>100</v>
      </c>
      <c r="B128" s="26">
        <v>1127</v>
      </c>
      <c r="C128" s="28">
        <v>8722</v>
      </c>
      <c r="D128" s="28" t="s">
        <v>84</v>
      </c>
      <c r="E128" s="25">
        <v>344</v>
      </c>
      <c r="F128" s="25">
        <v>502</v>
      </c>
      <c r="G128" s="25">
        <f>Table4[[#This Row],[Sale Price]]-Table4[[#This Row],[Store Cost]]</f>
        <v>158</v>
      </c>
      <c r="H128" s="28">
        <f>IF(Table4[[#This Row],[Profit]]&gt;=50,Table4[[#This Row],[Profit]]*0.2,Table4[[#This Row],[Profit]]*0.1)</f>
        <v>31.6</v>
      </c>
      <c r="I128" s="28" t="s">
        <v>108</v>
      </c>
      <c r="J128" s="28" t="s">
        <v>109</v>
      </c>
      <c r="K128" s="28" t="s">
        <v>91</v>
      </c>
    </row>
    <row r="129" spans="1:11" ht="15.75">
      <c r="A129" s="27" t="s">
        <v>100</v>
      </c>
      <c r="B129" s="26">
        <v>1128</v>
      </c>
      <c r="C129" s="28">
        <v>6622</v>
      </c>
      <c r="D129" s="28" t="s">
        <v>95</v>
      </c>
      <c r="E129" s="25">
        <v>42</v>
      </c>
      <c r="F129" s="25">
        <v>77</v>
      </c>
      <c r="G129" s="25">
        <f>Table4[[#This Row],[Sale Price]]-Table4[[#This Row],[Store Cost]]</f>
        <v>35</v>
      </c>
      <c r="H129" s="28">
        <f>IF(Table4[[#This Row],[Profit]]&gt;=50,Table4[[#This Row],[Profit]]*0.2,Table4[[#This Row],[Profit]]*0.1)</f>
        <v>3.5</v>
      </c>
      <c r="I129" s="28" t="s">
        <v>110</v>
      </c>
      <c r="J129" s="28" t="s">
        <v>111</v>
      </c>
      <c r="K129" s="28" t="s">
        <v>81</v>
      </c>
    </row>
    <row r="130" spans="1:11" ht="15.75">
      <c r="A130" s="27" t="s">
        <v>100</v>
      </c>
      <c r="B130" s="26">
        <v>1129</v>
      </c>
      <c r="C130" s="28">
        <v>9822</v>
      </c>
      <c r="D130" s="28" t="s">
        <v>78</v>
      </c>
      <c r="E130" s="25">
        <v>58.3</v>
      </c>
      <c r="F130" s="25">
        <v>98.4</v>
      </c>
      <c r="G130" s="25">
        <f>Table4[[#This Row],[Sale Price]]-Table4[[#This Row],[Store Cost]]</f>
        <v>40.100000000000009</v>
      </c>
      <c r="H130" s="28">
        <f>IF(Table4[[#This Row],[Profit]]&gt;=50,Table4[[#This Row],[Profit]]*0.2,Table4[[#This Row],[Profit]]*0.1)</f>
        <v>4.0100000000000007</v>
      </c>
      <c r="I130" s="28" t="s">
        <v>114</v>
      </c>
      <c r="J130" s="28" t="s">
        <v>115</v>
      </c>
      <c r="K130" s="28" t="s">
        <v>91</v>
      </c>
    </row>
    <row r="131" spans="1:11" ht="15.75">
      <c r="A131" s="27" t="s">
        <v>100</v>
      </c>
      <c r="B131" s="26">
        <v>1130</v>
      </c>
      <c r="C131" s="28">
        <v>4421</v>
      </c>
      <c r="D131" s="28" t="s">
        <v>87</v>
      </c>
      <c r="E131" s="25">
        <v>45</v>
      </c>
      <c r="F131" s="25">
        <v>87</v>
      </c>
      <c r="G131" s="25">
        <f>Table4[[#This Row],[Sale Price]]-Table4[[#This Row],[Store Cost]]</f>
        <v>42</v>
      </c>
      <c r="H131" s="28">
        <f>IF(Table4[[#This Row],[Profit]]&gt;=50,Table4[[#This Row],[Profit]]*0.2,Table4[[#This Row],[Profit]]*0.1)</f>
        <v>4.2</v>
      </c>
      <c r="I131" s="28" t="s">
        <v>114</v>
      </c>
      <c r="J131" s="28" t="s">
        <v>115</v>
      </c>
      <c r="K131" s="28" t="s">
        <v>81</v>
      </c>
    </row>
    <row r="132" spans="1:11" ht="15.75">
      <c r="A132" s="27" t="s">
        <v>100</v>
      </c>
      <c r="B132" s="26">
        <v>1131</v>
      </c>
      <c r="C132" s="28">
        <v>9212</v>
      </c>
      <c r="D132" s="28" t="s">
        <v>88</v>
      </c>
      <c r="E132" s="25">
        <v>4</v>
      </c>
      <c r="F132" s="25">
        <v>7</v>
      </c>
      <c r="G132" s="25">
        <f>Table4[[#This Row],[Sale Price]]-Table4[[#This Row],[Store Cost]]</f>
        <v>3</v>
      </c>
      <c r="H132" s="28">
        <f>IF(Table4[[#This Row],[Profit]]&gt;=50,Table4[[#This Row],[Profit]]*0.2,Table4[[#This Row],[Profit]]*0.1)</f>
        <v>0.30000000000000004</v>
      </c>
      <c r="I132" s="28" t="s">
        <v>114</v>
      </c>
      <c r="J132" s="28" t="s">
        <v>115</v>
      </c>
      <c r="K132" s="28" t="s">
        <v>83</v>
      </c>
    </row>
    <row r="133" spans="1:11" ht="15.75">
      <c r="A133" s="27" t="s">
        <v>100</v>
      </c>
      <c r="B133" s="26">
        <v>1132</v>
      </c>
      <c r="C133" s="28">
        <v>9212</v>
      </c>
      <c r="D133" s="28" t="s">
        <v>88</v>
      </c>
      <c r="E133" s="25">
        <v>4</v>
      </c>
      <c r="F133" s="25">
        <v>7</v>
      </c>
      <c r="G133" s="25">
        <f>Table4[[#This Row],[Sale Price]]-Table4[[#This Row],[Store Cost]]</f>
        <v>3</v>
      </c>
      <c r="H133" s="28">
        <f>IF(Table4[[#This Row],[Profit]]&gt;=50,Table4[[#This Row],[Profit]]*0.2,Table4[[#This Row],[Profit]]*0.1)</f>
        <v>0.30000000000000004</v>
      </c>
      <c r="I133" s="28" t="s">
        <v>114</v>
      </c>
      <c r="J133" s="28" t="s">
        <v>115</v>
      </c>
      <c r="K133" s="28" t="s">
        <v>81</v>
      </c>
    </row>
    <row r="134" spans="1:11" ht="15.75">
      <c r="A134" s="27" t="s">
        <v>100</v>
      </c>
      <c r="B134" s="26">
        <v>1133</v>
      </c>
      <c r="C134" s="28">
        <v>9822</v>
      </c>
      <c r="D134" s="28" t="s">
        <v>78</v>
      </c>
      <c r="E134" s="25">
        <v>58.3</v>
      </c>
      <c r="F134" s="25">
        <v>98.4</v>
      </c>
      <c r="G134" s="25">
        <f>Table4[[#This Row],[Sale Price]]-Table4[[#This Row],[Store Cost]]</f>
        <v>40.100000000000009</v>
      </c>
      <c r="H134" s="28">
        <f>IF(Table4[[#This Row],[Profit]]&gt;=50,Table4[[#This Row],[Profit]]*0.2,Table4[[#This Row],[Profit]]*0.1)</f>
        <v>4.0100000000000007</v>
      </c>
      <c r="I134" s="28" t="s">
        <v>108</v>
      </c>
      <c r="J134" s="28" t="s">
        <v>109</v>
      </c>
      <c r="K134" s="28" t="s">
        <v>83</v>
      </c>
    </row>
    <row r="135" spans="1:11" ht="15.75">
      <c r="A135" s="27" t="s">
        <v>100</v>
      </c>
      <c r="B135" s="26">
        <v>1134</v>
      </c>
      <c r="C135" s="28">
        <v>9822</v>
      </c>
      <c r="D135" s="28" t="s">
        <v>78</v>
      </c>
      <c r="E135" s="25">
        <v>58.3</v>
      </c>
      <c r="F135" s="25">
        <v>98.4</v>
      </c>
      <c r="G135" s="25">
        <f>Table4[[#This Row],[Sale Price]]-Table4[[#This Row],[Store Cost]]</f>
        <v>40.100000000000009</v>
      </c>
      <c r="H135" s="28">
        <f>IF(Table4[[#This Row],[Profit]]&gt;=50,Table4[[#This Row],[Profit]]*0.2,Table4[[#This Row],[Profit]]*0.1)</f>
        <v>4.0100000000000007</v>
      </c>
      <c r="I135" s="28" t="s">
        <v>112</v>
      </c>
      <c r="J135" s="28" t="s">
        <v>113</v>
      </c>
      <c r="K135" s="28" t="s">
        <v>83</v>
      </c>
    </row>
    <row r="136" spans="1:11" ht="15.75">
      <c r="A136" s="27" t="s">
        <v>100</v>
      </c>
      <c r="B136" s="26">
        <v>1135</v>
      </c>
      <c r="C136" s="28">
        <v>8722</v>
      </c>
      <c r="D136" s="28" t="s">
        <v>84</v>
      </c>
      <c r="E136" s="25">
        <v>344</v>
      </c>
      <c r="F136" s="25">
        <v>502</v>
      </c>
      <c r="G136" s="25">
        <f>Table4[[#This Row],[Sale Price]]-Table4[[#This Row],[Store Cost]]</f>
        <v>158</v>
      </c>
      <c r="H136" s="28">
        <f>IF(Table4[[#This Row],[Profit]]&gt;=50,Table4[[#This Row],[Profit]]*0.2,Table4[[#This Row],[Profit]]*0.1)</f>
        <v>31.6</v>
      </c>
      <c r="I136" s="28" t="s">
        <v>108</v>
      </c>
      <c r="J136" s="28" t="s">
        <v>109</v>
      </c>
      <c r="K136" s="28" t="s">
        <v>91</v>
      </c>
    </row>
    <row r="137" spans="1:11" ht="15.75">
      <c r="A137" s="27" t="s">
        <v>100</v>
      </c>
      <c r="B137" s="26">
        <v>1136</v>
      </c>
      <c r="C137" s="28">
        <v>2242</v>
      </c>
      <c r="D137" s="28" t="s">
        <v>90</v>
      </c>
      <c r="E137" s="25">
        <v>60</v>
      </c>
      <c r="F137" s="25">
        <v>124</v>
      </c>
      <c r="G137" s="25">
        <f>Table4[[#This Row],[Sale Price]]-Table4[[#This Row],[Store Cost]]</f>
        <v>64</v>
      </c>
      <c r="H137" s="28">
        <f>IF(Table4[[#This Row],[Profit]]&gt;=50,Table4[[#This Row],[Profit]]*0.2,Table4[[#This Row],[Profit]]*0.1)</f>
        <v>12.8</v>
      </c>
      <c r="I137" s="28" t="s">
        <v>112</v>
      </c>
      <c r="J137" s="28" t="s">
        <v>113</v>
      </c>
      <c r="K137" s="28" t="s">
        <v>79</v>
      </c>
    </row>
    <row r="138" spans="1:11" ht="15.75">
      <c r="A138" s="27" t="s">
        <v>100</v>
      </c>
      <c r="B138" s="26">
        <v>1137</v>
      </c>
      <c r="C138" s="28">
        <v>9822</v>
      </c>
      <c r="D138" s="28" t="s">
        <v>78</v>
      </c>
      <c r="E138" s="25">
        <v>58.3</v>
      </c>
      <c r="F138" s="25">
        <v>98.4</v>
      </c>
      <c r="G138" s="25">
        <f>Table4[[#This Row],[Sale Price]]-Table4[[#This Row],[Store Cost]]</f>
        <v>40.100000000000009</v>
      </c>
      <c r="H138" s="28">
        <f>IF(Table4[[#This Row],[Profit]]&gt;=50,Table4[[#This Row],[Profit]]*0.2,Table4[[#This Row],[Profit]]*0.1)</f>
        <v>4.0100000000000007</v>
      </c>
      <c r="I138" s="28" t="s">
        <v>110</v>
      </c>
      <c r="J138" s="28" t="s">
        <v>111</v>
      </c>
      <c r="K138" s="28" t="s">
        <v>81</v>
      </c>
    </row>
    <row r="139" spans="1:11" ht="15.75">
      <c r="A139" s="27" t="s">
        <v>100</v>
      </c>
      <c r="B139" s="26">
        <v>1138</v>
      </c>
      <c r="C139" s="28">
        <v>8722</v>
      </c>
      <c r="D139" s="28" t="s">
        <v>84</v>
      </c>
      <c r="E139" s="25">
        <v>344</v>
      </c>
      <c r="F139" s="25">
        <v>502</v>
      </c>
      <c r="G139" s="25">
        <f>Table4[[#This Row],[Sale Price]]-Table4[[#This Row],[Store Cost]]</f>
        <v>158</v>
      </c>
      <c r="H139" s="28">
        <f>IF(Table4[[#This Row],[Profit]]&gt;=50,Table4[[#This Row],[Profit]]*0.2,Table4[[#This Row],[Profit]]*0.1)</f>
        <v>31.6</v>
      </c>
      <c r="I139" s="28" t="s">
        <v>108</v>
      </c>
      <c r="J139" s="28" t="s">
        <v>109</v>
      </c>
      <c r="K139" s="28" t="s">
        <v>92</v>
      </c>
    </row>
    <row r="140" spans="1:11" ht="15.75">
      <c r="A140" s="27" t="s">
        <v>100</v>
      </c>
      <c r="B140" s="26">
        <v>1139</v>
      </c>
      <c r="C140" s="28">
        <v>4421</v>
      </c>
      <c r="D140" s="28" t="s">
        <v>87</v>
      </c>
      <c r="E140" s="25">
        <v>45</v>
      </c>
      <c r="F140" s="25">
        <v>87</v>
      </c>
      <c r="G140" s="25">
        <f>Table4[[#This Row],[Sale Price]]-Table4[[#This Row],[Store Cost]]</f>
        <v>42</v>
      </c>
      <c r="H140" s="28">
        <f>IF(Table4[[#This Row],[Profit]]&gt;=50,Table4[[#This Row],[Profit]]*0.2,Table4[[#This Row],[Profit]]*0.1)</f>
        <v>4.2</v>
      </c>
      <c r="I140" s="28" t="s">
        <v>112</v>
      </c>
      <c r="J140" s="28" t="s">
        <v>113</v>
      </c>
      <c r="K140" s="28" t="s">
        <v>81</v>
      </c>
    </row>
    <row r="141" spans="1:11" ht="15.75">
      <c r="A141" s="27" t="s">
        <v>100</v>
      </c>
      <c r="B141" s="26">
        <v>1140</v>
      </c>
      <c r="C141" s="28">
        <v>4421</v>
      </c>
      <c r="D141" s="28" t="s">
        <v>87</v>
      </c>
      <c r="E141" s="25">
        <v>45</v>
      </c>
      <c r="F141" s="25">
        <v>87</v>
      </c>
      <c r="G141" s="25">
        <f>Table4[[#This Row],[Sale Price]]-Table4[[#This Row],[Store Cost]]</f>
        <v>42</v>
      </c>
      <c r="H141" s="28">
        <f>IF(Table4[[#This Row],[Profit]]&gt;=50,Table4[[#This Row],[Profit]]*0.2,Table4[[#This Row],[Profit]]*0.1)</f>
        <v>4.2</v>
      </c>
      <c r="I141" s="28" t="s">
        <v>110</v>
      </c>
      <c r="J141" s="28" t="s">
        <v>111</v>
      </c>
      <c r="K141" s="28" t="s">
        <v>91</v>
      </c>
    </row>
    <row r="142" spans="1:11" ht="15.75">
      <c r="A142" s="27" t="s">
        <v>100</v>
      </c>
      <c r="B142" s="26">
        <v>1141</v>
      </c>
      <c r="C142" s="28">
        <v>9212</v>
      </c>
      <c r="D142" s="28" t="s">
        <v>88</v>
      </c>
      <c r="E142" s="25">
        <v>4</v>
      </c>
      <c r="F142" s="25">
        <v>7</v>
      </c>
      <c r="G142" s="25">
        <f>Table4[[#This Row],[Sale Price]]-Table4[[#This Row],[Store Cost]]</f>
        <v>3</v>
      </c>
      <c r="H142" s="28">
        <f>IF(Table4[[#This Row],[Profit]]&gt;=50,Table4[[#This Row],[Profit]]*0.2,Table4[[#This Row],[Profit]]*0.1)</f>
        <v>0.30000000000000004</v>
      </c>
      <c r="I142" s="28" t="s">
        <v>110</v>
      </c>
      <c r="J142" s="28" t="s">
        <v>111</v>
      </c>
      <c r="K142" s="28" t="s">
        <v>83</v>
      </c>
    </row>
    <row r="143" spans="1:11" ht="15.75">
      <c r="A143" s="27" t="s">
        <v>101</v>
      </c>
      <c r="B143" s="26">
        <v>1142</v>
      </c>
      <c r="C143" s="28">
        <v>2242</v>
      </c>
      <c r="D143" s="28" t="s">
        <v>90</v>
      </c>
      <c r="E143" s="25">
        <v>60</v>
      </c>
      <c r="F143" s="25">
        <v>124</v>
      </c>
      <c r="G143" s="25">
        <f>Table4[[#This Row],[Sale Price]]-Table4[[#This Row],[Store Cost]]</f>
        <v>64</v>
      </c>
      <c r="H143" s="28">
        <f>IF(Table4[[#This Row],[Profit]]&gt;=50,Table4[[#This Row],[Profit]]*0.2,Table4[[#This Row],[Profit]]*0.1)</f>
        <v>12.8</v>
      </c>
      <c r="I143" s="28" t="s">
        <v>110</v>
      </c>
      <c r="J143" s="28" t="s">
        <v>111</v>
      </c>
      <c r="K143" s="28" t="s">
        <v>91</v>
      </c>
    </row>
    <row r="144" spans="1:11" ht="15.75">
      <c r="A144" s="27" t="s">
        <v>101</v>
      </c>
      <c r="B144" s="26">
        <v>1143</v>
      </c>
      <c r="C144" s="28">
        <v>9822</v>
      </c>
      <c r="D144" s="28" t="s">
        <v>78</v>
      </c>
      <c r="E144" s="25">
        <v>58.3</v>
      </c>
      <c r="F144" s="25">
        <v>98.4</v>
      </c>
      <c r="G144" s="25">
        <f>Table4[[#This Row],[Sale Price]]-Table4[[#This Row],[Store Cost]]</f>
        <v>40.100000000000009</v>
      </c>
      <c r="H144" s="28">
        <f>IF(Table4[[#This Row],[Profit]]&gt;=50,Table4[[#This Row],[Profit]]*0.2,Table4[[#This Row],[Profit]]*0.1)</f>
        <v>4.0100000000000007</v>
      </c>
      <c r="I144" s="28" t="s">
        <v>114</v>
      </c>
      <c r="J144" s="28" t="s">
        <v>115</v>
      </c>
      <c r="K144" s="28" t="s">
        <v>83</v>
      </c>
    </row>
    <row r="145" spans="1:11" ht="15.75">
      <c r="A145" s="27" t="s">
        <v>101</v>
      </c>
      <c r="B145" s="26">
        <v>1144</v>
      </c>
      <c r="C145" s="28">
        <v>2242</v>
      </c>
      <c r="D145" s="28" t="s">
        <v>90</v>
      </c>
      <c r="E145" s="25">
        <v>60</v>
      </c>
      <c r="F145" s="25">
        <v>124</v>
      </c>
      <c r="G145" s="25">
        <f>Table4[[#This Row],[Sale Price]]-Table4[[#This Row],[Store Cost]]</f>
        <v>64</v>
      </c>
      <c r="H145" s="28">
        <f>IF(Table4[[#This Row],[Profit]]&gt;=50,Table4[[#This Row],[Profit]]*0.2,Table4[[#This Row],[Profit]]*0.1)</f>
        <v>12.8</v>
      </c>
      <c r="I145" s="28" t="s">
        <v>114</v>
      </c>
      <c r="J145" s="28" t="s">
        <v>115</v>
      </c>
      <c r="K145" s="28" t="s">
        <v>81</v>
      </c>
    </row>
    <row r="146" spans="1:11" ht="15.75">
      <c r="A146" s="27" t="s">
        <v>101</v>
      </c>
      <c r="B146" s="26">
        <v>1145</v>
      </c>
      <c r="C146" s="28">
        <v>4421</v>
      </c>
      <c r="D146" s="28" t="s">
        <v>87</v>
      </c>
      <c r="E146" s="25">
        <v>45</v>
      </c>
      <c r="F146" s="25">
        <v>87</v>
      </c>
      <c r="G146" s="25">
        <f>Table4[[#This Row],[Sale Price]]-Table4[[#This Row],[Store Cost]]</f>
        <v>42</v>
      </c>
      <c r="H146" s="28">
        <f>IF(Table4[[#This Row],[Profit]]&gt;=50,Table4[[#This Row],[Profit]]*0.2,Table4[[#This Row],[Profit]]*0.1)</f>
        <v>4.2</v>
      </c>
      <c r="I146" s="28" t="s">
        <v>114</v>
      </c>
      <c r="J146" s="28" t="s">
        <v>115</v>
      </c>
      <c r="K146" s="28" t="s">
        <v>79</v>
      </c>
    </row>
    <row r="147" spans="1:11" ht="15.75">
      <c r="A147" s="27" t="s">
        <v>101</v>
      </c>
      <c r="B147" s="26">
        <v>1146</v>
      </c>
      <c r="C147" s="28">
        <v>8722</v>
      </c>
      <c r="D147" s="28" t="s">
        <v>84</v>
      </c>
      <c r="E147" s="25">
        <v>344</v>
      </c>
      <c r="F147" s="25">
        <v>502</v>
      </c>
      <c r="G147" s="25">
        <f>Table4[[#This Row],[Sale Price]]-Table4[[#This Row],[Store Cost]]</f>
        <v>158</v>
      </c>
      <c r="H147" s="28">
        <f>IF(Table4[[#This Row],[Profit]]&gt;=50,Table4[[#This Row],[Profit]]*0.2,Table4[[#This Row],[Profit]]*0.1)</f>
        <v>31.6</v>
      </c>
      <c r="I147" s="28" t="s">
        <v>114</v>
      </c>
      <c r="J147" s="28" t="s">
        <v>115</v>
      </c>
      <c r="K147" s="28" t="s">
        <v>91</v>
      </c>
    </row>
    <row r="148" spans="1:11" ht="15.75">
      <c r="A148" s="27" t="s">
        <v>101</v>
      </c>
      <c r="B148" s="26">
        <v>1147</v>
      </c>
      <c r="C148" s="28">
        <v>9822</v>
      </c>
      <c r="D148" s="28" t="s">
        <v>78</v>
      </c>
      <c r="E148" s="25">
        <v>58.3</v>
      </c>
      <c r="F148" s="25">
        <v>98.4</v>
      </c>
      <c r="G148" s="25">
        <f>Table4[[#This Row],[Sale Price]]-Table4[[#This Row],[Store Cost]]</f>
        <v>40.100000000000009</v>
      </c>
      <c r="H148" s="28">
        <f>IF(Table4[[#This Row],[Profit]]&gt;=50,Table4[[#This Row],[Profit]]*0.2,Table4[[#This Row],[Profit]]*0.1)</f>
        <v>4.0100000000000007</v>
      </c>
      <c r="I148" s="28" t="s">
        <v>108</v>
      </c>
      <c r="J148" s="28" t="s">
        <v>109</v>
      </c>
      <c r="K148" s="28" t="s">
        <v>81</v>
      </c>
    </row>
    <row r="149" spans="1:11" ht="15.75">
      <c r="A149" s="27" t="s">
        <v>101</v>
      </c>
      <c r="B149" s="26">
        <v>1148</v>
      </c>
      <c r="C149" s="28">
        <v>9212</v>
      </c>
      <c r="D149" s="28" t="s">
        <v>88</v>
      </c>
      <c r="E149" s="25">
        <v>4</v>
      </c>
      <c r="F149" s="25">
        <v>7</v>
      </c>
      <c r="G149" s="25">
        <f>Table4[[#This Row],[Sale Price]]-Table4[[#This Row],[Store Cost]]</f>
        <v>3</v>
      </c>
      <c r="H149" s="28">
        <f>IF(Table4[[#This Row],[Profit]]&gt;=50,Table4[[#This Row],[Profit]]*0.2,Table4[[#This Row],[Profit]]*0.1)</f>
        <v>0.30000000000000004</v>
      </c>
      <c r="I149" s="28" t="s">
        <v>112</v>
      </c>
      <c r="J149" s="28" t="s">
        <v>113</v>
      </c>
      <c r="K149" s="28" t="s">
        <v>83</v>
      </c>
    </row>
    <row r="150" spans="1:11" ht="15.75">
      <c r="A150" s="27" t="s">
        <v>101</v>
      </c>
      <c r="B150" s="26">
        <v>1149</v>
      </c>
      <c r="C150" s="28">
        <v>8722</v>
      </c>
      <c r="D150" s="28" t="s">
        <v>84</v>
      </c>
      <c r="E150" s="25">
        <v>344</v>
      </c>
      <c r="F150" s="25">
        <v>502</v>
      </c>
      <c r="G150" s="25">
        <f>Table4[[#This Row],[Sale Price]]-Table4[[#This Row],[Store Cost]]</f>
        <v>158</v>
      </c>
      <c r="H150" s="28">
        <f>IF(Table4[[#This Row],[Profit]]&gt;=50,Table4[[#This Row],[Profit]]*0.2,Table4[[#This Row],[Profit]]*0.1)</f>
        <v>31.6</v>
      </c>
      <c r="I150" s="28" t="s">
        <v>108</v>
      </c>
      <c r="J150" s="28" t="s">
        <v>109</v>
      </c>
      <c r="K150" s="28" t="s">
        <v>83</v>
      </c>
    </row>
    <row r="151" spans="1:11" ht="15.75">
      <c r="A151" s="27" t="s">
        <v>102</v>
      </c>
      <c r="B151" s="26">
        <v>1150</v>
      </c>
      <c r="C151" s="28">
        <v>2242</v>
      </c>
      <c r="D151" s="28" t="s">
        <v>90</v>
      </c>
      <c r="E151" s="25">
        <v>60</v>
      </c>
      <c r="F151" s="25">
        <v>124</v>
      </c>
      <c r="G151" s="25">
        <f>Table4[[#This Row],[Sale Price]]-Table4[[#This Row],[Store Cost]]</f>
        <v>64</v>
      </c>
      <c r="H151" s="28">
        <f>IF(Table4[[#This Row],[Profit]]&gt;=50,Table4[[#This Row],[Profit]]*0.2,Table4[[#This Row],[Profit]]*0.1)</f>
        <v>12.8</v>
      </c>
      <c r="I151" s="28" t="s">
        <v>112</v>
      </c>
      <c r="J151" s="28" t="s">
        <v>113</v>
      </c>
      <c r="K151" s="28" t="s">
        <v>92</v>
      </c>
    </row>
    <row r="152" spans="1:11" ht="15.75">
      <c r="A152" s="27" t="s">
        <v>102</v>
      </c>
      <c r="B152" s="26">
        <v>1151</v>
      </c>
      <c r="C152" s="28">
        <v>2242</v>
      </c>
      <c r="D152" s="28" t="s">
        <v>90</v>
      </c>
      <c r="E152" s="25">
        <v>60</v>
      </c>
      <c r="F152" s="25">
        <v>124</v>
      </c>
      <c r="G152" s="25">
        <f>Table4[[#This Row],[Sale Price]]-Table4[[#This Row],[Store Cost]]</f>
        <v>64</v>
      </c>
      <c r="H152" s="28">
        <f>IF(Table4[[#This Row],[Profit]]&gt;=50,Table4[[#This Row],[Profit]]*0.2,Table4[[#This Row],[Profit]]*0.1)</f>
        <v>12.8</v>
      </c>
      <c r="I152" s="28" t="s">
        <v>110</v>
      </c>
      <c r="J152" s="28" t="s">
        <v>111</v>
      </c>
      <c r="K152" s="28" t="s">
        <v>81</v>
      </c>
    </row>
    <row r="153" spans="1:11" ht="15.75">
      <c r="A153" s="27" t="s">
        <v>102</v>
      </c>
      <c r="B153" s="26">
        <v>1152</v>
      </c>
      <c r="C153" s="28">
        <v>4421</v>
      </c>
      <c r="D153" s="28" t="s">
        <v>87</v>
      </c>
      <c r="E153" s="25">
        <v>45</v>
      </c>
      <c r="F153" s="25">
        <v>87</v>
      </c>
      <c r="G153" s="25">
        <f>Table4[[#This Row],[Sale Price]]-Table4[[#This Row],[Store Cost]]</f>
        <v>42</v>
      </c>
      <c r="H153" s="28">
        <f>IF(Table4[[#This Row],[Profit]]&gt;=50,Table4[[#This Row],[Profit]]*0.2,Table4[[#This Row],[Profit]]*0.1)</f>
        <v>4.2</v>
      </c>
      <c r="I153" s="28" t="s">
        <v>108</v>
      </c>
      <c r="J153" s="28" t="s">
        <v>109</v>
      </c>
      <c r="K153" s="28" t="s">
        <v>91</v>
      </c>
    </row>
    <row r="154" spans="1:11" ht="15.75">
      <c r="A154" s="27" t="s">
        <v>102</v>
      </c>
      <c r="B154" s="26">
        <v>1153</v>
      </c>
      <c r="C154" s="28">
        <v>8722</v>
      </c>
      <c r="D154" s="28" t="s">
        <v>84</v>
      </c>
      <c r="E154" s="25">
        <v>344</v>
      </c>
      <c r="F154" s="25">
        <v>502</v>
      </c>
      <c r="G154" s="25">
        <f>Table4[[#This Row],[Sale Price]]-Table4[[#This Row],[Store Cost]]</f>
        <v>158</v>
      </c>
      <c r="H154" s="28">
        <f>IF(Table4[[#This Row],[Profit]]&gt;=50,Table4[[#This Row],[Profit]]*0.2,Table4[[#This Row],[Profit]]*0.1)</f>
        <v>31.6</v>
      </c>
      <c r="I154" s="28" t="s">
        <v>112</v>
      </c>
      <c r="J154" s="28" t="s">
        <v>113</v>
      </c>
      <c r="K154" s="28" t="s">
        <v>83</v>
      </c>
    </row>
    <row r="155" spans="1:11" ht="15.75">
      <c r="A155" s="27" t="s">
        <v>102</v>
      </c>
      <c r="B155" s="26">
        <v>1154</v>
      </c>
      <c r="C155" s="28">
        <v>9822</v>
      </c>
      <c r="D155" s="28" t="s">
        <v>78</v>
      </c>
      <c r="E155" s="25">
        <v>58.3</v>
      </c>
      <c r="F155" s="25">
        <v>98.4</v>
      </c>
      <c r="G155" s="25">
        <f>Table4[[#This Row],[Sale Price]]-Table4[[#This Row],[Store Cost]]</f>
        <v>40.100000000000009</v>
      </c>
      <c r="H155" s="28">
        <f>IF(Table4[[#This Row],[Profit]]&gt;=50,Table4[[#This Row],[Profit]]*0.2,Table4[[#This Row],[Profit]]*0.1)</f>
        <v>4.0100000000000007</v>
      </c>
      <c r="I155" s="28" t="s">
        <v>110</v>
      </c>
      <c r="J155" s="28" t="s">
        <v>111</v>
      </c>
      <c r="K155" s="28" t="s">
        <v>91</v>
      </c>
    </row>
    <row r="156" spans="1:11" ht="15.75">
      <c r="A156" s="27" t="s">
        <v>102</v>
      </c>
      <c r="B156" s="26">
        <v>1155</v>
      </c>
      <c r="C156" s="28">
        <v>4421</v>
      </c>
      <c r="D156" s="28" t="s">
        <v>87</v>
      </c>
      <c r="E156" s="25">
        <v>45</v>
      </c>
      <c r="F156" s="25">
        <v>87</v>
      </c>
      <c r="G156" s="25">
        <f>Table4[[#This Row],[Sale Price]]-Table4[[#This Row],[Store Cost]]</f>
        <v>42</v>
      </c>
      <c r="H156" s="28">
        <f>IF(Table4[[#This Row],[Profit]]&gt;=50,Table4[[#This Row],[Profit]]*0.2,Table4[[#This Row],[Profit]]*0.1)</f>
        <v>4.2</v>
      </c>
      <c r="I156" s="28" t="s">
        <v>112</v>
      </c>
      <c r="J156" s="28" t="s">
        <v>113</v>
      </c>
      <c r="K156" s="28" t="s">
        <v>83</v>
      </c>
    </row>
    <row r="157" spans="1:11" ht="15.75">
      <c r="A157" s="27" t="s">
        <v>102</v>
      </c>
      <c r="B157" s="26">
        <v>1156</v>
      </c>
      <c r="C157" s="28">
        <v>2242</v>
      </c>
      <c r="D157" s="28" t="s">
        <v>90</v>
      </c>
      <c r="E157" s="25">
        <v>60</v>
      </c>
      <c r="F157" s="25">
        <v>124</v>
      </c>
      <c r="G157" s="25">
        <f>Table4[[#This Row],[Sale Price]]-Table4[[#This Row],[Store Cost]]</f>
        <v>64</v>
      </c>
      <c r="H157" s="28">
        <f>IF(Table4[[#This Row],[Profit]]&gt;=50,Table4[[#This Row],[Profit]]*0.2,Table4[[#This Row],[Profit]]*0.1)</f>
        <v>12.8</v>
      </c>
      <c r="I157" s="28" t="s">
        <v>112</v>
      </c>
      <c r="J157" s="28" t="s">
        <v>113</v>
      </c>
      <c r="K157" s="28" t="s">
        <v>81</v>
      </c>
    </row>
    <row r="158" spans="1:11" ht="15.75">
      <c r="A158" s="27" t="s">
        <v>102</v>
      </c>
      <c r="B158" s="26">
        <v>1157</v>
      </c>
      <c r="C158" s="28">
        <v>9212</v>
      </c>
      <c r="D158" s="28" t="s">
        <v>88</v>
      </c>
      <c r="E158" s="25">
        <v>4</v>
      </c>
      <c r="F158" s="25">
        <v>7</v>
      </c>
      <c r="G158" s="25">
        <f>Table4[[#This Row],[Sale Price]]-Table4[[#This Row],[Store Cost]]</f>
        <v>3</v>
      </c>
      <c r="H158" s="28">
        <f>IF(Table4[[#This Row],[Profit]]&gt;=50,Table4[[#This Row],[Profit]]*0.2,Table4[[#This Row],[Profit]]*0.1)</f>
        <v>0.30000000000000004</v>
      </c>
      <c r="I158" s="28" t="s">
        <v>112</v>
      </c>
      <c r="J158" s="28" t="s">
        <v>113</v>
      </c>
      <c r="K158" s="28" t="s">
        <v>79</v>
      </c>
    </row>
    <row r="159" spans="1:11" ht="15.75">
      <c r="A159" s="27" t="s">
        <v>103</v>
      </c>
      <c r="B159" s="26">
        <v>1158</v>
      </c>
      <c r="C159" s="28">
        <v>8722</v>
      </c>
      <c r="D159" s="28" t="s">
        <v>84</v>
      </c>
      <c r="E159" s="25">
        <v>344</v>
      </c>
      <c r="F159" s="25">
        <v>502</v>
      </c>
      <c r="G159" s="25">
        <f>Table4[[#This Row],[Sale Price]]-Table4[[#This Row],[Store Cost]]</f>
        <v>158</v>
      </c>
      <c r="H159" s="28">
        <f>IF(Table4[[#This Row],[Profit]]&gt;=50,Table4[[#This Row],[Profit]]*0.2,Table4[[#This Row],[Profit]]*0.1)</f>
        <v>31.6</v>
      </c>
      <c r="I159" s="28" t="s">
        <v>108</v>
      </c>
      <c r="J159" s="28" t="s">
        <v>109</v>
      </c>
      <c r="K159" s="28" t="s">
        <v>91</v>
      </c>
    </row>
    <row r="160" spans="1:11" ht="15.75">
      <c r="A160" s="27" t="s">
        <v>103</v>
      </c>
      <c r="B160" s="26">
        <v>1159</v>
      </c>
      <c r="C160" s="28">
        <v>6622</v>
      </c>
      <c r="D160" s="28" t="s">
        <v>95</v>
      </c>
      <c r="E160" s="25">
        <v>42</v>
      </c>
      <c r="F160" s="25">
        <v>77</v>
      </c>
      <c r="G160" s="25">
        <f>Table4[[#This Row],[Sale Price]]-Table4[[#This Row],[Store Cost]]</f>
        <v>35</v>
      </c>
      <c r="H160" s="28">
        <f>IF(Table4[[#This Row],[Profit]]&gt;=50,Table4[[#This Row],[Profit]]*0.2,Table4[[#This Row],[Profit]]*0.1)</f>
        <v>3.5</v>
      </c>
      <c r="I160" s="28" t="s">
        <v>112</v>
      </c>
      <c r="J160" s="28" t="s">
        <v>113</v>
      </c>
      <c r="K160" s="28" t="s">
        <v>81</v>
      </c>
    </row>
    <row r="161" spans="1:11" ht="15.75">
      <c r="A161" s="27" t="s">
        <v>103</v>
      </c>
      <c r="B161" s="26">
        <v>1160</v>
      </c>
      <c r="C161" s="28">
        <v>9822</v>
      </c>
      <c r="D161" s="28" t="s">
        <v>78</v>
      </c>
      <c r="E161" s="25">
        <v>58.3</v>
      </c>
      <c r="F161" s="25">
        <v>98.4</v>
      </c>
      <c r="G161" s="25">
        <f>Table4[[#This Row],[Sale Price]]-Table4[[#This Row],[Store Cost]]</f>
        <v>40.100000000000009</v>
      </c>
      <c r="H161" s="28">
        <f>IF(Table4[[#This Row],[Profit]]&gt;=50,Table4[[#This Row],[Profit]]*0.2,Table4[[#This Row],[Profit]]*0.1)</f>
        <v>4.0100000000000007</v>
      </c>
      <c r="I161" s="28" t="s">
        <v>114</v>
      </c>
      <c r="J161" s="28" t="s">
        <v>115</v>
      </c>
      <c r="K161" s="28" t="s">
        <v>91</v>
      </c>
    </row>
    <row r="162" spans="1:11" ht="15.75">
      <c r="A162" s="27" t="s">
        <v>103</v>
      </c>
      <c r="B162" s="26">
        <v>1161</v>
      </c>
      <c r="C162" s="28">
        <v>4421</v>
      </c>
      <c r="D162" s="28" t="s">
        <v>87</v>
      </c>
      <c r="E162" s="25">
        <v>45</v>
      </c>
      <c r="F162" s="25">
        <v>87</v>
      </c>
      <c r="G162" s="25">
        <f>Table4[[#This Row],[Sale Price]]-Table4[[#This Row],[Store Cost]]</f>
        <v>42</v>
      </c>
      <c r="H162" s="28">
        <f>IF(Table4[[#This Row],[Profit]]&gt;=50,Table4[[#This Row],[Profit]]*0.2,Table4[[#This Row],[Profit]]*0.1)</f>
        <v>4.2</v>
      </c>
      <c r="I162" s="28" t="s">
        <v>110</v>
      </c>
      <c r="J162" s="28" t="s">
        <v>111</v>
      </c>
      <c r="K162" s="28" t="s">
        <v>81</v>
      </c>
    </row>
    <row r="163" spans="1:11" ht="15.75">
      <c r="A163" s="27" t="s">
        <v>103</v>
      </c>
      <c r="B163" s="26">
        <v>1162</v>
      </c>
      <c r="C163" s="28">
        <v>9212</v>
      </c>
      <c r="D163" s="28" t="s">
        <v>88</v>
      </c>
      <c r="E163" s="25">
        <v>4</v>
      </c>
      <c r="F163" s="25">
        <v>7</v>
      </c>
      <c r="G163" s="25">
        <f>Table4[[#This Row],[Sale Price]]-Table4[[#This Row],[Store Cost]]</f>
        <v>3</v>
      </c>
      <c r="H163" s="28">
        <f>IF(Table4[[#This Row],[Profit]]&gt;=50,Table4[[#This Row],[Profit]]*0.2,Table4[[#This Row],[Profit]]*0.1)</f>
        <v>0.30000000000000004</v>
      </c>
      <c r="I163" s="28" t="s">
        <v>108</v>
      </c>
      <c r="J163" s="28" t="s">
        <v>109</v>
      </c>
      <c r="K163" s="28" t="s">
        <v>83</v>
      </c>
    </row>
    <row r="164" spans="1:11" ht="15.75">
      <c r="A164" s="27" t="s">
        <v>103</v>
      </c>
      <c r="B164" s="26">
        <v>1163</v>
      </c>
      <c r="C164" s="28">
        <v>9212</v>
      </c>
      <c r="D164" s="28" t="s">
        <v>88</v>
      </c>
      <c r="E164" s="25">
        <v>4</v>
      </c>
      <c r="F164" s="25">
        <v>7</v>
      </c>
      <c r="G164" s="25">
        <f>Table4[[#This Row],[Sale Price]]-Table4[[#This Row],[Store Cost]]</f>
        <v>3</v>
      </c>
      <c r="H164" s="28">
        <f>IF(Table4[[#This Row],[Profit]]&gt;=50,Table4[[#This Row],[Profit]]*0.2,Table4[[#This Row],[Profit]]*0.1)</f>
        <v>0.30000000000000004</v>
      </c>
      <c r="I164" s="28" t="s">
        <v>112</v>
      </c>
      <c r="J164" s="28" t="s">
        <v>113</v>
      </c>
      <c r="K164" s="28" t="s">
        <v>81</v>
      </c>
    </row>
    <row r="165" spans="1:11" ht="15.75">
      <c r="A165" s="27" t="s">
        <v>103</v>
      </c>
      <c r="B165" s="26">
        <v>1164</v>
      </c>
      <c r="C165" s="28">
        <v>9822</v>
      </c>
      <c r="D165" s="28" t="s">
        <v>78</v>
      </c>
      <c r="E165" s="25">
        <v>58.3</v>
      </c>
      <c r="F165" s="25">
        <v>98.4</v>
      </c>
      <c r="G165" s="25">
        <f>Table4[[#This Row],[Sale Price]]-Table4[[#This Row],[Store Cost]]</f>
        <v>40.100000000000009</v>
      </c>
      <c r="H165" s="28">
        <f>IF(Table4[[#This Row],[Profit]]&gt;=50,Table4[[#This Row],[Profit]]*0.2,Table4[[#This Row],[Profit]]*0.1)</f>
        <v>4.0100000000000007</v>
      </c>
      <c r="I165" s="28" t="s">
        <v>112</v>
      </c>
      <c r="J165" s="28" t="s">
        <v>113</v>
      </c>
      <c r="K165" s="28" t="s">
        <v>83</v>
      </c>
    </row>
    <row r="166" spans="1:11" ht="15.75">
      <c r="A166" s="27" t="s">
        <v>103</v>
      </c>
      <c r="B166" s="26">
        <v>1165</v>
      </c>
      <c r="C166" s="28">
        <v>9822</v>
      </c>
      <c r="D166" s="28" t="s">
        <v>78</v>
      </c>
      <c r="E166" s="25">
        <v>58.3</v>
      </c>
      <c r="F166" s="25">
        <v>98.4</v>
      </c>
      <c r="G166" s="25">
        <f>Table4[[#This Row],[Sale Price]]-Table4[[#This Row],[Store Cost]]</f>
        <v>40.100000000000009</v>
      </c>
      <c r="H166" s="28">
        <f>IF(Table4[[#This Row],[Profit]]&gt;=50,Table4[[#This Row],[Profit]]*0.2,Table4[[#This Row],[Profit]]*0.1)</f>
        <v>4.0100000000000007</v>
      </c>
      <c r="I166" s="28" t="s">
        <v>112</v>
      </c>
      <c r="J166" s="28" t="s">
        <v>113</v>
      </c>
      <c r="K166" s="28" t="s">
        <v>83</v>
      </c>
    </row>
    <row r="167" spans="1:11" ht="15.75">
      <c r="A167" s="27" t="s">
        <v>103</v>
      </c>
      <c r="B167" s="26">
        <v>1166</v>
      </c>
      <c r="C167" s="28">
        <v>8722</v>
      </c>
      <c r="D167" s="28" t="s">
        <v>84</v>
      </c>
      <c r="E167" s="25">
        <v>344</v>
      </c>
      <c r="F167" s="25">
        <v>502</v>
      </c>
      <c r="G167" s="25">
        <f>Table4[[#This Row],[Sale Price]]-Table4[[#This Row],[Store Cost]]</f>
        <v>158</v>
      </c>
      <c r="H167" s="28">
        <f>IF(Table4[[#This Row],[Profit]]&gt;=50,Table4[[#This Row],[Profit]]*0.2,Table4[[#This Row],[Profit]]*0.1)</f>
        <v>31.6</v>
      </c>
      <c r="I167" s="28" t="s">
        <v>112</v>
      </c>
      <c r="J167" s="28" t="s">
        <v>113</v>
      </c>
      <c r="K167" s="28" t="s">
        <v>91</v>
      </c>
    </row>
    <row r="168" spans="1:11" ht="15.75">
      <c r="A168" s="27" t="s">
        <v>104</v>
      </c>
      <c r="B168" s="26">
        <v>1167</v>
      </c>
      <c r="C168" s="28">
        <v>2242</v>
      </c>
      <c r="D168" s="28" t="s">
        <v>90</v>
      </c>
      <c r="E168" s="25">
        <v>60</v>
      </c>
      <c r="F168" s="25">
        <v>124</v>
      </c>
      <c r="G168" s="25">
        <f>Table4[[#This Row],[Sale Price]]-Table4[[#This Row],[Store Cost]]</f>
        <v>64</v>
      </c>
      <c r="H168" s="28">
        <f>IF(Table4[[#This Row],[Profit]]&gt;=50,Table4[[#This Row],[Profit]]*0.2,Table4[[#This Row],[Profit]]*0.1)</f>
        <v>12.8</v>
      </c>
      <c r="I168" s="28" t="s">
        <v>112</v>
      </c>
      <c r="J168" s="28" t="s">
        <v>113</v>
      </c>
      <c r="K168" s="28" t="s">
        <v>79</v>
      </c>
    </row>
    <row r="169" spans="1:11" ht="15.75">
      <c r="A169" s="27" t="s">
        <v>104</v>
      </c>
      <c r="B169" s="26">
        <v>1168</v>
      </c>
      <c r="C169" s="28">
        <v>9822</v>
      </c>
      <c r="D169" s="28" t="s">
        <v>78</v>
      </c>
      <c r="E169" s="25">
        <v>58.3</v>
      </c>
      <c r="F169" s="25">
        <v>98.4</v>
      </c>
      <c r="G169" s="25">
        <f>Table4[[#This Row],[Sale Price]]-Table4[[#This Row],[Store Cost]]</f>
        <v>40.100000000000009</v>
      </c>
      <c r="H169" s="28">
        <f>IF(Table4[[#This Row],[Profit]]&gt;=50,Table4[[#This Row],[Profit]]*0.2,Table4[[#This Row],[Profit]]*0.1)</f>
        <v>4.0100000000000007</v>
      </c>
      <c r="I169" s="28" t="s">
        <v>112</v>
      </c>
      <c r="J169" s="28" t="s">
        <v>113</v>
      </c>
      <c r="K169" s="28" t="s">
        <v>81</v>
      </c>
    </row>
    <row r="170" spans="1:11" ht="15.75">
      <c r="A170" s="27" t="s">
        <v>104</v>
      </c>
      <c r="B170" s="26">
        <v>1169</v>
      </c>
      <c r="C170" s="28">
        <v>8722</v>
      </c>
      <c r="D170" s="28" t="s">
        <v>84</v>
      </c>
      <c r="E170" s="25">
        <v>344</v>
      </c>
      <c r="F170" s="25">
        <v>502</v>
      </c>
      <c r="G170" s="25">
        <f>Table4[[#This Row],[Sale Price]]-Table4[[#This Row],[Store Cost]]</f>
        <v>158</v>
      </c>
      <c r="H170" s="28">
        <f>IF(Table4[[#This Row],[Profit]]&gt;=50,Table4[[#This Row],[Profit]]*0.2,Table4[[#This Row],[Profit]]*0.1)</f>
        <v>31.6</v>
      </c>
      <c r="I170" s="28" t="s">
        <v>112</v>
      </c>
      <c r="J170" s="28" t="s">
        <v>113</v>
      </c>
      <c r="K170" s="28" t="s">
        <v>92</v>
      </c>
    </row>
    <row r="171" spans="1:11" ht="15.75">
      <c r="A171" s="27" t="s">
        <v>104</v>
      </c>
      <c r="B171" s="26">
        <v>1170</v>
      </c>
      <c r="C171" s="28">
        <v>4421</v>
      </c>
      <c r="D171" s="28" t="s">
        <v>87</v>
      </c>
      <c r="E171" s="25">
        <v>45</v>
      </c>
      <c r="F171" s="25">
        <v>87</v>
      </c>
      <c r="G171" s="25">
        <f>Table4[[#This Row],[Sale Price]]-Table4[[#This Row],[Store Cost]]</f>
        <v>42</v>
      </c>
      <c r="H171" s="28">
        <f>IF(Table4[[#This Row],[Profit]]&gt;=50,Table4[[#This Row],[Profit]]*0.2,Table4[[#This Row],[Profit]]*0.1)</f>
        <v>4.2</v>
      </c>
      <c r="I171" s="28" t="s">
        <v>108</v>
      </c>
      <c r="J171" s="28" t="s">
        <v>109</v>
      </c>
      <c r="K171" s="28" t="s">
        <v>81</v>
      </c>
    </row>
    <row r="172" spans="1:11" ht="15.75">
      <c r="A172" s="27" t="s">
        <v>104</v>
      </c>
      <c r="B172" s="26">
        <v>1171</v>
      </c>
      <c r="C172" s="28">
        <v>4421</v>
      </c>
      <c r="D172" s="28" t="s">
        <v>87</v>
      </c>
      <c r="E172" s="25">
        <v>45</v>
      </c>
      <c r="F172" s="25">
        <v>87</v>
      </c>
      <c r="G172" s="25">
        <f>Table4[[#This Row],[Sale Price]]-Table4[[#This Row],[Store Cost]]</f>
        <v>42</v>
      </c>
      <c r="H172" s="28">
        <f>IF(Table4[[#This Row],[Profit]]&gt;=50,Table4[[#This Row],[Profit]]*0.2,Table4[[#This Row],[Profit]]*0.1)</f>
        <v>4.2</v>
      </c>
      <c r="I172" s="28" t="s">
        <v>110</v>
      </c>
      <c r="J172" s="28" t="s">
        <v>111</v>
      </c>
      <c r="K172" s="28" t="s">
        <v>91</v>
      </c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11">
      <c r="A174"/>
      <c r="B174"/>
      <c r="C174"/>
      <c r="D174"/>
      <c r="E174"/>
      <c r="F174"/>
      <c r="G174"/>
      <c r="H174"/>
      <c r="I174"/>
      <c r="J174"/>
      <c r="K174"/>
    </row>
    <row r="175" spans="1:11">
      <c r="A175"/>
      <c r="B175"/>
      <c r="C175"/>
      <c r="D175"/>
      <c r="E175"/>
      <c r="F175"/>
      <c r="G175"/>
      <c r="H175"/>
      <c r="I175"/>
      <c r="J175"/>
      <c r="K175"/>
    </row>
    <row r="176" spans="1:11">
      <c r="A176"/>
      <c r="B176"/>
      <c r="C176"/>
      <c r="D176"/>
      <c r="E176"/>
      <c r="F176"/>
      <c r="G176"/>
      <c r="H176"/>
      <c r="I176"/>
      <c r="J176"/>
      <c r="K176"/>
    </row>
    <row r="177" spans="1:11">
      <c r="A177"/>
      <c r="B177"/>
      <c r="C177"/>
      <c r="D177"/>
      <c r="E177"/>
      <c r="F177"/>
      <c r="G177"/>
      <c r="H177"/>
      <c r="I177"/>
      <c r="J177"/>
      <c r="K177"/>
    </row>
    <row r="178" spans="1:11">
      <c r="A178"/>
      <c r="B178"/>
      <c r="C178"/>
      <c r="D178"/>
      <c r="E178"/>
      <c r="F178"/>
      <c r="G178"/>
      <c r="H178"/>
      <c r="I178"/>
      <c r="J178"/>
      <c r="K178"/>
    </row>
    <row r="179" spans="1:11" ht="30">
      <c r="A179" s="29" t="s">
        <v>105</v>
      </c>
      <c r="E179" s="24">
        <f>SUM(Table4[Store Cost])</f>
        <v>10753.899999999998</v>
      </c>
      <c r="F179" s="24">
        <f>SUM(Table4[Sale Price])</f>
        <v>17110.599999999995</v>
      </c>
    </row>
    <row r="180" spans="1:11" ht="75">
      <c r="A180" s="29" t="s">
        <v>106</v>
      </c>
      <c r="F180" s="29">
        <f>SUMIF(Table4[[#All],[Sale Price]],"&gt;50")</f>
        <v>16088.399999999994</v>
      </c>
    </row>
    <row r="181" spans="1:11" ht="105">
      <c r="A181" s="29" t="s">
        <v>107</v>
      </c>
      <c r="F181" s="29">
        <f>SUMIF(Table4[[#All],[Sale Price]],"&lt;=50")</f>
        <v>1022.1999999999997</v>
      </c>
    </row>
  </sheetData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Payroll</vt:lpstr>
      <vt:lpstr>GradeSheet</vt:lpstr>
      <vt:lpstr>Career Decision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2015-06-05T18:17:20Z</dcterms:created>
  <dcterms:modified xsi:type="dcterms:W3CDTF">2022-06-19T13:09:55Z</dcterms:modified>
</cp:coreProperties>
</file>