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L. C. Ribas\Downloads\Projetos\"/>
    </mc:Choice>
  </mc:AlternateContent>
  <xr:revisionPtr revIDLastSave="0" documentId="13_ncr:1_{D658AA3D-6759-44D0-93A0-F94352B7DCF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argas" sheetId="1" r:id="rId1"/>
    <sheet name="Demand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8" i="1" l="1"/>
  <c r="L6" i="1"/>
  <c r="L3" i="1"/>
  <c r="L32" i="1" l="1"/>
  <c r="O32" i="1"/>
  <c r="J29" i="1"/>
  <c r="J34" i="1" s="1"/>
  <c r="J26" i="1"/>
  <c r="L26" i="1" s="1"/>
  <c r="J24" i="1"/>
  <c r="J22" i="1"/>
  <c r="L22" i="1" s="1"/>
  <c r="J19" i="1"/>
  <c r="J16" i="1"/>
  <c r="J14" i="1"/>
  <c r="J12" i="1"/>
  <c r="L12" i="1" s="1"/>
  <c r="J8" i="1"/>
  <c r="J6" i="1"/>
  <c r="J3" i="1"/>
  <c r="L29" i="1"/>
  <c r="L34" i="1" s="1"/>
  <c r="L24" i="1"/>
  <c r="J18" i="1" l="1"/>
  <c r="J28" i="1"/>
  <c r="L19" i="1"/>
  <c r="L28" i="1" s="1"/>
  <c r="L16" i="1"/>
  <c r="L18" i="1" s="1"/>
  <c r="J11" i="1"/>
  <c r="L11" i="1"/>
  <c r="F19" i="2"/>
  <c r="E19" i="2"/>
  <c r="I34" i="1"/>
  <c r="I28" i="1"/>
  <c r="I18" i="1"/>
  <c r="I11" i="1"/>
  <c r="C18" i="1"/>
  <c r="C17" i="1"/>
  <c r="C16" i="1"/>
  <c r="C15" i="1"/>
  <c r="C14" i="1"/>
  <c r="C13" i="1"/>
  <c r="C12" i="1"/>
  <c r="C8" i="1"/>
  <c r="C11" i="1"/>
  <c r="C10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<sst xmlns="http://schemas.openxmlformats.org/spreadsheetml/2006/main" count="112" uniqueCount="57">
  <si>
    <t>Cargas Gerais</t>
  </si>
  <si>
    <t>Unidade</t>
  </si>
  <si>
    <t>Fábrica 1</t>
  </si>
  <si>
    <t>Fábrica2</t>
  </si>
  <si>
    <t>Circuito</t>
  </si>
  <si>
    <t>TUG</t>
  </si>
  <si>
    <t>Depósito 1</t>
  </si>
  <si>
    <t>Depósito 2</t>
  </si>
  <si>
    <t>Oficina</t>
  </si>
  <si>
    <t>Laboratório</t>
  </si>
  <si>
    <t>ADM</t>
  </si>
  <si>
    <t>Centro de Conv.</t>
  </si>
  <si>
    <t>Tensão de Alimentação (V)</t>
  </si>
  <si>
    <t>?</t>
  </si>
  <si>
    <t>Cargas Motrizes</t>
  </si>
  <si>
    <t>Equipamento / Dispositivo de Partida</t>
  </si>
  <si>
    <t>Qtde</t>
  </si>
  <si>
    <t>Fator de Potência</t>
  </si>
  <si>
    <t>Fator de Utilização</t>
  </si>
  <si>
    <t>Total</t>
  </si>
  <si>
    <r>
      <t xml:space="preserve">Motor 2CV - </t>
    </r>
    <r>
      <rPr>
        <b/>
        <sz val="10"/>
        <color theme="1"/>
        <rFont val="Arial"/>
        <family val="2"/>
      </rPr>
      <t>Partida direta</t>
    </r>
    <r>
      <rPr>
        <sz val="10"/>
        <color theme="1"/>
        <rFont val="Arial"/>
        <family val="2"/>
      </rPr>
      <t xml:space="preserve"> - Intermitente</t>
    </r>
  </si>
  <si>
    <r>
      <t xml:space="preserve">Motor 400CV - </t>
    </r>
    <r>
      <rPr>
        <b/>
        <sz val="10"/>
        <color theme="1"/>
        <rFont val="Arial"/>
        <family val="2"/>
      </rPr>
      <t>Partida direta</t>
    </r>
  </si>
  <si>
    <t>CNC</t>
  </si>
  <si>
    <t>Potência Instalada (VA)</t>
  </si>
  <si>
    <t>Ventilador 25CV</t>
  </si>
  <si>
    <t>Injetora - APTA 190</t>
  </si>
  <si>
    <t>Solda TIG</t>
  </si>
  <si>
    <t>Solda MIG</t>
  </si>
  <si>
    <t>Ponte Rolante - 10CV</t>
  </si>
  <si>
    <t>Ar Condicionado -  Motor - 15CV</t>
  </si>
  <si>
    <t>No Break - 40KVA</t>
  </si>
  <si>
    <t>Ar Condicionado -  79KVA</t>
  </si>
  <si>
    <t>QDL_*</t>
  </si>
  <si>
    <t>* número do QDL</t>
  </si>
  <si>
    <t>Demanda ( Cargas Gerais)</t>
  </si>
  <si>
    <t>Potência Ativa (kW)</t>
  </si>
  <si>
    <t>Potência Reativa (kVAr)</t>
  </si>
  <si>
    <t>Demanda (kVA)</t>
  </si>
  <si>
    <t>Fábrica 2</t>
  </si>
  <si>
    <t>Iluminação</t>
  </si>
  <si>
    <t>Potência Unitária (kW)</t>
  </si>
  <si>
    <t>Fator de Simultaneidade</t>
  </si>
  <si>
    <t>Chuveiros Centro Convivência</t>
  </si>
  <si>
    <t>25000 W</t>
  </si>
  <si>
    <t>https://www.weg.net/catalog/weg/BR/pt/Motores-El%C3%A9tricos/Monof%C3%A1sico/Uso-Geral/Motor-de-Chapa-Aberto-%28IP21%29/Motor-2-cv-2P-F56HC-1F-127-220-V-60-Hz-IC01---ODP---Com-p%C3%A9s/p/13027682</t>
  </si>
  <si>
    <t>Potência Adotada (kW)</t>
  </si>
  <si>
    <t>Fator de Potência (75% de carga)</t>
  </si>
  <si>
    <t>Corrente Nominal do Motor (A)</t>
  </si>
  <si>
    <t>Potência Instalada (kW)</t>
  </si>
  <si>
    <t>Rendimento (%, para 75% de carga)</t>
  </si>
  <si>
    <t>https://www.leone.equipamentos.com.br/produto/1876798/compressor-de-ar-trifasico-175-psi-60-pcm-15-cv-425-litros-msw-60-fortmta</t>
  </si>
  <si>
    <r>
      <t xml:space="preserve">Motor 7,5CV com </t>
    </r>
    <r>
      <rPr>
        <b/>
        <sz val="10"/>
        <color theme="1"/>
        <rFont val="Arial"/>
        <family val="2"/>
      </rPr>
      <t>Soft Starter</t>
    </r>
  </si>
  <si>
    <t>Soft Starter WEG</t>
  </si>
  <si>
    <t>https://www.weg.net/catalog/weg/AT/pt/Drives/Soft-Starters/Uso-Geral/Soft-Starter-SSW07/SOFT-STARTER-EXSSW070255T5SH2Z/p/11250198</t>
  </si>
  <si>
    <t>380 e 220</t>
  </si>
  <si>
    <r>
      <t xml:space="preserve">Compressor 15CV com </t>
    </r>
    <r>
      <rPr>
        <b/>
        <sz val="10"/>
        <color theme="1"/>
        <rFont val="Arial"/>
        <family val="2"/>
      </rPr>
      <t>Soft Starter</t>
    </r>
  </si>
  <si>
    <t>https://www.weg.net/catalog/weg/AT/pt/Drives/Soft-Starters/Uso-Geral/Soft-Starter-SSW07/SOFT-STARTER-SSW070045T5SZ/p/10233144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</si>
</sst>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0" xfId="0" applyFont="1" applyFill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0" xfId="1"/>
    <xf numFmtId="0" fontId="2" fillId="2" borderId="6" xfId="0" applyFont="1" applyFill="1" applyBorder="1" applyAlignment="1"/>
    <xf numFmtId="0" fontId="2" fillId="2" borderId="8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g.net/catalog/weg/AT/pt/Drives/Soft-Starters/Uso-Geral/Soft-Starter-SSW07/SOFT-STARTER-EXSSW070255T5SH2Z/p/1125019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eone.equipamentos.com.br/produto/1876798/compressor-de-ar-trifasico-175-psi-60-pcm-15-cv-425-litros-msw-60-fortmta" TargetMode="External"/><Relationship Id="rId1" Type="http://schemas.openxmlformats.org/officeDocument/2006/relationships/hyperlink" Target="https://www.weg.net/catalog/weg/BR/pt/Motores-El%C3%A9tricos/Monof%C3%A1sico/Uso-Geral/Motor-de-Chapa-Aberto-%28IP21%29/Motor-2-cv-2P-F56HC-1F-127-220-V-60-Hz-IC01---ODP---Com-p%C3%A9s/p/13027682" TargetMode="External"/><Relationship Id="rId6" Type="http://schemas.openxmlformats.org/officeDocument/2006/relationships/hyperlink" Target="https://www.weg.net/catalog/weg/AT/pt/Drives/Soft-Starters/Uso-Geral/Soft-Starter-SSW07/SOFT-STARTER-SSW070045T5SZ/p/10233144" TargetMode="External"/><Relationship Id="rId5" Type="http://schemas.openxmlformats.org/officeDocument/2006/relationships/hyperlink" Target="https://www.weg.net/catalog/weg/AT/pt/Drives/Soft-Starters/Uso-Geral/Soft-Starter-SSW07/SOFT-STARTER-SSW070045T5SZ/p/10233144" TargetMode="External"/><Relationship Id="rId4" Type="http://schemas.openxmlformats.org/officeDocument/2006/relationships/hyperlink" Target="https://www.weg.net/catalog/weg/AT/pt/Drives/Soft-Starters/Uso-Geral/Soft-Starter-SSW07/SOFT-STARTER-EXSSW070255T5SH2Z/p/11250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B4" zoomScale="85" zoomScaleNormal="85" workbookViewId="0">
      <selection activeCell="K19" sqref="K19:K20"/>
    </sheetView>
  </sheetViews>
  <sheetFormatPr defaultRowHeight="15" x14ac:dyDescent="0.25"/>
  <cols>
    <col min="1" max="1" width="15.28515625" bestFit="1" customWidth="1"/>
    <col min="2" max="2" width="10.42578125" bestFit="1" customWidth="1"/>
    <col min="3" max="3" width="13.85546875" customWidth="1"/>
    <col min="4" max="4" width="12.140625" customWidth="1"/>
    <col min="6" max="6" width="2.28515625" customWidth="1"/>
    <col min="7" max="7" width="15.28515625" customWidth="1"/>
    <col min="8" max="8" width="19.28515625" customWidth="1"/>
    <col min="10" max="11" width="12.85546875" customWidth="1"/>
    <col min="12" max="12" width="12.7109375" customWidth="1"/>
    <col min="13" max="13" width="12.42578125" bestFit="1" customWidth="1"/>
    <col min="14" max="14" width="11.42578125" bestFit="1" customWidth="1"/>
    <col min="15" max="15" width="13.85546875" bestFit="1" customWidth="1"/>
    <col min="16" max="16" width="10" customWidth="1"/>
    <col min="17" max="17" width="15.7109375" customWidth="1"/>
    <col min="18" max="18" width="17.85546875" bestFit="1" customWidth="1"/>
  </cols>
  <sheetData>
    <row r="1" spans="1:19" x14ac:dyDescent="0.25">
      <c r="A1" s="48" t="s">
        <v>0</v>
      </c>
      <c r="B1" s="48"/>
      <c r="C1" s="48"/>
      <c r="D1" s="48"/>
      <c r="E1" s="62"/>
      <c r="F1" s="10"/>
      <c r="G1" s="56" t="s">
        <v>14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19" ht="42.75" customHeight="1" x14ac:dyDescent="0.25">
      <c r="A2" s="2" t="s">
        <v>1</v>
      </c>
      <c r="B2" s="2" t="s">
        <v>4</v>
      </c>
      <c r="C2" s="2" t="s">
        <v>23</v>
      </c>
      <c r="D2" s="2" t="s">
        <v>12</v>
      </c>
      <c r="E2" s="8" t="s">
        <v>17</v>
      </c>
      <c r="F2" s="11"/>
      <c r="G2" s="7" t="s">
        <v>1</v>
      </c>
      <c r="H2" s="4" t="s">
        <v>15</v>
      </c>
      <c r="I2" s="4" t="s">
        <v>16</v>
      </c>
      <c r="J2" s="4" t="s">
        <v>40</v>
      </c>
      <c r="K2" s="4" t="s">
        <v>45</v>
      </c>
      <c r="L2" s="4" t="s">
        <v>48</v>
      </c>
      <c r="M2" s="2" t="s">
        <v>12</v>
      </c>
      <c r="N2" s="4" t="s">
        <v>47</v>
      </c>
      <c r="O2" s="4" t="s">
        <v>46</v>
      </c>
      <c r="P2" s="4" t="s">
        <v>18</v>
      </c>
      <c r="Q2" s="4" t="s">
        <v>41</v>
      </c>
      <c r="R2" s="4" t="s">
        <v>49</v>
      </c>
    </row>
    <row r="3" spans="1:19" x14ac:dyDescent="0.25">
      <c r="A3" s="48" t="s">
        <v>2</v>
      </c>
      <c r="B3" s="1" t="s">
        <v>39</v>
      </c>
      <c r="C3" s="3">
        <f>1000*105</f>
        <v>105000</v>
      </c>
      <c r="D3" s="3">
        <v>220</v>
      </c>
      <c r="E3" s="9">
        <v>0.84</v>
      </c>
      <c r="F3" s="11"/>
      <c r="G3" s="55" t="s">
        <v>2</v>
      </c>
      <c r="H3" s="50" t="s">
        <v>20</v>
      </c>
      <c r="I3" s="47">
        <v>60</v>
      </c>
      <c r="J3" s="47">
        <f>2*735.4987/1000</f>
        <v>1.4709973999999999</v>
      </c>
      <c r="K3" s="37">
        <v>1.5</v>
      </c>
      <c r="L3" s="47">
        <f>I3*K3</f>
        <v>90</v>
      </c>
      <c r="M3" s="54">
        <v>380</v>
      </c>
      <c r="N3" s="40">
        <v>3.39</v>
      </c>
      <c r="O3" s="54">
        <v>0.81</v>
      </c>
      <c r="P3" s="47"/>
      <c r="Q3" s="47"/>
      <c r="R3" s="47">
        <v>77</v>
      </c>
      <c r="S3" s="27" t="s">
        <v>44</v>
      </c>
    </row>
    <row r="4" spans="1:19" x14ac:dyDescent="0.25">
      <c r="A4" s="48"/>
      <c r="B4" s="1" t="s">
        <v>5</v>
      </c>
      <c r="C4" s="3">
        <f>1000*74</f>
        <v>74000</v>
      </c>
      <c r="D4" s="3">
        <v>220</v>
      </c>
      <c r="E4" s="9">
        <v>0.9</v>
      </c>
      <c r="F4" s="11"/>
      <c r="G4" s="55"/>
      <c r="H4" s="50"/>
      <c r="I4" s="47"/>
      <c r="J4" s="47"/>
      <c r="K4" s="38"/>
      <c r="L4" s="47"/>
      <c r="M4" s="54"/>
      <c r="N4" s="61"/>
      <c r="O4" s="54"/>
      <c r="P4" s="47"/>
      <c r="Q4" s="47"/>
      <c r="R4" s="47"/>
    </row>
    <row r="5" spans="1:19" x14ac:dyDescent="0.25">
      <c r="A5" s="48" t="s">
        <v>3</v>
      </c>
      <c r="B5" s="1" t="s">
        <v>39</v>
      </c>
      <c r="C5" s="3">
        <f>1000*63</f>
        <v>63000</v>
      </c>
      <c r="D5" s="3">
        <v>220</v>
      </c>
      <c r="E5" s="9">
        <v>0.86</v>
      </c>
      <c r="F5" s="11"/>
      <c r="G5" s="55"/>
      <c r="H5" s="50"/>
      <c r="I5" s="47"/>
      <c r="J5" s="47"/>
      <c r="K5" s="39"/>
      <c r="L5" s="47"/>
      <c r="M5" s="54"/>
      <c r="N5" s="41"/>
      <c r="O5" s="54"/>
      <c r="P5" s="47"/>
      <c r="Q5" s="47"/>
      <c r="R5" s="47"/>
    </row>
    <row r="6" spans="1:19" x14ac:dyDescent="0.25">
      <c r="A6" s="48"/>
      <c r="B6" s="1" t="s">
        <v>5</v>
      </c>
      <c r="C6" s="3">
        <f>1000*43</f>
        <v>43000</v>
      </c>
      <c r="D6" s="3">
        <v>220</v>
      </c>
      <c r="E6" s="9">
        <v>0.9</v>
      </c>
      <c r="F6" s="11"/>
      <c r="G6" s="55"/>
      <c r="H6" s="50" t="s">
        <v>21</v>
      </c>
      <c r="I6" s="47">
        <v>1</v>
      </c>
      <c r="J6" s="47">
        <f>735.4987*400/1000</f>
        <v>294.19947999999999</v>
      </c>
      <c r="K6" s="37">
        <v>300</v>
      </c>
      <c r="L6" s="47">
        <f>I6*K6</f>
        <v>300</v>
      </c>
      <c r="M6" s="47">
        <v>380</v>
      </c>
      <c r="N6" s="37">
        <v>511</v>
      </c>
      <c r="O6" s="47">
        <v>0.91</v>
      </c>
      <c r="P6" s="47"/>
      <c r="Q6" s="47"/>
      <c r="R6" s="58">
        <v>96.9</v>
      </c>
      <c r="S6" s="27"/>
    </row>
    <row r="7" spans="1:19" x14ac:dyDescent="0.25">
      <c r="A7" s="48" t="s">
        <v>6</v>
      </c>
      <c r="B7" s="1" t="s">
        <v>39</v>
      </c>
      <c r="C7" s="3">
        <f>1000*22</f>
        <v>22000</v>
      </c>
      <c r="D7" s="3">
        <v>220</v>
      </c>
      <c r="E7" s="9">
        <v>0.9</v>
      </c>
      <c r="F7" s="11"/>
      <c r="G7" s="55"/>
      <c r="H7" s="50"/>
      <c r="I7" s="47"/>
      <c r="J7" s="47"/>
      <c r="K7" s="39"/>
      <c r="L7" s="47"/>
      <c r="M7" s="47"/>
      <c r="N7" s="39"/>
      <c r="O7" s="47"/>
      <c r="P7" s="47"/>
      <c r="Q7" s="47"/>
      <c r="R7" s="58"/>
    </row>
    <row r="8" spans="1:19" ht="15" customHeight="1" x14ac:dyDescent="0.25">
      <c r="A8" s="48"/>
      <c r="B8" s="1" t="s">
        <v>5</v>
      </c>
      <c r="C8" s="3">
        <f>1000*8</f>
        <v>8000</v>
      </c>
      <c r="D8" s="3">
        <v>220</v>
      </c>
      <c r="E8" s="9">
        <v>0.9</v>
      </c>
      <c r="F8" s="11"/>
      <c r="G8" s="55"/>
      <c r="H8" s="43" t="s">
        <v>51</v>
      </c>
      <c r="I8" s="37">
        <v>4</v>
      </c>
      <c r="J8" s="37">
        <f>7.5*735.4987/1000</f>
        <v>5.5162402500000001</v>
      </c>
      <c r="K8" s="37">
        <v>5.5</v>
      </c>
      <c r="L8" s="37">
        <f>I8*K8</f>
        <v>22</v>
      </c>
      <c r="M8" s="37">
        <v>380</v>
      </c>
      <c r="N8" s="37">
        <v>10.7</v>
      </c>
      <c r="O8" s="37">
        <v>0.81</v>
      </c>
      <c r="P8" s="37"/>
      <c r="Q8" s="37"/>
      <c r="R8" s="37">
        <v>90.6</v>
      </c>
    </row>
    <row r="9" spans="1:19" x14ac:dyDescent="0.25">
      <c r="A9" s="48" t="s">
        <v>7</v>
      </c>
      <c r="B9" s="1" t="s">
        <v>39</v>
      </c>
      <c r="C9" s="3">
        <f>1000*22</f>
        <v>22000</v>
      </c>
      <c r="D9" s="3">
        <v>220</v>
      </c>
      <c r="E9" s="9">
        <v>0.9</v>
      </c>
      <c r="F9" s="11"/>
      <c r="G9" s="55"/>
      <c r="H9" s="66"/>
      <c r="I9" s="39"/>
      <c r="J9" s="39"/>
      <c r="K9" s="38"/>
      <c r="L9" s="39"/>
      <c r="M9" s="39"/>
      <c r="N9" s="38"/>
      <c r="O9" s="39"/>
      <c r="P9" s="39"/>
      <c r="Q9" s="39"/>
      <c r="R9" s="39"/>
    </row>
    <row r="10" spans="1:19" x14ac:dyDescent="0.25">
      <c r="A10" s="48"/>
      <c r="B10" s="1" t="s">
        <v>5</v>
      </c>
      <c r="C10" s="3">
        <f>1000*8</f>
        <v>8000</v>
      </c>
      <c r="D10" s="3">
        <v>220</v>
      </c>
      <c r="E10" s="9">
        <v>0.9</v>
      </c>
      <c r="F10" s="11"/>
      <c r="G10" s="55"/>
      <c r="H10" s="67" t="s">
        <v>52</v>
      </c>
      <c r="I10" s="24">
        <v>1</v>
      </c>
      <c r="J10" s="34"/>
      <c r="K10" s="35"/>
      <c r="L10" s="36"/>
      <c r="M10" s="24" t="s">
        <v>54</v>
      </c>
      <c r="N10" s="34"/>
      <c r="O10" s="35"/>
      <c r="P10" s="35"/>
      <c r="Q10" s="35"/>
      <c r="R10" s="36"/>
      <c r="S10" s="27" t="s">
        <v>53</v>
      </c>
    </row>
    <row r="11" spans="1:19" x14ac:dyDescent="0.25">
      <c r="A11" s="48" t="s">
        <v>8</v>
      </c>
      <c r="B11" s="1" t="s">
        <v>39</v>
      </c>
      <c r="C11" s="3">
        <f>1000*73</f>
        <v>73000</v>
      </c>
      <c r="D11" s="3">
        <v>220</v>
      </c>
      <c r="E11" s="9">
        <v>0.86</v>
      </c>
      <c r="F11" s="11"/>
      <c r="G11" s="60" t="s">
        <v>19</v>
      </c>
      <c r="H11" s="60"/>
      <c r="I11" s="13">
        <f>SUM(I3:I10)</f>
        <v>66</v>
      </c>
      <c r="J11" s="21">
        <f>J3+J6+J8</f>
        <v>301.18671764999999</v>
      </c>
      <c r="K11" s="28"/>
      <c r="L11" s="21">
        <f>L3+L6+L8</f>
        <v>412</v>
      </c>
      <c r="M11" s="28"/>
      <c r="N11" s="29"/>
      <c r="O11" s="6"/>
      <c r="P11" s="6"/>
      <c r="Q11" s="6"/>
      <c r="R11" s="6"/>
    </row>
    <row r="12" spans="1:19" x14ac:dyDescent="0.25">
      <c r="A12" s="48"/>
      <c r="B12" s="1" t="s">
        <v>5</v>
      </c>
      <c r="C12" s="3">
        <f>1000*92</f>
        <v>92000</v>
      </c>
      <c r="D12" s="3">
        <v>220</v>
      </c>
      <c r="E12" s="9">
        <v>0.9</v>
      </c>
      <c r="F12" s="11"/>
      <c r="G12" s="55" t="s">
        <v>38</v>
      </c>
      <c r="H12" s="47" t="s">
        <v>22</v>
      </c>
      <c r="I12" s="47">
        <v>5</v>
      </c>
      <c r="J12" s="47">
        <f>23*1000/1000</f>
        <v>23</v>
      </c>
      <c r="K12" s="37">
        <v>115</v>
      </c>
      <c r="L12" s="47">
        <f>I12*J12</f>
        <v>115</v>
      </c>
      <c r="M12" s="47">
        <v>380</v>
      </c>
      <c r="N12" s="47"/>
      <c r="O12" s="47">
        <v>0.89</v>
      </c>
      <c r="P12" s="47"/>
      <c r="Q12" s="47"/>
      <c r="R12" s="47"/>
    </row>
    <row r="13" spans="1:19" x14ac:dyDescent="0.25">
      <c r="A13" s="48" t="s">
        <v>9</v>
      </c>
      <c r="B13" s="1" t="s">
        <v>39</v>
      </c>
      <c r="C13" s="3">
        <f>1000*76</f>
        <v>76000</v>
      </c>
      <c r="D13" s="3">
        <v>220</v>
      </c>
      <c r="E13" s="9">
        <v>0.9</v>
      </c>
      <c r="F13" s="11"/>
      <c r="G13" s="55"/>
      <c r="H13" s="47"/>
      <c r="I13" s="47"/>
      <c r="J13" s="47"/>
      <c r="K13" s="39"/>
      <c r="L13" s="47"/>
      <c r="M13" s="47"/>
      <c r="N13" s="47"/>
      <c r="O13" s="47"/>
      <c r="P13" s="47"/>
      <c r="Q13" s="47"/>
      <c r="R13" s="47"/>
    </row>
    <row r="14" spans="1:19" x14ac:dyDescent="0.25">
      <c r="A14" s="48"/>
      <c r="B14" s="1" t="s">
        <v>5</v>
      </c>
      <c r="C14" s="3">
        <f>1000*38</f>
        <v>38000</v>
      </c>
      <c r="D14" s="3">
        <v>220</v>
      </c>
      <c r="E14" s="9">
        <v>0.9</v>
      </c>
      <c r="F14" s="11"/>
      <c r="G14" s="55"/>
      <c r="H14" s="50" t="s">
        <v>24</v>
      </c>
      <c r="I14" s="47">
        <v>4</v>
      </c>
      <c r="J14" s="47">
        <f>25*735.4987/1000</f>
        <v>18.3874675</v>
      </c>
      <c r="K14" s="37">
        <v>18.5</v>
      </c>
      <c r="L14" s="47">
        <f>I14*K14</f>
        <v>74</v>
      </c>
      <c r="M14" s="47">
        <v>380</v>
      </c>
      <c r="N14" s="47">
        <v>34.5</v>
      </c>
      <c r="O14" s="47">
        <v>0.82</v>
      </c>
      <c r="P14" s="47"/>
      <c r="Q14" s="47"/>
      <c r="R14" s="47">
        <v>93.4</v>
      </c>
    </row>
    <row r="15" spans="1:19" x14ac:dyDescent="0.25">
      <c r="A15" s="48" t="s">
        <v>10</v>
      </c>
      <c r="B15" s="1" t="s">
        <v>39</v>
      </c>
      <c r="C15" s="3">
        <f>1000*37</f>
        <v>37000</v>
      </c>
      <c r="D15" s="3">
        <v>127</v>
      </c>
      <c r="E15" s="9" t="s">
        <v>13</v>
      </c>
      <c r="F15" s="11"/>
      <c r="G15" s="55"/>
      <c r="H15" s="50"/>
      <c r="I15" s="47"/>
      <c r="J15" s="47"/>
      <c r="K15" s="39"/>
      <c r="L15" s="47"/>
      <c r="M15" s="47"/>
      <c r="N15" s="47"/>
      <c r="O15" s="47"/>
      <c r="P15" s="47"/>
      <c r="Q15" s="47"/>
      <c r="R15" s="47"/>
    </row>
    <row r="16" spans="1:19" x14ac:dyDescent="0.25">
      <c r="A16" s="48"/>
      <c r="B16" s="1" t="s">
        <v>5</v>
      </c>
      <c r="C16" s="3">
        <f>1000*29</f>
        <v>29000</v>
      </c>
      <c r="D16" s="3">
        <v>127</v>
      </c>
      <c r="E16" s="9" t="s">
        <v>13</v>
      </c>
      <c r="F16" s="11"/>
      <c r="G16" s="55"/>
      <c r="H16" s="50" t="s">
        <v>25</v>
      </c>
      <c r="I16" s="47">
        <v>8</v>
      </c>
      <c r="J16" s="54">
        <f>15600/1000</f>
        <v>15.6</v>
      </c>
      <c r="K16" s="40">
        <v>15.6</v>
      </c>
      <c r="L16" s="47">
        <f>I16*J16</f>
        <v>124.8</v>
      </c>
      <c r="M16" s="47">
        <v>380</v>
      </c>
      <c r="N16" s="47"/>
      <c r="O16" s="47"/>
      <c r="P16" s="47"/>
      <c r="Q16" s="47"/>
      <c r="R16" s="47"/>
    </row>
    <row r="17" spans="1:19" x14ac:dyDescent="0.25">
      <c r="A17" s="48" t="s">
        <v>11</v>
      </c>
      <c r="B17" s="1" t="s">
        <v>39</v>
      </c>
      <c r="C17" s="3">
        <f>1000*12</f>
        <v>12000</v>
      </c>
      <c r="D17" s="3">
        <v>127</v>
      </c>
      <c r="E17" s="9">
        <v>0.9</v>
      </c>
      <c r="F17" s="11"/>
      <c r="G17" s="55"/>
      <c r="H17" s="50"/>
      <c r="I17" s="47"/>
      <c r="J17" s="54"/>
      <c r="K17" s="41"/>
      <c r="L17" s="47"/>
      <c r="M17" s="47"/>
      <c r="N17" s="47"/>
      <c r="O17" s="47"/>
      <c r="P17" s="47"/>
      <c r="Q17" s="47"/>
      <c r="R17" s="47"/>
    </row>
    <row r="18" spans="1:19" x14ac:dyDescent="0.25">
      <c r="A18" s="48"/>
      <c r="B18" s="1" t="s">
        <v>5</v>
      </c>
      <c r="C18" s="3">
        <f>1000*6</f>
        <v>6000</v>
      </c>
      <c r="D18" s="3">
        <v>127</v>
      </c>
      <c r="E18" s="9">
        <v>0.9</v>
      </c>
      <c r="F18" s="12"/>
      <c r="G18" s="53" t="s">
        <v>19</v>
      </c>
      <c r="H18" s="53"/>
      <c r="I18" s="14">
        <f>SUM(I12:I17)</f>
        <v>17</v>
      </c>
      <c r="J18" s="22">
        <f>J12+J14+J16</f>
        <v>56.987467500000001</v>
      </c>
      <c r="K18" s="28"/>
      <c r="L18" s="22">
        <f>L12+L14+L16</f>
        <v>313.8</v>
      </c>
      <c r="M18" s="34"/>
      <c r="N18" s="35"/>
      <c r="O18" s="35"/>
      <c r="P18" s="6"/>
      <c r="Q18" s="6"/>
      <c r="R18" s="6"/>
    </row>
    <row r="19" spans="1:19" ht="15" customHeight="1" x14ac:dyDescent="0.25">
      <c r="A19" t="s">
        <v>42</v>
      </c>
      <c r="B19" s="25"/>
      <c r="C19" s="26" t="s">
        <v>43</v>
      </c>
      <c r="G19" s="48" t="s">
        <v>8</v>
      </c>
      <c r="H19" s="43" t="s">
        <v>55</v>
      </c>
      <c r="I19" s="37">
        <v>2</v>
      </c>
      <c r="J19" s="37">
        <f>15*735.4987/1000</f>
        <v>11.0324805</v>
      </c>
      <c r="K19" s="37"/>
      <c r="L19" s="37">
        <f>I19*J19</f>
        <v>22.064961</v>
      </c>
      <c r="M19" s="40">
        <v>380</v>
      </c>
      <c r="N19" s="37"/>
      <c r="O19" s="37"/>
      <c r="P19" s="37"/>
      <c r="Q19" s="37"/>
      <c r="R19" s="37"/>
      <c r="S19" s="27" t="s">
        <v>50</v>
      </c>
    </row>
    <row r="20" spans="1:19" x14ac:dyDescent="0.25">
      <c r="G20" s="48"/>
      <c r="H20" s="44"/>
      <c r="I20" s="39"/>
      <c r="J20" s="39"/>
      <c r="K20" s="38"/>
      <c r="L20" s="39"/>
      <c r="M20" s="41"/>
      <c r="N20" s="38"/>
      <c r="O20" s="39"/>
      <c r="P20" s="39"/>
      <c r="Q20" s="39"/>
      <c r="R20" s="39"/>
    </row>
    <row r="21" spans="1:19" x14ac:dyDescent="0.25">
      <c r="G21" s="48"/>
      <c r="H21" s="68" t="s">
        <v>52</v>
      </c>
      <c r="I21" s="24">
        <v>1</v>
      </c>
      <c r="J21" s="28"/>
      <c r="K21" s="28"/>
      <c r="L21" s="28"/>
      <c r="M21" s="30" t="s">
        <v>54</v>
      </c>
      <c r="N21" s="29"/>
      <c r="O21" s="29"/>
      <c r="P21" s="29"/>
      <c r="Q21" s="29"/>
      <c r="R21" s="29"/>
      <c r="S21" s="27" t="s">
        <v>56</v>
      </c>
    </row>
    <row r="22" spans="1:19" x14ac:dyDescent="0.25">
      <c r="G22" s="48"/>
      <c r="H22" s="47" t="s">
        <v>26</v>
      </c>
      <c r="I22" s="47">
        <v>5</v>
      </c>
      <c r="J22" s="47">
        <f>12*1000/1000</f>
        <v>12</v>
      </c>
      <c r="K22" s="37">
        <v>12</v>
      </c>
      <c r="L22" s="47">
        <f>I22*J22</f>
        <v>60</v>
      </c>
      <c r="M22" s="47">
        <v>220</v>
      </c>
      <c r="N22" s="47"/>
      <c r="O22" s="47">
        <v>0.95</v>
      </c>
      <c r="P22" s="47"/>
      <c r="Q22" s="47"/>
      <c r="R22" s="47"/>
    </row>
    <row r="23" spans="1:19" x14ac:dyDescent="0.25">
      <c r="G23" s="48"/>
      <c r="H23" s="47"/>
      <c r="I23" s="47"/>
      <c r="J23" s="47"/>
      <c r="K23" s="39"/>
      <c r="L23" s="47"/>
      <c r="M23" s="47"/>
      <c r="N23" s="47"/>
      <c r="O23" s="47"/>
      <c r="P23" s="47"/>
      <c r="Q23" s="47"/>
      <c r="R23" s="47"/>
    </row>
    <row r="24" spans="1:19" x14ac:dyDescent="0.25">
      <c r="G24" s="48"/>
      <c r="H24" s="50" t="s">
        <v>27</v>
      </c>
      <c r="I24" s="47">
        <v>3</v>
      </c>
      <c r="J24" s="47">
        <f>1000*15/1000</f>
        <v>15</v>
      </c>
      <c r="K24" s="37">
        <v>15</v>
      </c>
      <c r="L24" s="47">
        <f>I24*J24</f>
        <v>45</v>
      </c>
      <c r="M24" s="47">
        <v>220</v>
      </c>
      <c r="N24" s="47"/>
      <c r="O24" s="47">
        <v>0.95</v>
      </c>
      <c r="P24" s="47"/>
      <c r="Q24" s="47"/>
      <c r="R24" s="47"/>
    </row>
    <row r="25" spans="1:19" x14ac:dyDescent="0.25">
      <c r="G25" s="48"/>
      <c r="H25" s="50"/>
      <c r="I25" s="47"/>
      <c r="J25" s="47"/>
      <c r="K25" s="39"/>
      <c r="L25" s="47"/>
      <c r="M25" s="47"/>
      <c r="N25" s="47"/>
      <c r="O25" s="47"/>
      <c r="P25" s="47"/>
      <c r="Q25" s="47"/>
      <c r="R25" s="47"/>
    </row>
    <row r="26" spans="1:19" x14ac:dyDescent="0.25">
      <c r="G26" s="48"/>
      <c r="H26" s="47" t="s">
        <v>28</v>
      </c>
      <c r="I26" s="47">
        <v>1</v>
      </c>
      <c r="J26" s="47">
        <f>10*735.4987/1000</f>
        <v>7.3549870000000004</v>
      </c>
      <c r="K26" s="37"/>
      <c r="L26" s="47">
        <f>I26*J26</f>
        <v>7.3549870000000004</v>
      </c>
      <c r="M26" s="52">
        <v>380</v>
      </c>
      <c r="N26" s="47"/>
      <c r="O26" s="47"/>
      <c r="P26" s="47"/>
      <c r="Q26" s="47"/>
      <c r="R26" s="47"/>
    </row>
    <row r="27" spans="1:19" x14ac:dyDescent="0.25">
      <c r="G27" s="48"/>
      <c r="H27" s="47"/>
      <c r="I27" s="47"/>
      <c r="J27" s="47"/>
      <c r="K27" s="39"/>
      <c r="L27" s="47"/>
      <c r="M27" s="52"/>
      <c r="N27" s="47"/>
      <c r="O27" s="37"/>
      <c r="P27" s="37"/>
      <c r="Q27" s="37"/>
      <c r="R27" s="37"/>
    </row>
    <row r="28" spans="1:19" x14ac:dyDescent="0.25">
      <c r="A28" s="59"/>
      <c r="B28" s="5"/>
      <c r="G28" s="51" t="s">
        <v>19</v>
      </c>
      <c r="H28" s="51"/>
      <c r="I28" s="3">
        <f>SUM(I19:I27)</f>
        <v>12</v>
      </c>
      <c r="J28" s="23">
        <f>J19+J22+J24+J26</f>
        <v>45.3874675</v>
      </c>
      <c r="K28" s="28"/>
      <c r="L28" s="23">
        <f>L19+L22+L24+L26</f>
        <v>134.41994800000001</v>
      </c>
      <c r="M28" s="34"/>
      <c r="N28" s="35"/>
      <c r="O28" s="35"/>
      <c r="P28" s="35"/>
      <c r="Q28" s="35"/>
      <c r="R28" s="36"/>
    </row>
    <row r="29" spans="1:19" x14ac:dyDescent="0.25">
      <c r="A29" s="59"/>
      <c r="B29" s="5"/>
      <c r="G29" s="48" t="s">
        <v>9</v>
      </c>
      <c r="H29" s="50" t="s">
        <v>29</v>
      </c>
      <c r="I29" s="47">
        <v>6</v>
      </c>
      <c r="J29" s="47">
        <f>15*735.4987/1000</f>
        <v>11.0324805</v>
      </c>
      <c r="K29" s="37"/>
      <c r="L29" s="47">
        <f>I29*J29</f>
        <v>66.194883000000004</v>
      </c>
      <c r="M29" s="47">
        <v>220</v>
      </c>
      <c r="N29" s="47"/>
      <c r="O29" s="47"/>
      <c r="P29" s="47">
        <v>1</v>
      </c>
      <c r="Q29" s="47"/>
      <c r="R29" s="47"/>
    </row>
    <row r="30" spans="1:19" x14ac:dyDescent="0.25">
      <c r="A30" s="59"/>
      <c r="B30" s="5"/>
      <c r="G30" s="48"/>
      <c r="H30" s="50"/>
      <c r="I30" s="47"/>
      <c r="J30" s="47"/>
      <c r="K30" s="38"/>
      <c r="L30" s="47"/>
      <c r="M30" s="47"/>
      <c r="N30" s="47"/>
      <c r="O30" s="47"/>
      <c r="P30" s="47"/>
      <c r="Q30" s="47"/>
      <c r="R30" s="47"/>
    </row>
    <row r="31" spans="1:19" x14ac:dyDescent="0.25">
      <c r="A31" s="59"/>
      <c r="B31" s="5"/>
      <c r="G31" s="48"/>
      <c r="H31" s="50"/>
      <c r="I31" s="47"/>
      <c r="J31" s="47"/>
      <c r="K31" s="39"/>
      <c r="L31" s="47"/>
      <c r="M31" s="47"/>
      <c r="N31" s="47"/>
      <c r="O31" s="47"/>
      <c r="P31" s="47"/>
      <c r="Q31" s="47"/>
      <c r="R31" s="47"/>
    </row>
    <row r="32" spans="1:19" x14ac:dyDescent="0.25">
      <c r="A32" s="59"/>
      <c r="B32" s="5"/>
      <c r="G32" s="48"/>
      <c r="H32" s="47" t="s">
        <v>30</v>
      </c>
      <c r="I32" s="47">
        <v>1</v>
      </c>
      <c r="J32" s="49">
        <v>36</v>
      </c>
      <c r="K32" s="40">
        <v>36</v>
      </c>
      <c r="L32" s="47">
        <f>I32*J32</f>
        <v>36</v>
      </c>
      <c r="M32" s="49">
        <v>220</v>
      </c>
      <c r="N32" s="47"/>
      <c r="O32" s="47">
        <f>J32/40</f>
        <v>0.9</v>
      </c>
      <c r="P32" s="47">
        <v>1</v>
      </c>
      <c r="Q32" s="47"/>
      <c r="R32" s="47"/>
    </row>
    <row r="33" spans="1:18" x14ac:dyDescent="0.25">
      <c r="A33" s="59"/>
      <c r="B33" s="5"/>
      <c r="G33" s="48"/>
      <c r="H33" s="47"/>
      <c r="I33" s="47"/>
      <c r="J33" s="49"/>
      <c r="K33" s="41"/>
      <c r="L33" s="47"/>
      <c r="M33" s="49"/>
      <c r="N33" s="47"/>
      <c r="O33" s="47"/>
      <c r="P33" s="47"/>
      <c r="Q33" s="47"/>
      <c r="R33" s="47"/>
    </row>
    <row r="34" spans="1:18" x14ac:dyDescent="0.25">
      <c r="A34" s="59"/>
      <c r="B34" s="5"/>
      <c r="G34" s="42" t="s">
        <v>19</v>
      </c>
      <c r="H34" s="42"/>
      <c r="I34" s="3">
        <f>SUM(I29:I33)</f>
        <v>7</v>
      </c>
      <c r="J34" s="3">
        <f>J29+J32</f>
        <v>47.032480499999998</v>
      </c>
      <c r="K34" s="20"/>
      <c r="L34" s="3">
        <f>L29+L32</f>
        <v>102.194883</v>
      </c>
      <c r="M34" s="31"/>
      <c r="N34" s="32"/>
      <c r="O34" s="32"/>
      <c r="P34" s="32"/>
      <c r="Q34" s="32"/>
      <c r="R34" s="33"/>
    </row>
    <row r="35" spans="1:18" x14ac:dyDescent="0.25">
      <c r="A35" s="59"/>
      <c r="B35" s="5"/>
      <c r="G35" s="45" t="s">
        <v>10</v>
      </c>
      <c r="H35" s="43" t="s">
        <v>31</v>
      </c>
      <c r="I35" s="37">
        <v>1</v>
      </c>
      <c r="J35" s="37"/>
      <c r="K35" s="18"/>
      <c r="L35" s="37"/>
      <c r="M35" s="37">
        <v>220</v>
      </c>
      <c r="N35" s="37"/>
      <c r="O35" s="37"/>
      <c r="P35" s="37">
        <v>1</v>
      </c>
      <c r="Q35" s="37"/>
      <c r="R35" s="37"/>
    </row>
    <row r="36" spans="1:18" x14ac:dyDescent="0.25">
      <c r="A36" s="59"/>
      <c r="B36" s="5"/>
      <c r="G36" s="46"/>
      <c r="H36" s="44"/>
      <c r="I36" s="39"/>
      <c r="J36" s="39"/>
      <c r="K36" s="19"/>
      <c r="L36" s="39"/>
      <c r="M36" s="39"/>
      <c r="N36" s="39"/>
      <c r="O36" s="39"/>
      <c r="P36" s="39"/>
      <c r="Q36" s="39"/>
      <c r="R36" s="39"/>
    </row>
    <row r="37" spans="1:18" x14ac:dyDescent="0.25">
      <c r="A37" s="59"/>
      <c r="B37" s="5"/>
      <c r="G37" s="42" t="s">
        <v>19</v>
      </c>
      <c r="H37" s="42"/>
      <c r="I37" s="3">
        <v>1</v>
      </c>
      <c r="J37" s="3"/>
      <c r="K37" s="20"/>
      <c r="L37" s="3"/>
      <c r="M37" s="31"/>
      <c r="N37" s="32"/>
      <c r="O37" s="32"/>
      <c r="P37" s="32"/>
      <c r="Q37" s="32"/>
      <c r="R37" s="33"/>
    </row>
    <row r="38" spans="1:18" x14ac:dyDescent="0.25">
      <c r="A38" s="59"/>
      <c r="B38" s="5"/>
    </row>
    <row r="39" spans="1:18" x14ac:dyDescent="0.25">
      <c r="A39" s="59"/>
      <c r="B39" s="5"/>
    </row>
  </sheetData>
  <mergeCells count="174">
    <mergeCell ref="K19:K20"/>
    <mergeCell ref="L19:L20"/>
    <mergeCell ref="M19:M20"/>
    <mergeCell ref="O19:O20"/>
    <mergeCell ref="N19:N20"/>
    <mergeCell ref="P19:P20"/>
    <mergeCell ref="Q19:Q20"/>
    <mergeCell ref="R19:R20"/>
    <mergeCell ref="L14:L15"/>
    <mergeCell ref="L16:L17"/>
    <mergeCell ref="H14:H15"/>
    <mergeCell ref="A1:E1"/>
    <mergeCell ref="A28:A29"/>
    <mergeCell ref="A30:A31"/>
    <mergeCell ref="A32:A33"/>
    <mergeCell ref="A34:A35"/>
    <mergeCell ref="A36:A37"/>
    <mergeCell ref="A3:A4"/>
    <mergeCell ref="A5:A6"/>
    <mergeCell ref="A7:A8"/>
    <mergeCell ref="A9:A10"/>
    <mergeCell ref="A11:A12"/>
    <mergeCell ref="A13:A14"/>
    <mergeCell ref="H8:H9"/>
    <mergeCell ref="I8:I9"/>
    <mergeCell ref="J8:J9"/>
    <mergeCell ref="K8:K9"/>
    <mergeCell ref="L8:L9"/>
    <mergeCell ref="J10:L10"/>
    <mergeCell ref="N10:R10"/>
    <mergeCell ref="H19:H20"/>
    <mergeCell ref="A38:A39"/>
    <mergeCell ref="H3:H5"/>
    <mergeCell ref="H6:H7"/>
    <mergeCell ref="I3:I5"/>
    <mergeCell ref="I6:I7"/>
    <mergeCell ref="G3:G10"/>
    <mergeCell ref="J3:J5"/>
    <mergeCell ref="A15:A16"/>
    <mergeCell ref="A17:A18"/>
    <mergeCell ref="G11:H11"/>
    <mergeCell ref="I19:I20"/>
    <mergeCell ref="J19:J20"/>
    <mergeCell ref="L12:L13"/>
    <mergeCell ref="R12:R13"/>
    <mergeCell ref="K3:K5"/>
    <mergeCell ref="K6:K7"/>
    <mergeCell ref="L3:L5"/>
    <mergeCell ref="M3:M5"/>
    <mergeCell ref="O3:O5"/>
    <mergeCell ref="P3:P5"/>
    <mergeCell ref="Q3:Q5"/>
    <mergeCell ref="R3:R5"/>
    <mergeCell ref="N3:N5"/>
    <mergeCell ref="N6:N7"/>
    <mergeCell ref="M8:M9"/>
    <mergeCell ref="N8:N9"/>
    <mergeCell ref="O8:O9"/>
    <mergeCell ref="Q8:Q9"/>
    <mergeCell ref="R8:R9"/>
    <mergeCell ref="P8:P9"/>
    <mergeCell ref="I16:I17"/>
    <mergeCell ref="G12:G17"/>
    <mergeCell ref="M14:M15"/>
    <mergeCell ref="N12:N13"/>
    <mergeCell ref="P12:P13"/>
    <mergeCell ref="Q12:Q13"/>
    <mergeCell ref="G1:R1"/>
    <mergeCell ref="I12:I13"/>
    <mergeCell ref="M12:M13"/>
    <mergeCell ref="O12:O13"/>
    <mergeCell ref="J12:J13"/>
    <mergeCell ref="H12:H13"/>
    <mergeCell ref="P6:P7"/>
    <mergeCell ref="Q6:Q7"/>
    <mergeCell ref="R6:R7"/>
    <mergeCell ref="J6:J7"/>
    <mergeCell ref="L6:L7"/>
    <mergeCell ref="M6:M7"/>
    <mergeCell ref="O6:O7"/>
    <mergeCell ref="R14:R15"/>
    <mergeCell ref="R16:R17"/>
    <mergeCell ref="Q16:Q17"/>
    <mergeCell ref="Q14:Q15"/>
    <mergeCell ref="P14:P15"/>
    <mergeCell ref="P16:P17"/>
    <mergeCell ref="O14:O15"/>
    <mergeCell ref="O16:O17"/>
    <mergeCell ref="N14:N15"/>
    <mergeCell ref="N16:N17"/>
    <mergeCell ref="G18:H18"/>
    <mergeCell ref="J14:J15"/>
    <mergeCell ref="J16:J17"/>
    <mergeCell ref="L24:L25"/>
    <mergeCell ref="M22:M23"/>
    <mergeCell ref="M24:M25"/>
    <mergeCell ref="N22:N23"/>
    <mergeCell ref="N24:N25"/>
    <mergeCell ref="H22:H23"/>
    <mergeCell ref="I22:I23"/>
    <mergeCell ref="J22:J23"/>
    <mergeCell ref="H24:H25"/>
    <mergeCell ref="I24:I25"/>
    <mergeCell ref="J24:J25"/>
    <mergeCell ref="M18:O18"/>
    <mergeCell ref="I14:I15"/>
    <mergeCell ref="H16:H17"/>
    <mergeCell ref="M16:M17"/>
    <mergeCell ref="O26:O27"/>
    <mergeCell ref="P26:P27"/>
    <mergeCell ref="Q26:Q27"/>
    <mergeCell ref="R26:R27"/>
    <mergeCell ref="G28:H28"/>
    <mergeCell ref="H26:H27"/>
    <mergeCell ref="G19:G27"/>
    <mergeCell ref="I26:I27"/>
    <mergeCell ref="J26:J27"/>
    <mergeCell ref="L26:L27"/>
    <mergeCell ref="M26:M27"/>
    <mergeCell ref="Q22:Q23"/>
    <mergeCell ref="R22:R23"/>
    <mergeCell ref="Q24:Q25"/>
    <mergeCell ref="R24:R25"/>
    <mergeCell ref="O22:O23"/>
    <mergeCell ref="O24:O25"/>
    <mergeCell ref="P22:P23"/>
    <mergeCell ref="P24:P25"/>
    <mergeCell ref="L22:L23"/>
    <mergeCell ref="G37:H37"/>
    <mergeCell ref="H35:H36"/>
    <mergeCell ref="I35:I36"/>
    <mergeCell ref="G35:G36"/>
    <mergeCell ref="J35:J36"/>
    <mergeCell ref="L35:L36"/>
    <mergeCell ref="O32:O33"/>
    <mergeCell ref="P32:P33"/>
    <mergeCell ref="Q32:Q33"/>
    <mergeCell ref="G29:G33"/>
    <mergeCell ref="G34:H34"/>
    <mergeCell ref="O29:O31"/>
    <mergeCell ref="P29:P31"/>
    <mergeCell ref="Q29:Q31"/>
    <mergeCell ref="H32:H33"/>
    <mergeCell ref="I32:I33"/>
    <mergeCell ref="J32:J33"/>
    <mergeCell ref="L32:L33"/>
    <mergeCell ref="M32:M33"/>
    <mergeCell ref="N32:N33"/>
    <mergeCell ref="H29:H31"/>
    <mergeCell ref="I29:I31"/>
    <mergeCell ref="J29:J31"/>
    <mergeCell ref="L29:L31"/>
    <mergeCell ref="M34:R34"/>
    <mergeCell ref="M28:R28"/>
    <mergeCell ref="M37:R37"/>
    <mergeCell ref="K22:K23"/>
    <mergeCell ref="K14:K15"/>
    <mergeCell ref="K24:K25"/>
    <mergeCell ref="K26:K27"/>
    <mergeCell ref="K32:K33"/>
    <mergeCell ref="K29:K31"/>
    <mergeCell ref="K16:K17"/>
    <mergeCell ref="K12:K13"/>
    <mergeCell ref="M35:M36"/>
    <mergeCell ref="N35:N36"/>
    <mergeCell ref="O35:O36"/>
    <mergeCell ref="P35:P36"/>
    <mergeCell ref="Q35:Q36"/>
    <mergeCell ref="R35:R36"/>
    <mergeCell ref="R32:R33"/>
    <mergeCell ref="R29:R31"/>
    <mergeCell ref="M29:M31"/>
    <mergeCell ref="N29:N31"/>
    <mergeCell ref="N26:N27"/>
  </mergeCells>
  <hyperlinks>
    <hyperlink ref="S3" r:id="rId1" xr:uid="{19C9A3EE-4E08-434A-AC7D-E7DF93555E1B}"/>
    <hyperlink ref="S19" r:id="rId2" xr:uid="{8C8438B8-A7F7-4518-9FD3-5C69724560A8}"/>
    <hyperlink ref="S10" r:id="rId3" xr:uid="{347D1E26-5A05-49C4-A5AD-D3D021D02913}"/>
    <hyperlink ref="H10" r:id="rId4" xr:uid="{8C02C376-45E6-4AD9-BFB4-68527C67B23F}"/>
    <hyperlink ref="S21" r:id="rId5" xr:uid="{0ED4F257-438B-4330-AC71-3EB83C5BA736}"/>
    <hyperlink ref="H21" r:id="rId6" xr:uid="{6CB4A7F6-F62A-490C-9148-DAF9AD0120F8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K13" sqref="K13"/>
    </sheetView>
  </sheetViews>
  <sheetFormatPr defaultRowHeight="15" x14ac:dyDescent="0.25"/>
  <cols>
    <col min="1" max="1" width="15.7109375" bestFit="1" customWidth="1"/>
    <col min="3" max="3" width="9.85546875" bestFit="1" customWidth="1"/>
    <col min="6" max="6" width="11" customWidth="1"/>
  </cols>
  <sheetData>
    <row r="1" spans="1:7" x14ac:dyDescent="0.25">
      <c r="A1" s="48" t="s">
        <v>34</v>
      </c>
      <c r="B1" s="48"/>
      <c r="C1" s="48"/>
      <c r="D1" s="48"/>
      <c r="E1" s="48"/>
      <c r="F1" s="48"/>
      <c r="G1" s="48"/>
    </row>
    <row r="2" spans="1:7" ht="38.25" x14ac:dyDescent="0.25">
      <c r="A2" s="2" t="s">
        <v>1</v>
      </c>
      <c r="B2" s="2" t="s">
        <v>32</v>
      </c>
      <c r="C2" s="2" t="s">
        <v>4</v>
      </c>
      <c r="D2" s="2" t="s">
        <v>35</v>
      </c>
      <c r="E2" s="2" t="s">
        <v>36</v>
      </c>
      <c r="F2" s="15" t="s">
        <v>37</v>
      </c>
      <c r="G2" s="4" t="s">
        <v>17</v>
      </c>
    </row>
    <row r="3" spans="1:7" x14ac:dyDescent="0.25">
      <c r="A3" s="48" t="s">
        <v>2</v>
      </c>
      <c r="B3" s="45">
        <v>1</v>
      </c>
      <c r="C3" s="17" t="s">
        <v>39</v>
      </c>
      <c r="D3" s="3"/>
      <c r="E3" s="3"/>
      <c r="F3" s="9"/>
      <c r="G3" s="3"/>
    </row>
    <row r="4" spans="1:7" x14ac:dyDescent="0.25">
      <c r="A4" s="48"/>
      <c r="B4" s="46"/>
      <c r="C4" s="17" t="s">
        <v>5</v>
      </c>
      <c r="D4" s="3"/>
      <c r="E4" s="3"/>
      <c r="F4" s="9"/>
      <c r="G4" s="3"/>
    </row>
    <row r="5" spans="1:7" x14ac:dyDescent="0.25">
      <c r="A5" s="48" t="s">
        <v>38</v>
      </c>
      <c r="B5" s="45">
        <v>2</v>
      </c>
      <c r="C5" s="17" t="s">
        <v>39</v>
      </c>
      <c r="D5" s="3"/>
      <c r="E5" s="3"/>
      <c r="F5" s="9"/>
      <c r="G5" s="3"/>
    </row>
    <row r="6" spans="1:7" x14ac:dyDescent="0.25">
      <c r="A6" s="48"/>
      <c r="B6" s="46"/>
      <c r="C6" s="17" t="s">
        <v>5</v>
      </c>
      <c r="D6" s="3"/>
      <c r="E6" s="3"/>
      <c r="F6" s="9"/>
      <c r="G6" s="3"/>
    </row>
    <row r="7" spans="1:7" x14ac:dyDescent="0.25">
      <c r="A7" s="48" t="s">
        <v>6</v>
      </c>
      <c r="B7" s="45">
        <v>3</v>
      </c>
      <c r="C7" s="17" t="s">
        <v>39</v>
      </c>
      <c r="D7" s="3"/>
      <c r="E7" s="3"/>
      <c r="F7" s="9"/>
      <c r="G7" s="3"/>
    </row>
    <row r="8" spans="1:7" x14ac:dyDescent="0.25">
      <c r="A8" s="48"/>
      <c r="B8" s="46"/>
      <c r="C8" s="17" t="s">
        <v>5</v>
      </c>
      <c r="D8" s="3"/>
      <c r="E8" s="3"/>
      <c r="F8" s="9"/>
      <c r="G8" s="3"/>
    </row>
    <row r="9" spans="1:7" x14ac:dyDescent="0.25">
      <c r="A9" s="48" t="s">
        <v>7</v>
      </c>
      <c r="B9" s="45">
        <v>4</v>
      </c>
      <c r="C9" s="17" t="s">
        <v>39</v>
      </c>
      <c r="D9" s="3"/>
      <c r="E9" s="3"/>
      <c r="F9" s="9"/>
      <c r="G9" s="3"/>
    </row>
    <row r="10" spans="1:7" x14ac:dyDescent="0.25">
      <c r="A10" s="48"/>
      <c r="B10" s="46"/>
      <c r="C10" s="17" t="s">
        <v>5</v>
      </c>
      <c r="D10" s="3"/>
      <c r="E10" s="3"/>
      <c r="F10" s="9"/>
      <c r="G10" s="3"/>
    </row>
    <row r="11" spans="1:7" x14ac:dyDescent="0.25">
      <c r="A11" s="48" t="s">
        <v>8</v>
      </c>
      <c r="B11" s="45">
        <v>5</v>
      </c>
      <c r="C11" s="17" t="s">
        <v>39</v>
      </c>
      <c r="D11" s="3"/>
      <c r="E11" s="3"/>
      <c r="F11" s="9"/>
      <c r="G11" s="3"/>
    </row>
    <row r="12" spans="1:7" x14ac:dyDescent="0.25">
      <c r="A12" s="48"/>
      <c r="B12" s="46"/>
      <c r="C12" s="17" t="s">
        <v>5</v>
      </c>
      <c r="D12" s="3"/>
      <c r="E12" s="3"/>
      <c r="F12" s="9"/>
      <c r="G12" s="3"/>
    </row>
    <row r="13" spans="1:7" x14ac:dyDescent="0.25">
      <c r="A13" s="48" t="s">
        <v>9</v>
      </c>
      <c r="B13" s="45">
        <v>6</v>
      </c>
      <c r="C13" s="17" t="s">
        <v>39</v>
      </c>
      <c r="D13" s="3"/>
      <c r="E13" s="3"/>
      <c r="F13" s="9"/>
      <c r="G13" s="3"/>
    </row>
    <row r="14" spans="1:7" x14ac:dyDescent="0.25">
      <c r="A14" s="48"/>
      <c r="B14" s="46"/>
      <c r="C14" s="17" t="s">
        <v>5</v>
      </c>
      <c r="D14" s="3"/>
      <c r="E14" s="3"/>
      <c r="F14" s="9"/>
      <c r="G14" s="3"/>
    </row>
    <row r="15" spans="1:7" x14ac:dyDescent="0.25">
      <c r="A15" s="48" t="s">
        <v>10</v>
      </c>
      <c r="B15" s="45">
        <v>7</v>
      </c>
      <c r="C15" s="17" t="s">
        <v>39</v>
      </c>
      <c r="D15" s="3"/>
      <c r="E15" s="3"/>
      <c r="F15" s="9"/>
      <c r="G15" s="3"/>
    </row>
    <row r="16" spans="1:7" x14ac:dyDescent="0.25">
      <c r="A16" s="48"/>
      <c r="B16" s="46"/>
      <c r="C16" s="17" t="s">
        <v>5</v>
      </c>
      <c r="D16" s="3"/>
      <c r="E16" s="3"/>
      <c r="F16" s="9"/>
      <c r="G16" s="3"/>
    </row>
    <row r="17" spans="1:7" x14ac:dyDescent="0.25">
      <c r="A17" s="48" t="s">
        <v>11</v>
      </c>
      <c r="B17" s="45">
        <v>8</v>
      </c>
      <c r="C17" s="17" t="s">
        <v>39</v>
      </c>
      <c r="D17" s="3"/>
      <c r="E17" s="3"/>
      <c r="F17" s="9"/>
      <c r="G17" s="3"/>
    </row>
    <row r="18" spans="1:7" x14ac:dyDescent="0.25">
      <c r="A18" s="48"/>
      <c r="B18" s="46"/>
      <c r="C18" s="17" t="s">
        <v>5</v>
      </c>
      <c r="D18" s="3"/>
      <c r="E18" s="3"/>
      <c r="F18" s="9"/>
      <c r="G18" s="3"/>
    </row>
    <row r="19" spans="1:7" x14ac:dyDescent="0.25">
      <c r="A19" s="63" t="s">
        <v>33</v>
      </c>
      <c r="B19" s="65" t="s">
        <v>19</v>
      </c>
      <c r="C19" s="65"/>
      <c r="D19" s="3"/>
      <c r="E19" s="3">
        <f>SUM(E3:E18)</f>
        <v>0</v>
      </c>
      <c r="F19" s="3">
        <f>SUM(F3:F18)</f>
        <v>0</v>
      </c>
      <c r="G19" s="16"/>
    </row>
    <row r="20" spans="1:7" x14ac:dyDescent="0.25">
      <c r="A20" s="64"/>
      <c r="B20" s="16"/>
      <c r="C20" s="16"/>
      <c r="D20" s="16"/>
      <c r="E20" s="16"/>
      <c r="F20" s="16"/>
      <c r="G20" s="16"/>
    </row>
  </sheetData>
  <mergeCells count="19">
    <mergeCell ref="A11:A12"/>
    <mergeCell ref="A1:G1"/>
    <mergeCell ref="A3:A4"/>
    <mergeCell ref="A5:A6"/>
    <mergeCell ref="A7:A8"/>
    <mergeCell ref="A9:A10"/>
    <mergeCell ref="B3:B4"/>
    <mergeCell ref="B5:B6"/>
    <mergeCell ref="B7:B8"/>
    <mergeCell ref="B9:B10"/>
    <mergeCell ref="B11:B12"/>
    <mergeCell ref="B17:B18"/>
    <mergeCell ref="A19:A20"/>
    <mergeCell ref="B19:C19"/>
    <mergeCell ref="A13:A14"/>
    <mergeCell ref="A15:A16"/>
    <mergeCell ref="A17:A18"/>
    <mergeCell ref="B13:B14"/>
    <mergeCell ref="B15:B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Mendes</dc:creator>
  <cp:lastModifiedBy>Lucas L. C. Ribas</cp:lastModifiedBy>
  <dcterms:created xsi:type="dcterms:W3CDTF">2019-09-16T13:30:23Z</dcterms:created>
  <dcterms:modified xsi:type="dcterms:W3CDTF">2019-09-18T13:48:47Z</dcterms:modified>
</cp:coreProperties>
</file>