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16815" windowHeight="7020" activeTab="2"/>
  </bookViews>
  <sheets>
    <sheet name="Sheet1" sheetId="1" r:id="rId1"/>
    <sheet name="Planilha1" sheetId="2" r:id="rId2"/>
    <sheet name="Entrega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L7" i="3" l="1"/>
  <c r="L5" i="3"/>
  <c r="L4" i="3"/>
  <c r="C20" i="3"/>
  <c r="B20" i="3"/>
  <c r="J7" i="3"/>
  <c r="J5" i="3"/>
  <c r="J4" i="3"/>
  <c r="I16" i="3"/>
  <c r="H4" i="3"/>
  <c r="G5" i="3"/>
  <c r="H5" i="3"/>
  <c r="H12" i="3"/>
  <c r="H14" i="3"/>
  <c r="H16" i="3"/>
  <c r="H10" i="3"/>
  <c r="H9" i="3"/>
  <c r="H7" i="3"/>
  <c r="I14" i="3"/>
  <c r="I12" i="3"/>
  <c r="I10" i="3"/>
  <c r="I9" i="3"/>
  <c r="G16" i="3"/>
  <c r="G14" i="3"/>
  <c r="G12" i="3"/>
  <c r="G10" i="3"/>
  <c r="G9" i="3"/>
  <c r="I7" i="3"/>
  <c r="G7" i="3"/>
  <c r="D6" i="3"/>
  <c r="I5" i="3"/>
  <c r="BN15" i="2" l="1"/>
  <c r="AT75" i="2"/>
  <c r="AK76" i="2"/>
  <c r="Y15" i="2"/>
  <c r="L15" i="2"/>
  <c r="AZ70" i="2"/>
  <c r="AY70" i="2"/>
  <c r="BS16" i="2"/>
  <c r="BS17" i="2"/>
  <c r="BS18" i="2"/>
  <c r="BS15" i="2"/>
  <c r="AT71" i="2"/>
  <c r="BY73" i="2"/>
  <c r="BU16" i="2" l="1"/>
  <c r="CF97" i="2" l="1"/>
  <c r="CF105" i="2"/>
  <c r="CF106" i="2"/>
  <c r="CF104" i="2"/>
  <c r="CF102" i="2"/>
  <c r="CF98" i="2"/>
  <c r="CF99" i="2"/>
  <c r="CF93" i="2"/>
  <c r="CF94" i="2"/>
  <c r="CF95" i="2"/>
  <c r="CF92" i="2"/>
  <c r="CF81" i="2"/>
  <c r="CF82" i="2"/>
  <c r="CF83" i="2"/>
  <c r="CF80" i="2"/>
  <c r="CG93" i="2" l="1"/>
  <c r="CH93" i="2" s="1"/>
  <c r="CG94" i="2"/>
  <c r="CH94" i="2" s="1"/>
  <c r="CG95" i="2"/>
  <c r="CH95" i="2" s="1"/>
  <c r="CG92" i="2"/>
  <c r="CH92" i="2" s="1"/>
  <c r="CE93" i="2"/>
  <c r="CE95" i="2"/>
  <c r="CH79" i="2"/>
  <c r="CG80" i="2"/>
  <c r="CH80" i="2" s="1"/>
  <c r="CG81" i="2"/>
  <c r="CH81" i="2" s="1"/>
  <c r="CG82" i="2"/>
  <c r="CH82" i="2" s="1"/>
  <c r="CG83" i="2"/>
  <c r="CH83" i="2" s="1"/>
  <c r="CG79" i="2"/>
  <c r="CH86" i="2"/>
  <c r="CH88" i="2"/>
  <c r="CH89" i="2"/>
  <c r="CH90" i="2"/>
  <c r="CH85" i="2"/>
  <c r="CG86" i="2"/>
  <c r="CG88" i="2"/>
  <c r="CG89" i="2"/>
  <c r="CG90" i="2"/>
  <c r="CG85" i="2"/>
  <c r="CE86" i="2"/>
  <c r="CE88" i="2"/>
  <c r="CE89" i="2"/>
  <c r="CE90" i="2"/>
  <c r="CE85" i="2"/>
  <c r="CG98" i="2"/>
  <c r="CH98" i="2" s="1"/>
  <c r="CG99" i="2"/>
  <c r="CH99" i="2" s="1"/>
  <c r="CG97" i="2"/>
  <c r="CH97" i="2" s="1"/>
  <c r="CE98" i="2"/>
  <c r="CE99" i="2"/>
  <c r="CE97" i="2"/>
  <c r="CH106" i="2"/>
  <c r="CG105" i="2"/>
  <c r="CH105" i="2" s="1"/>
  <c r="CG106" i="2"/>
  <c r="CG104" i="2"/>
  <c r="CH104" i="2" s="1"/>
  <c r="CH101" i="2"/>
  <c r="CG102" i="2"/>
  <c r="CH102" i="2" s="1"/>
  <c r="CG101" i="2"/>
  <c r="CE105" i="2"/>
  <c r="CE106" i="2"/>
  <c r="CE104" i="2"/>
  <c r="CE101" i="2"/>
  <c r="BQ95" i="2"/>
  <c r="BR95" i="2"/>
  <c r="BS95" i="2"/>
  <c r="BQ94" i="2"/>
  <c r="BR94" i="2"/>
  <c r="BS94" i="2"/>
  <c r="BQ93" i="2"/>
  <c r="BR93" i="2"/>
  <c r="BS93" i="2"/>
  <c r="BP95" i="2"/>
  <c r="BP94" i="2"/>
  <c r="BP93" i="2"/>
  <c r="BP92" i="2"/>
  <c r="BQ92" i="2"/>
  <c r="BR92" i="2"/>
  <c r="BS92" i="2"/>
  <c r="CE81" i="2"/>
  <c r="CE82" i="2"/>
  <c r="CE83" i="2"/>
  <c r="CD95" i="2"/>
  <c r="CD94" i="2"/>
  <c r="CE94" i="2" s="1"/>
  <c r="CD93" i="2"/>
  <c r="CD92" i="2"/>
  <c r="CC105" i="2"/>
  <c r="CC106" i="2"/>
  <c r="CC104" i="2"/>
  <c r="CC102" i="2"/>
  <c r="CC101" i="2"/>
  <c r="CC98" i="2"/>
  <c r="CC99" i="2"/>
  <c r="CC97" i="2"/>
  <c r="CC93" i="2"/>
  <c r="CC94" i="2"/>
  <c r="CC95" i="2"/>
  <c r="CC92" i="2"/>
  <c r="CE92" i="2" s="1"/>
  <c r="CC86" i="2"/>
  <c r="CC87" i="2"/>
  <c r="CC88" i="2"/>
  <c r="CC89" i="2"/>
  <c r="CC90" i="2"/>
  <c r="CC85" i="2"/>
  <c r="CC80" i="2"/>
  <c r="CC81" i="2"/>
  <c r="CC82" i="2"/>
  <c r="CC83" i="2"/>
  <c r="CC79" i="2"/>
  <c r="CE79" i="2" s="1"/>
  <c r="CC72" i="2"/>
  <c r="CE72" i="2" s="1"/>
  <c r="CC73" i="2"/>
  <c r="CE73" i="2" s="1"/>
  <c r="CC74" i="2"/>
  <c r="CE74" i="2" s="1"/>
  <c r="CC75" i="2"/>
  <c r="CE75" i="2" s="1"/>
  <c r="CC76" i="2"/>
  <c r="CE76" i="2" s="1"/>
  <c r="CC77" i="2"/>
  <c r="CE77" i="2" s="1"/>
  <c r="CC71" i="2"/>
  <c r="BU15" i="2"/>
  <c r="AY96" i="2"/>
  <c r="AW87" i="2"/>
  <c r="BB91" i="2"/>
  <c r="BA91" i="2" s="1"/>
  <c r="BA90" i="2"/>
  <c r="BB90" i="2"/>
  <c r="BB89" i="2"/>
  <c r="BA89" i="2" s="1"/>
  <c r="BB88" i="2"/>
  <c r="BA88" i="2"/>
  <c r="O192" i="2"/>
  <c r="O193" i="2"/>
  <c r="O194" i="2"/>
  <c r="O191" i="2"/>
  <c r="N194" i="2"/>
  <c r="N193" i="2"/>
  <c r="N192" i="2"/>
  <c r="N191" i="2"/>
  <c r="BC87" i="2" l="1"/>
  <c r="BC88" i="2"/>
  <c r="BC89" i="2"/>
  <c r="BC90" i="2"/>
  <c r="BD90" i="2" s="1"/>
  <c r="BC91" i="2"/>
  <c r="AZ89" i="2"/>
  <c r="AY87" i="2"/>
  <c r="AY88" i="2"/>
  <c r="AY89" i="2"/>
  <c r="AY90" i="2"/>
  <c r="AY91" i="2"/>
  <c r="AT72" i="2"/>
  <c r="AW72" i="2"/>
  <c r="AW71" i="2"/>
  <c r="AU77" i="2"/>
  <c r="AV77" i="2"/>
  <c r="AW77" i="2"/>
  <c r="AT77" i="2"/>
  <c r="AU70" i="2"/>
  <c r="AV70" i="2"/>
  <c r="AW70" i="2"/>
  <c r="AT70" i="2"/>
  <c r="AT76" i="2"/>
  <c r="AU76" i="2"/>
  <c r="AV76" i="2"/>
  <c r="AW76" i="2"/>
  <c r="AU74" i="2"/>
  <c r="AV74" i="2"/>
  <c r="AW74" i="2"/>
  <c r="AT74" i="2"/>
  <c r="BZ106" i="2"/>
  <c r="CA106" i="2"/>
  <c r="CB106" i="2"/>
  <c r="BZ105" i="2"/>
  <c r="CA105" i="2"/>
  <c r="CB105" i="2"/>
  <c r="BZ104" i="2"/>
  <c r="CA104" i="2"/>
  <c r="CB104" i="2"/>
  <c r="BY106" i="2"/>
  <c r="BY105" i="2"/>
  <c r="BY104" i="2"/>
  <c r="BZ102" i="2"/>
  <c r="CA102" i="2"/>
  <c r="CB102" i="2"/>
  <c r="BZ101" i="2"/>
  <c r="CA101" i="2"/>
  <c r="CB101" i="2"/>
  <c r="BY102" i="2"/>
  <c r="BY101" i="2"/>
  <c r="BZ99" i="2"/>
  <c r="CA99" i="2"/>
  <c r="CB99" i="2"/>
  <c r="BZ98" i="2"/>
  <c r="CA98" i="2"/>
  <c r="CB98" i="2"/>
  <c r="BZ97" i="2"/>
  <c r="CA97" i="2"/>
  <c r="CB97" i="2"/>
  <c r="BY99" i="2"/>
  <c r="BY98" i="2"/>
  <c r="BY97" i="2"/>
  <c r="BZ95" i="2"/>
  <c r="CA95" i="2"/>
  <c r="CB95" i="2"/>
  <c r="BZ93" i="2"/>
  <c r="CA93" i="2"/>
  <c r="CB93" i="2"/>
  <c r="BZ94" i="2"/>
  <c r="CA94" i="2"/>
  <c r="CB94" i="2"/>
  <c r="BZ92" i="2"/>
  <c r="CA92" i="2"/>
  <c r="CB92" i="2"/>
  <c r="BY95" i="2"/>
  <c r="BY94" i="2"/>
  <c r="BY93" i="2"/>
  <c r="BY92" i="2"/>
  <c r="BZ85" i="2"/>
  <c r="CA85" i="2"/>
  <c r="CB85" i="2"/>
  <c r="BZ86" i="2"/>
  <c r="CA86" i="2"/>
  <c r="CB86" i="2"/>
  <c r="BZ87" i="2"/>
  <c r="CA87" i="2"/>
  <c r="CB87" i="2"/>
  <c r="BZ88" i="2"/>
  <c r="CA88" i="2"/>
  <c r="CB88" i="2"/>
  <c r="BZ89" i="2"/>
  <c r="CA89" i="2"/>
  <c r="CB89" i="2"/>
  <c r="BZ90" i="2"/>
  <c r="CA90" i="2"/>
  <c r="CB90" i="2"/>
  <c r="BY90" i="2"/>
  <c r="BY89" i="2"/>
  <c r="BY88" i="2"/>
  <c r="BY87" i="2"/>
  <c r="BY86" i="2"/>
  <c r="BY85" i="2"/>
  <c r="BZ83" i="2"/>
  <c r="CA83" i="2"/>
  <c r="CB83" i="2"/>
  <c r="BZ82" i="2"/>
  <c r="CA82" i="2"/>
  <c r="CB82" i="2"/>
  <c r="BZ81" i="2"/>
  <c r="CA81" i="2"/>
  <c r="CB81" i="2"/>
  <c r="BZ80" i="2"/>
  <c r="CA80" i="2"/>
  <c r="CB80" i="2"/>
  <c r="BY83" i="2"/>
  <c r="BY82" i="2"/>
  <c r="BY81" i="2"/>
  <c r="BY80" i="2"/>
  <c r="BZ79" i="2"/>
  <c r="CA79" i="2"/>
  <c r="CB79" i="2"/>
  <c r="BY79" i="2"/>
  <c r="BZ77" i="2"/>
  <c r="CA77" i="2"/>
  <c r="CB77" i="2"/>
  <c r="BY77" i="2"/>
  <c r="BZ76" i="2"/>
  <c r="CA76" i="2"/>
  <c r="CB76" i="2"/>
  <c r="BY76" i="2"/>
  <c r="BZ75" i="2"/>
  <c r="CA75" i="2"/>
  <c r="CB75" i="2"/>
  <c r="BY75" i="2"/>
  <c r="BZ74" i="2"/>
  <c r="CA74" i="2"/>
  <c r="CB74" i="2"/>
  <c r="BY74" i="2"/>
  <c r="BZ73" i="2"/>
  <c r="CA73" i="2"/>
  <c r="CB73" i="2"/>
  <c r="BZ72" i="2"/>
  <c r="CA72" i="2"/>
  <c r="CB72" i="2"/>
  <c r="BY72" i="2"/>
  <c r="BY71" i="2"/>
  <c r="AU99" i="2"/>
  <c r="AV99" i="2"/>
  <c r="AW99" i="2"/>
  <c r="AT99" i="2"/>
  <c r="AU98" i="2"/>
  <c r="AV98" i="2"/>
  <c r="AW98" i="2"/>
  <c r="AT98" i="2"/>
  <c r="AU97" i="2"/>
  <c r="AV97" i="2"/>
  <c r="AW97" i="2"/>
  <c r="AT97" i="2"/>
  <c r="AU96" i="2"/>
  <c r="AV96" i="2"/>
  <c r="AW96" i="2"/>
  <c r="AT96" i="2"/>
  <c r="AU95" i="2"/>
  <c r="AV95" i="2"/>
  <c r="AW95" i="2"/>
  <c r="AT95" i="2"/>
  <c r="AU94" i="2"/>
  <c r="AV94" i="2"/>
  <c r="AW94" i="2"/>
  <c r="AT94" i="2"/>
  <c r="AU93" i="2"/>
  <c r="AV93" i="2"/>
  <c r="AW93" i="2"/>
  <c r="AT93" i="2"/>
  <c r="AU92" i="2"/>
  <c r="AV92" i="2"/>
  <c r="AW92" i="2"/>
  <c r="AT92" i="2"/>
  <c r="AU91" i="2"/>
  <c r="AV91" i="2"/>
  <c r="AW91" i="2"/>
  <c r="AT91" i="2"/>
  <c r="AU90" i="2"/>
  <c r="AV90" i="2"/>
  <c r="AW90" i="2"/>
  <c r="AT90" i="2"/>
  <c r="AU89" i="2"/>
  <c r="AV89" i="2"/>
  <c r="AW89" i="2"/>
  <c r="AT89" i="2"/>
  <c r="AU88" i="2"/>
  <c r="AV88" i="2"/>
  <c r="AW88" i="2"/>
  <c r="AT88" i="2"/>
  <c r="AT87" i="2"/>
  <c r="AV85" i="2"/>
  <c r="AU87" i="2"/>
  <c r="AV87" i="2"/>
  <c r="AU86" i="2"/>
  <c r="AV86" i="2"/>
  <c r="AW86" i="2"/>
  <c r="AT86" i="2"/>
  <c r="AU85" i="2"/>
  <c r="AW85" i="2"/>
  <c r="AT85" i="2"/>
  <c r="AU84" i="2"/>
  <c r="AV84" i="2"/>
  <c r="AW84" i="2"/>
  <c r="AT84" i="2"/>
  <c r="AU83" i="2"/>
  <c r="AV83" i="2"/>
  <c r="AW83" i="2"/>
  <c r="AT83" i="2"/>
  <c r="AU82" i="2"/>
  <c r="AV82" i="2"/>
  <c r="AW82" i="2"/>
  <c r="AT82" i="2"/>
  <c r="AT80" i="2"/>
  <c r="AT81" i="2"/>
  <c r="AU81" i="2"/>
  <c r="AV81" i="2"/>
  <c r="AW81" i="2"/>
  <c r="AU80" i="2"/>
  <c r="AV80" i="2"/>
  <c r="AW80" i="2"/>
  <c r="AU79" i="2"/>
  <c r="AV79" i="2"/>
  <c r="AW79" i="2"/>
  <c r="AT79" i="2"/>
  <c r="AU78" i="2"/>
  <c r="AV78" i="2"/>
  <c r="AW78" i="2"/>
  <c r="AT78" i="2"/>
  <c r="AW73" i="2"/>
  <c r="AW75" i="2"/>
  <c r="AV72" i="2"/>
  <c r="AV73" i="2"/>
  <c r="AV75" i="2"/>
  <c r="AV71" i="2"/>
  <c r="AU71" i="2"/>
  <c r="AU72" i="2"/>
  <c r="AU73" i="2"/>
  <c r="AU75" i="2"/>
  <c r="AT73" i="2"/>
  <c r="CD71" i="2"/>
  <c r="CE71" i="2" s="1"/>
  <c r="BD88" i="2"/>
  <c r="BD89" i="2"/>
  <c r="BD91" i="2"/>
  <c r="AY99" i="2"/>
  <c r="AX99" i="2"/>
  <c r="AN99" i="2"/>
  <c r="AM99" i="2"/>
  <c r="AL99" i="2"/>
  <c r="AK99" i="2"/>
  <c r="AY98" i="2"/>
  <c r="AX98" i="2"/>
  <c r="AN98" i="2"/>
  <c r="AM98" i="2"/>
  <c r="AL98" i="2"/>
  <c r="AK98" i="2"/>
  <c r="AY97" i="2"/>
  <c r="AX97" i="2"/>
  <c r="AN97" i="2"/>
  <c r="AM97" i="2"/>
  <c r="AL97" i="2"/>
  <c r="AK97" i="2"/>
  <c r="AX70" i="2"/>
  <c r="BZ71" i="2"/>
  <c r="CA71" i="2"/>
  <c r="CB71" i="2"/>
  <c r="BQ106" i="2"/>
  <c r="BR106" i="2"/>
  <c r="BS106" i="2"/>
  <c r="BP106" i="2"/>
  <c r="BQ105" i="2"/>
  <c r="BR105" i="2"/>
  <c r="BS105" i="2"/>
  <c r="BP105" i="2"/>
  <c r="BQ104" i="2"/>
  <c r="BR104" i="2"/>
  <c r="BS104" i="2"/>
  <c r="BP104" i="2"/>
  <c r="BQ102" i="2"/>
  <c r="BR102" i="2"/>
  <c r="BS102" i="2"/>
  <c r="BP102" i="2"/>
  <c r="BQ101" i="2"/>
  <c r="BR101" i="2"/>
  <c r="BS101" i="2"/>
  <c r="BP101" i="2"/>
  <c r="BQ99" i="2"/>
  <c r="BR99" i="2"/>
  <c r="BS99" i="2"/>
  <c r="BQ98" i="2"/>
  <c r="BR98" i="2"/>
  <c r="BS98" i="2"/>
  <c r="BP99" i="2"/>
  <c r="BP98" i="2"/>
  <c r="BQ97" i="2"/>
  <c r="BR97" i="2"/>
  <c r="BS97" i="2"/>
  <c r="BP97" i="2"/>
  <c r="BQ71" i="2"/>
  <c r="BR71" i="2"/>
  <c r="BS71" i="2"/>
  <c r="BP71" i="2"/>
  <c r="BQ86" i="2"/>
  <c r="BR86" i="2"/>
  <c r="BS86" i="2"/>
  <c r="BQ87" i="2"/>
  <c r="BR87" i="2"/>
  <c r="BS87" i="2"/>
  <c r="BQ88" i="2"/>
  <c r="BR88" i="2"/>
  <c r="BS88" i="2"/>
  <c r="BQ89" i="2"/>
  <c r="BR89" i="2"/>
  <c r="BS89" i="2"/>
  <c r="BQ90" i="2"/>
  <c r="BR90" i="2"/>
  <c r="BS90" i="2"/>
  <c r="BP90" i="2"/>
  <c r="BP89" i="2"/>
  <c r="BP88" i="2"/>
  <c r="BP87" i="2"/>
  <c r="BP86" i="2"/>
  <c r="BQ85" i="2"/>
  <c r="BR85" i="2"/>
  <c r="BS85" i="2"/>
  <c r="BP85" i="2"/>
  <c r="BQ83" i="2"/>
  <c r="BR83" i="2"/>
  <c r="BS83" i="2"/>
  <c r="BP83" i="2"/>
  <c r="BQ82" i="2"/>
  <c r="BR82" i="2"/>
  <c r="BS82" i="2"/>
  <c r="BP82" i="2"/>
  <c r="BQ81" i="2"/>
  <c r="BR81" i="2"/>
  <c r="BS81" i="2"/>
  <c r="BP81" i="2"/>
  <c r="BQ80" i="2"/>
  <c r="BR80" i="2"/>
  <c r="BS80" i="2"/>
  <c r="BP80" i="2"/>
  <c r="BQ79" i="2"/>
  <c r="BR79" i="2"/>
  <c r="BS79" i="2"/>
  <c r="BP79" i="2"/>
  <c r="BS75" i="2"/>
  <c r="BS76" i="2"/>
  <c r="BS77" i="2"/>
  <c r="BQ77" i="2"/>
  <c r="BR77" i="2"/>
  <c r="BQ76" i="2"/>
  <c r="BR76" i="2"/>
  <c r="BQ75" i="2"/>
  <c r="BR75" i="2"/>
  <c r="BQ74" i="2"/>
  <c r="BR74" i="2"/>
  <c r="BS74" i="2"/>
  <c r="BQ73" i="2"/>
  <c r="BR73" i="2"/>
  <c r="BS73" i="2"/>
  <c r="BQ72" i="2"/>
  <c r="BR72" i="2"/>
  <c r="BS72" i="2"/>
  <c r="BP77" i="2"/>
  <c r="BP76" i="2"/>
  <c r="BP75" i="2"/>
  <c r="BP74" i="2"/>
  <c r="BP72" i="2"/>
  <c r="BP73" i="2"/>
  <c r="Q95" i="2"/>
  <c r="R95" i="2" s="1"/>
  <c r="S95" i="2" s="1"/>
  <c r="T95" i="2" s="1"/>
  <c r="Q96" i="2"/>
  <c r="R96" i="2" s="1"/>
  <c r="S96" i="2" s="1"/>
  <c r="T96" i="2" s="1"/>
  <c r="Q97" i="2"/>
  <c r="R97" i="2" s="1"/>
  <c r="S97" i="2" s="1"/>
  <c r="T97" i="2" s="1"/>
  <c r="Q98" i="2"/>
  <c r="R98" i="2" s="1"/>
  <c r="S98" i="2" s="1"/>
  <c r="T98" i="2" s="1"/>
  <c r="Q99" i="2"/>
  <c r="R99" i="2" s="1"/>
  <c r="S99" i="2" s="1"/>
  <c r="T99" i="2" s="1"/>
  <c r="Q100" i="2"/>
  <c r="R100" i="2" s="1"/>
  <c r="S100" i="2" s="1"/>
  <c r="T100" i="2" s="1"/>
  <c r="Q101" i="2"/>
  <c r="R101" i="2" s="1"/>
  <c r="S101" i="2" s="1"/>
  <c r="T101" i="2" s="1"/>
  <c r="Q102" i="2"/>
  <c r="R102" i="2" s="1"/>
  <c r="S102" i="2" s="1"/>
  <c r="T102" i="2" s="1"/>
  <c r="Q103" i="2"/>
  <c r="R103" i="2" s="1"/>
  <c r="S103" i="2" s="1"/>
  <c r="T103" i="2" s="1"/>
  <c r="Q104" i="2"/>
  <c r="R104" i="2" s="1"/>
  <c r="S104" i="2" s="1"/>
  <c r="T104" i="2" s="1"/>
  <c r="Q105" i="2"/>
  <c r="R105" i="2" s="1"/>
  <c r="S105" i="2" s="1"/>
  <c r="T105" i="2" s="1"/>
  <c r="Q106" i="2"/>
  <c r="R106" i="2" s="1"/>
  <c r="S106" i="2" s="1"/>
  <c r="T106" i="2" s="1"/>
  <c r="Q107" i="2"/>
  <c r="R107" i="2" s="1"/>
  <c r="S107" i="2" s="1"/>
  <c r="T107" i="2" s="1"/>
  <c r="Q108" i="2"/>
  <c r="R108" i="2" s="1"/>
  <c r="S108" i="2" s="1"/>
  <c r="T108" i="2" s="1"/>
  <c r="V108" i="2" s="1"/>
  <c r="Q109" i="2"/>
  <c r="R109" i="2" s="1"/>
  <c r="S109" i="2" s="1"/>
  <c r="T109" i="2" s="1"/>
  <c r="Q110" i="2"/>
  <c r="R110" i="2" s="1"/>
  <c r="S110" i="2" s="1"/>
  <c r="T110" i="2" s="1"/>
  <c r="V110" i="2" s="1"/>
  <c r="Q111" i="2"/>
  <c r="R111" i="2" s="1"/>
  <c r="S111" i="2" s="1"/>
  <c r="T111" i="2" s="1"/>
  <c r="Q112" i="2"/>
  <c r="R112" i="2" s="1"/>
  <c r="S112" i="2" s="1"/>
  <c r="T112" i="2" s="1"/>
  <c r="V112" i="2" s="1"/>
  <c r="Q113" i="2"/>
  <c r="R113" i="2" s="1"/>
  <c r="S113" i="2" s="1"/>
  <c r="T113" i="2" s="1"/>
  <c r="Q114" i="2"/>
  <c r="R114" i="2" s="1"/>
  <c r="S114" i="2" s="1"/>
  <c r="T114" i="2" s="1"/>
  <c r="V114" i="2" s="1"/>
  <c r="Q115" i="2"/>
  <c r="R115" i="2" s="1"/>
  <c r="S115" i="2" s="1"/>
  <c r="T115" i="2" s="1"/>
  <c r="Q116" i="2"/>
  <c r="R116" i="2" s="1"/>
  <c r="S116" i="2" s="1"/>
  <c r="T116" i="2" s="1"/>
  <c r="V116" i="2" s="1"/>
  <c r="Q117" i="2"/>
  <c r="R117" i="2" s="1"/>
  <c r="S117" i="2" s="1"/>
  <c r="T117" i="2" s="1"/>
  <c r="Q118" i="2"/>
  <c r="R118" i="2" s="1"/>
  <c r="S118" i="2" s="1"/>
  <c r="T118" i="2" s="1"/>
  <c r="V118" i="2" s="1"/>
  <c r="Q119" i="2"/>
  <c r="R119" i="2" s="1"/>
  <c r="S119" i="2" s="1"/>
  <c r="T119" i="2" s="1"/>
  <c r="Q120" i="2"/>
  <c r="R120" i="2" s="1"/>
  <c r="S120" i="2" s="1"/>
  <c r="T120" i="2" s="1"/>
  <c r="V120" i="2" s="1"/>
  <c r="Q121" i="2"/>
  <c r="R121" i="2" s="1"/>
  <c r="S121" i="2" s="1"/>
  <c r="T121" i="2" s="1"/>
  <c r="Q122" i="2"/>
  <c r="R122" i="2" s="1"/>
  <c r="S122" i="2" s="1"/>
  <c r="T122" i="2" s="1"/>
  <c r="V122" i="2" s="1"/>
  <c r="Q123" i="2"/>
  <c r="R123" i="2" s="1"/>
  <c r="S123" i="2" s="1"/>
  <c r="T123" i="2" s="1"/>
  <c r="Q124" i="2"/>
  <c r="R124" i="2" s="1"/>
  <c r="S124" i="2" s="1"/>
  <c r="T124" i="2" s="1"/>
  <c r="V124" i="2" s="1"/>
  <c r="Q125" i="2"/>
  <c r="R125" i="2" s="1"/>
  <c r="S125" i="2" s="1"/>
  <c r="T125" i="2" s="1"/>
  <c r="Q126" i="2"/>
  <c r="R126" i="2" s="1"/>
  <c r="S126" i="2" s="1"/>
  <c r="T126" i="2" s="1"/>
  <c r="V126" i="2" s="1"/>
  <c r="Q127" i="2"/>
  <c r="R127" i="2" s="1"/>
  <c r="S127" i="2" s="1"/>
  <c r="T127" i="2" s="1"/>
  <c r="Q128" i="2"/>
  <c r="R128" i="2" s="1"/>
  <c r="S128" i="2" s="1"/>
  <c r="T128" i="2" s="1"/>
  <c r="V128" i="2" s="1"/>
  <c r="Q129" i="2"/>
  <c r="R129" i="2" s="1"/>
  <c r="S129" i="2" s="1"/>
  <c r="T129" i="2" s="1"/>
  <c r="Q130" i="2"/>
  <c r="R130" i="2" s="1"/>
  <c r="S130" i="2" s="1"/>
  <c r="T130" i="2" s="1"/>
  <c r="V130" i="2" s="1"/>
  <c r="Q131" i="2"/>
  <c r="R131" i="2" s="1"/>
  <c r="S131" i="2" s="1"/>
  <c r="T131" i="2" s="1"/>
  <c r="Q132" i="2"/>
  <c r="R132" i="2" s="1"/>
  <c r="S132" i="2" s="1"/>
  <c r="T132" i="2" s="1"/>
  <c r="V132" i="2" s="1"/>
  <c r="Q133" i="2"/>
  <c r="R133" i="2" s="1"/>
  <c r="S133" i="2" s="1"/>
  <c r="T133" i="2" s="1"/>
  <c r="Q134" i="2"/>
  <c r="R134" i="2" s="1"/>
  <c r="S134" i="2" s="1"/>
  <c r="T134" i="2" s="1"/>
  <c r="V134" i="2" s="1"/>
  <c r="Q135" i="2"/>
  <c r="R135" i="2" s="1"/>
  <c r="S135" i="2" s="1"/>
  <c r="T135" i="2" s="1"/>
  <c r="Q136" i="2"/>
  <c r="R136" i="2" s="1"/>
  <c r="S136" i="2" s="1"/>
  <c r="T136" i="2" s="1"/>
  <c r="V136" i="2" s="1"/>
  <c r="Q137" i="2"/>
  <c r="R137" i="2" s="1"/>
  <c r="S137" i="2" s="1"/>
  <c r="T137" i="2" s="1"/>
  <c r="Q138" i="2"/>
  <c r="R138" i="2" s="1"/>
  <c r="S138" i="2" s="1"/>
  <c r="T138" i="2" s="1"/>
  <c r="V138" i="2" s="1"/>
  <c r="Q139" i="2"/>
  <c r="R139" i="2" s="1"/>
  <c r="S139" i="2" s="1"/>
  <c r="T139" i="2" s="1"/>
  <c r="Q140" i="2"/>
  <c r="R140" i="2" s="1"/>
  <c r="S140" i="2" s="1"/>
  <c r="T140" i="2" s="1"/>
  <c r="V140" i="2" s="1"/>
  <c r="Q141" i="2"/>
  <c r="R141" i="2" s="1"/>
  <c r="S141" i="2" s="1"/>
  <c r="T141" i="2" s="1"/>
  <c r="Q142" i="2"/>
  <c r="R142" i="2" s="1"/>
  <c r="S142" i="2" s="1"/>
  <c r="T142" i="2" s="1"/>
  <c r="V142" i="2" s="1"/>
  <c r="Q143" i="2"/>
  <c r="R143" i="2" s="1"/>
  <c r="S143" i="2" s="1"/>
  <c r="T143" i="2" s="1"/>
  <c r="Q144" i="2"/>
  <c r="R144" i="2" s="1"/>
  <c r="S144" i="2" s="1"/>
  <c r="T144" i="2" s="1"/>
  <c r="V144" i="2" s="1"/>
  <c r="Q145" i="2"/>
  <c r="R145" i="2" s="1"/>
  <c r="S145" i="2" s="1"/>
  <c r="T145" i="2" s="1"/>
  <c r="AZ97" i="2" l="1"/>
  <c r="AZ99" i="2"/>
  <c r="AZ98" i="2"/>
  <c r="V106" i="2"/>
  <c r="W106" i="2" s="1"/>
  <c r="W142" i="2"/>
  <c r="W138" i="2"/>
  <c r="W134" i="2"/>
  <c r="W130" i="2"/>
  <c r="W126" i="2"/>
  <c r="W122" i="2"/>
  <c r="W118" i="2"/>
  <c r="W114" i="2"/>
  <c r="V107" i="2"/>
  <c r="W107" i="2" s="1"/>
  <c r="V145" i="2"/>
  <c r="W145" i="2"/>
  <c r="V137" i="2"/>
  <c r="W137" i="2" s="1"/>
  <c r="V129" i="2"/>
  <c r="W129" i="2"/>
  <c r="V117" i="2"/>
  <c r="W117" i="2" s="1"/>
  <c r="V105" i="2"/>
  <c r="W105" i="2" s="1"/>
  <c r="V133" i="2"/>
  <c r="W133" i="2" s="1"/>
  <c r="V121" i="2"/>
  <c r="W121" i="2" s="1"/>
  <c r="V141" i="2"/>
  <c r="W141" i="2" s="1"/>
  <c r="V125" i="2"/>
  <c r="W125" i="2"/>
  <c r="V113" i="2"/>
  <c r="W113" i="2" s="1"/>
  <c r="V143" i="2"/>
  <c r="W143" i="2"/>
  <c r="V135" i="2"/>
  <c r="W135" i="2" s="1"/>
  <c r="V111" i="2"/>
  <c r="W111" i="2" s="1"/>
  <c r="V97" i="2"/>
  <c r="W97" i="2" s="1"/>
  <c r="W144" i="2"/>
  <c r="W136" i="2"/>
  <c r="W128" i="2"/>
  <c r="W120" i="2"/>
  <c r="W112" i="2"/>
  <c r="V109" i="2"/>
  <c r="W109" i="2" s="1"/>
  <c r="V104" i="2"/>
  <c r="W104" i="2" s="1"/>
  <c r="V99" i="2"/>
  <c r="W99" i="2" s="1"/>
  <c r="V96" i="2"/>
  <c r="W96" i="2" s="1"/>
  <c r="V127" i="2"/>
  <c r="W127" i="2" s="1"/>
  <c r="V102" i="2"/>
  <c r="W102" i="2" s="1"/>
  <c r="V131" i="2"/>
  <c r="W131" i="2" s="1"/>
  <c r="V123" i="2"/>
  <c r="W123" i="2" s="1"/>
  <c r="V115" i="2"/>
  <c r="W115" i="2" s="1"/>
  <c r="W110" i="2"/>
  <c r="V101" i="2"/>
  <c r="W101" i="2" s="1"/>
  <c r="V98" i="2"/>
  <c r="W98" i="2" s="1"/>
  <c r="V119" i="2"/>
  <c r="W119" i="2" s="1"/>
  <c r="V139" i="2"/>
  <c r="W139" i="2" s="1"/>
  <c r="W140" i="2"/>
  <c r="W132" i="2"/>
  <c r="W124" i="2"/>
  <c r="W116" i="2"/>
  <c r="W108" i="2"/>
  <c r="V103" i="2"/>
  <c r="W103" i="2" s="1"/>
  <c r="V100" i="2"/>
  <c r="W100" i="2" s="1"/>
  <c r="V95" i="2"/>
  <c r="W95" i="2" s="1"/>
  <c r="BT16" i="2" l="1"/>
  <c r="BT17" i="2"/>
  <c r="BU17" i="2" s="1"/>
  <c r="BT18" i="2"/>
  <c r="BU18" i="2" s="1"/>
  <c r="BT15" i="2"/>
  <c r="AX71" i="2"/>
  <c r="AY71" i="2"/>
  <c r="CD72" i="2" s="1"/>
  <c r="AX72" i="2"/>
  <c r="AY72" i="2"/>
  <c r="CD73" i="2" s="1"/>
  <c r="AX73" i="2"/>
  <c r="AY73" i="2"/>
  <c r="CD74" i="2" s="1"/>
  <c r="AX74" i="2"/>
  <c r="AY74" i="2"/>
  <c r="CD75" i="2" s="1"/>
  <c r="AX75" i="2"/>
  <c r="AY75" i="2"/>
  <c r="CD76" i="2" s="1"/>
  <c r="AX76" i="2"/>
  <c r="AY76" i="2"/>
  <c r="CD77" i="2" s="1"/>
  <c r="AX77" i="2"/>
  <c r="AY77" i="2"/>
  <c r="CD79" i="2" s="1"/>
  <c r="AX78" i="2"/>
  <c r="AY78" i="2"/>
  <c r="CD80" i="2" s="1"/>
  <c r="CE80" i="2" s="1"/>
  <c r="AX79" i="2"/>
  <c r="AY79" i="2"/>
  <c r="CD81" i="2" s="1"/>
  <c r="AX80" i="2"/>
  <c r="AY80" i="2"/>
  <c r="CD82" i="2" s="1"/>
  <c r="AX81" i="2"/>
  <c r="AY81" i="2"/>
  <c r="CD83" i="2" s="1"/>
  <c r="AX82" i="2"/>
  <c r="AY82" i="2"/>
  <c r="CD85" i="2" s="1"/>
  <c r="AX83" i="2"/>
  <c r="AY83" i="2"/>
  <c r="CD86" i="2" s="1"/>
  <c r="AX84" i="2"/>
  <c r="AY84" i="2"/>
  <c r="CD87" i="2" s="1"/>
  <c r="CE87" i="2" s="1"/>
  <c r="AX85" i="2"/>
  <c r="AY85" i="2"/>
  <c r="CD88" i="2" s="1"/>
  <c r="AX86" i="2"/>
  <c r="AY86" i="2"/>
  <c r="CD89" i="2" s="1"/>
  <c r="AX87" i="2"/>
  <c r="AZ87" i="2" s="1"/>
  <c r="CD90" i="2"/>
  <c r="AX88" i="2"/>
  <c r="AZ88" i="2" s="1"/>
  <c r="AX89" i="2"/>
  <c r="AX90" i="2"/>
  <c r="AZ90" i="2" s="1"/>
  <c r="AX91" i="2"/>
  <c r="AZ91" i="2" s="1"/>
  <c r="AX92" i="2"/>
  <c r="AY92" i="2"/>
  <c r="CD97" i="2" s="1"/>
  <c r="AX93" i="2"/>
  <c r="AY93" i="2"/>
  <c r="CD98" i="2" s="1"/>
  <c r="AX94" i="2"/>
  <c r="AY94" i="2"/>
  <c r="CD99" i="2" s="1"/>
  <c r="AX95" i="2"/>
  <c r="AY95" i="2"/>
  <c r="AX96" i="2"/>
  <c r="BI16" i="2"/>
  <c r="AZ78" i="2" l="1"/>
  <c r="AZ95" i="2"/>
  <c r="AZ71" i="2"/>
  <c r="AZ96" i="2"/>
  <c r="AZ82" i="2"/>
  <c r="AZ77" i="2"/>
  <c r="AZ75" i="2"/>
  <c r="AZ73" i="2"/>
  <c r="AZ85" i="2"/>
  <c r="AZ83" i="2"/>
  <c r="AZ79" i="2"/>
  <c r="AZ94" i="2"/>
  <c r="AZ86" i="2"/>
  <c r="AZ74" i="2"/>
  <c r="AZ81" i="2"/>
  <c r="AZ72" i="2"/>
  <c r="AZ93" i="2"/>
  <c r="AZ84" i="2"/>
  <c r="AZ76" i="2"/>
  <c r="AZ92" i="2"/>
  <c r="AZ80" i="2"/>
  <c r="BN35" i="2" l="1"/>
  <c r="BI35" i="2"/>
  <c r="BH35" i="2"/>
  <c r="X18" i="2"/>
  <c r="W18" i="2"/>
  <c r="L18" i="2"/>
  <c r="BI15" i="2"/>
  <c r="BI17" i="2"/>
  <c r="BI18" i="2"/>
  <c r="BH21" i="2"/>
  <c r="BH20" i="2"/>
  <c r="BH19" i="2"/>
  <c r="BH18" i="2"/>
  <c r="BH17" i="2"/>
  <c r="BH16" i="2"/>
  <c r="BH15" i="2"/>
  <c r="BI21" i="2"/>
  <c r="X35" i="2"/>
  <c r="X15" i="2"/>
  <c r="X16" i="2"/>
  <c r="W35" i="2"/>
  <c r="W15" i="2"/>
  <c r="W16" i="2"/>
  <c r="X17" i="2"/>
  <c r="W17" i="2"/>
  <c r="BN16" i="2" l="1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6" i="2"/>
  <c r="BN37" i="2"/>
  <c r="BN38" i="2"/>
  <c r="BN39" i="2"/>
  <c r="BN40" i="2"/>
  <c r="BI40" i="2"/>
  <c r="BI39" i="2"/>
  <c r="BI38" i="2"/>
  <c r="BI37" i="2"/>
  <c r="BI36" i="2"/>
  <c r="BI34" i="2"/>
  <c r="BI33" i="2"/>
  <c r="BH33" i="2"/>
  <c r="BI32" i="2"/>
  <c r="BI31" i="2"/>
  <c r="BI30" i="2"/>
  <c r="BI29" i="2"/>
  <c r="BI28" i="2"/>
  <c r="BH28" i="2"/>
  <c r="BI27" i="2"/>
  <c r="BI26" i="2"/>
  <c r="BI25" i="2"/>
  <c r="BI23" i="2"/>
  <c r="BI24" i="2"/>
  <c r="BI22" i="2"/>
  <c r="BI20" i="2"/>
  <c r="BI19" i="2"/>
  <c r="BH40" i="2"/>
  <c r="BH39" i="2"/>
  <c r="BH38" i="2"/>
  <c r="BH37" i="2"/>
  <c r="BH36" i="2"/>
  <c r="BH34" i="2"/>
  <c r="BH32" i="2"/>
  <c r="BH31" i="2"/>
  <c r="BH30" i="2"/>
  <c r="BH29" i="2"/>
  <c r="BH27" i="2"/>
  <c r="BH26" i="2"/>
  <c r="BH25" i="2"/>
  <c r="BH24" i="2"/>
  <c r="BH23" i="2"/>
  <c r="BH22" i="2"/>
  <c r="X43" i="2" l="1"/>
  <c r="X42" i="2"/>
  <c r="X41" i="2"/>
  <c r="X39" i="2"/>
  <c r="X33" i="2"/>
  <c r="X37" i="2"/>
  <c r="X40" i="2"/>
  <c r="X32" i="2"/>
  <c r="X34" i="2"/>
  <c r="X44" i="2"/>
  <c r="X36" i="2"/>
  <c r="X31" i="2"/>
  <c r="X28" i="2"/>
  <c r="X27" i="2"/>
  <c r="X26" i="2"/>
  <c r="X38" i="2"/>
  <c r="X30" i="2"/>
  <c r="X29" i="2"/>
  <c r="X25" i="2"/>
  <c r="X24" i="2"/>
  <c r="X23" i="2"/>
  <c r="X22" i="2"/>
  <c r="X21" i="2"/>
  <c r="X20" i="2"/>
  <c r="X19" i="2"/>
  <c r="AK70" i="2" l="1"/>
  <c r="AL70" i="2"/>
  <c r="AM70" i="2"/>
  <c r="AN70" i="2"/>
  <c r="AK71" i="2"/>
  <c r="AL71" i="2"/>
  <c r="AM71" i="2"/>
  <c r="AN71" i="2"/>
  <c r="AK72" i="2"/>
  <c r="AL72" i="2"/>
  <c r="AM72" i="2"/>
  <c r="AN72" i="2"/>
  <c r="AK73" i="2"/>
  <c r="AL73" i="2"/>
  <c r="AM73" i="2"/>
  <c r="AN73" i="2"/>
  <c r="AK74" i="2"/>
  <c r="AL74" i="2"/>
  <c r="AM74" i="2"/>
  <c r="AN74" i="2"/>
  <c r="AK75" i="2"/>
  <c r="AL75" i="2"/>
  <c r="AM75" i="2"/>
  <c r="AN75" i="2"/>
  <c r="AL76" i="2"/>
  <c r="AM76" i="2"/>
  <c r="AN76" i="2"/>
  <c r="AL96" i="2" l="1"/>
  <c r="AM96" i="2"/>
  <c r="AN96" i="2"/>
  <c r="AL95" i="2"/>
  <c r="AM95" i="2"/>
  <c r="AN95" i="2"/>
  <c r="AL94" i="2"/>
  <c r="AM94" i="2"/>
  <c r="AN94" i="2"/>
  <c r="AN93" i="2"/>
  <c r="AL93" i="2"/>
  <c r="AM93" i="2"/>
  <c r="AN92" i="2"/>
  <c r="AL92" i="2"/>
  <c r="AM92" i="2"/>
  <c r="AL91" i="2"/>
  <c r="AM91" i="2"/>
  <c r="AN91" i="2"/>
  <c r="AL90" i="2"/>
  <c r="AM90" i="2"/>
  <c r="AN90" i="2"/>
  <c r="AL89" i="2"/>
  <c r="AM89" i="2"/>
  <c r="AN89" i="2"/>
  <c r="AL88" i="2"/>
  <c r="AM88" i="2"/>
  <c r="AN88" i="2"/>
  <c r="AL87" i="2"/>
  <c r="AM87" i="2"/>
  <c r="AN87" i="2"/>
  <c r="AL86" i="2"/>
  <c r="AM86" i="2"/>
  <c r="AN86" i="2"/>
  <c r="AL85" i="2"/>
  <c r="AM85" i="2"/>
  <c r="AN85" i="2"/>
  <c r="AL84" i="2"/>
  <c r="AM84" i="2"/>
  <c r="AN84" i="2"/>
  <c r="AL83" i="2"/>
  <c r="AM83" i="2"/>
  <c r="AN83" i="2"/>
  <c r="AL82" i="2"/>
  <c r="AM82" i="2"/>
  <c r="AN82" i="2"/>
  <c r="AL81" i="2"/>
  <c r="AM81" i="2"/>
  <c r="AN81" i="2"/>
  <c r="AL80" i="2"/>
  <c r="AM80" i="2"/>
  <c r="AN80" i="2"/>
  <c r="AL79" i="2"/>
  <c r="AM79" i="2"/>
  <c r="AN79" i="2"/>
  <c r="AL78" i="2"/>
  <c r="AM78" i="2"/>
  <c r="AN78" i="2"/>
  <c r="AL77" i="2"/>
  <c r="AM77" i="2"/>
  <c r="AN7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Q77" i="2" l="1"/>
  <c r="T27" i="2"/>
  <c r="Q78" i="2"/>
  <c r="AV53" i="2"/>
  <c r="BA53" i="2" s="1"/>
  <c r="AV52" i="2"/>
  <c r="BA56" i="2" s="1"/>
  <c r="BK27" i="2" l="1"/>
  <c r="BJ27" i="2"/>
  <c r="AZ56" i="2"/>
  <c r="BA55" i="2"/>
  <c r="AZ55" i="2"/>
  <c r="AZ53" i="2"/>
  <c r="BA58" i="2"/>
  <c r="AZ52" i="2"/>
  <c r="BA54" i="2"/>
  <c r="AZ54" i="2"/>
  <c r="BA52" i="2"/>
  <c r="BA57" i="2"/>
  <c r="AZ57" i="2"/>
  <c r="AZ58" i="2"/>
  <c r="K4" i="2"/>
  <c r="M4" i="2"/>
  <c r="Q4" i="2"/>
  <c r="K5" i="2"/>
  <c r="M5" i="2"/>
  <c r="Q5" i="2"/>
  <c r="G15" i="2"/>
  <c r="Q15" i="2"/>
  <c r="T15" i="2"/>
  <c r="BJ15" i="2" s="1"/>
  <c r="V15" i="2"/>
  <c r="G16" i="2"/>
  <c r="L16" i="2"/>
  <c r="Q16" i="2"/>
  <c r="T16" i="2"/>
  <c r="BJ16" i="2" s="1"/>
  <c r="V16" i="2"/>
  <c r="G17" i="2"/>
  <c r="L17" i="2"/>
  <c r="Q17" i="2"/>
  <c r="T17" i="2"/>
  <c r="V17" i="2"/>
  <c r="G18" i="2"/>
  <c r="Q18" i="2"/>
  <c r="T18" i="2"/>
  <c r="G19" i="2"/>
  <c r="L19" i="2"/>
  <c r="Q19" i="2"/>
  <c r="T19" i="2"/>
  <c r="BJ19" i="2" s="1"/>
  <c r="V19" i="2"/>
  <c r="G20" i="2"/>
  <c r="L20" i="2"/>
  <c r="Q20" i="2"/>
  <c r="T20" i="2"/>
  <c r="BJ20" i="2" s="1"/>
  <c r="V20" i="2"/>
  <c r="E21" i="2"/>
  <c r="L21" i="2"/>
  <c r="Q21" i="2"/>
  <c r="T21" i="2"/>
  <c r="V21" i="2"/>
  <c r="G22" i="2"/>
  <c r="L22" i="2"/>
  <c r="Q22" i="2"/>
  <c r="T22" i="2"/>
  <c r="V22" i="2"/>
  <c r="E23" i="2"/>
  <c r="AK53" i="2" s="1"/>
  <c r="AM53" i="2" s="1"/>
  <c r="L23" i="2"/>
  <c r="Q23" i="2"/>
  <c r="T23" i="2"/>
  <c r="V23" i="2"/>
  <c r="G24" i="2"/>
  <c r="L24" i="2"/>
  <c r="Q24" i="2"/>
  <c r="T24" i="2"/>
  <c r="V24" i="2"/>
  <c r="G25" i="2"/>
  <c r="L25" i="2"/>
  <c r="Q25" i="2"/>
  <c r="T25" i="2"/>
  <c r="V25" i="2"/>
  <c r="G26" i="2"/>
  <c r="L26" i="2"/>
  <c r="Q26" i="2"/>
  <c r="T26" i="2"/>
  <c r="V26" i="2"/>
  <c r="G27" i="2"/>
  <c r="L27" i="2"/>
  <c r="Q27" i="2"/>
  <c r="V27" i="2"/>
  <c r="E28" i="2"/>
  <c r="L28" i="2"/>
  <c r="Q28" i="2"/>
  <c r="T28" i="2"/>
  <c r="V28" i="2"/>
  <c r="G29" i="2"/>
  <c r="L29" i="2"/>
  <c r="Q29" i="2"/>
  <c r="T29" i="2"/>
  <c r="V29" i="2"/>
  <c r="G30" i="2"/>
  <c r="L30" i="2"/>
  <c r="Q30" i="2"/>
  <c r="T30" i="2"/>
  <c r="V30" i="2"/>
  <c r="E31" i="2"/>
  <c r="L31" i="2"/>
  <c r="Q31" i="2"/>
  <c r="T31" i="2"/>
  <c r="V31" i="2"/>
  <c r="G32" i="2"/>
  <c r="L32" i="2"/>
  <c r="Q32" i="2"/>
  <c r="T32" i="2"/>
  <c r="V32" i="2"/>
  <c r="G33" i="2"/>
  <c r="L33" i="2"/>
  <c r="Q33" i="2"/>
  <c r="T33" i="2"/>
  <c r="V33" i="2"/>
  <c r="G34" i="2"/>
  <c r="L34" i="2"/>
  <c r="Q34" i="2"/>
  <c r="T34" i="2"/>
  <c r="V34" i="2"/>
  <c r="G35" i="2"/>
  <c r="L35" i="2"/>
  <c r="Q35" i="2"/>
  <c r="T35" i="2"/>
  <c r="V35" i="2"/>
  <c r="G36" i="2"/>
  <c r="L36" i="2"/>
  <c r="Q36" i="2"/>
  <c r="T36" i="2"/>
  <c r="V36" i="2"/>
  <c r="E37" i="2"/>
  <c r="L37" i="2"/>
  <c r="Q37" i="2"/>
  <c r="T37" i="2"/>
  <c r="V37" i="2"/>
  <c r="G38" i="2"/>
  <c r="L38" i="2"/>
  <c r="Q38" i="2"/>
  <c r="T38" i="2"/>
  <c r="V38" i="2"/>
  <c r="G39" i="2"/>
  <c r="L39" i="2"/>
  <c r="Q39" i="2"/>
  <c r="T39" i="2"/>
  <c r="V39" i="2"/>
  <c r="G40" i="2"/>
  <c r="L40" i="2"/>
  <c r="Q40" i="2"/>
  <c r="T40" i="2"/>
  <c r="V40" i="2"/>
  <c r="E41" i="2"/>
  <c r="L41" i="2"/>
  <c r="Q41" i="2"/>
  <c r="T41" i="2"/>
  <c r="V41" i="2"/>
  <c r="G42" i="2"/>
  <c r="L42" i="2"/>
  <c r="Q42" i="2"/>
  <c r="T42" i="2"/>
  <c r="V42" i="2"/>
  <c r="G43" i="2"/>
  <c r="L43" i="2"/>
  <c r="Q43" i="2"/>
  <c r="T43" i="2"/>
  <c r="V43" i="2"/>
  <c r="E44" i="2"/>
  <c r="L44" i="2"/>
  <c r="Q44" i="2"/>
  <c r="T44" i="2"/>
  <c r="V44" i="2"/>
  <c r="AL52" i="2"/>
  <c r="AR52" i="2"/>
  <c r="AL53" i="2"/>
  <c r="AR53" i="2"/>
  <c r="BJ21" i="2" l="1"/>
  <c r="BK21" i="2"/>
  <c r="BJ17" i="2"/>
  <c r="BK17" i="2"/>
  <c r="R78" i="2"/>
  <c r="G23" i="2"/>
  <c r="Y18" i="2"/>
  <c r="BJ18" i="2"/>
  <c r="R77" i="2"/>
  <c r="BJ36" i="2"/>
  <c r="BK36" i="2"/>
  <c r="BJ32" i="2"/>
  <c r="BK32" i="2"/>
  <c r="BK28" i="2"/>
  <c r="BJ28" i="2"/>
  <c r="BK23" i="2"/>
  <c r="BJ23" i="2"/>
  <c r="BK15" i="2"/>
  <c r="BJ39" i="2"/>
  <c r="BK39" i="2"/>
  <c r="BJ35" i="2"/>
  <c r="BK35" i="2"/>
  <c r="BJ31" i="2"/>
  <c r="BK31" i="2"/>
  <c r="BK26" i="2"/>
  <c r="BJ26" i="2"/>
  <c r="BK22" i="2"/>
  <c r="BJ22" i="2"/>
  <c r="BK18" i="2"/>
  <c r="BK40" i="2"/>
  <c r="BJ40" i="2"/>
  <c r="BK19" i="2"/>
  <c r="BK34" i="2"/>
  <c r="BJ34" i="2"/>
  <c r="BK30" i="2"/>
  <c r="BJ30" i="2"/>
  <c r="BK25" i="2"/>
  <c r="BJ25" i="2"/>
  <c r="BK38" i="2"/>
  <c r="BJ38" i="2"/>
  <c r="BJ37" i="2"/>
  <c r="BK37" i="2"/>
  <c r="BJ33" i="2"/>
  <c r="BK33" i="2"/>
  <c r="BJ29" i="2"/>
  <c r="BK29" i="2"/>
  <c r="BJ24" i="2"/>
  <c r="BK24" i="2"/>
  <c r="BK20" i="2"/>
  <c r="BK16" i="2"/>
  <c r="AK52" i="2"/>
  <c r="AM52" i="2" s="1"/>
  <c r="G21" i="2"/>
  <c r="G44" i="2"/>
  <c r="G31" i="2"/>
  <c r="G41" i="2"/>
  <c r="G37" i="2"/>
  <c r="G28" i="2"/>
  <c r="BB95" i="2" l="1"/>
  <c r="BB96" i="2"/>
  <c r="BB84" i="2"/>
  <c r="BA84" i="2" s="1"/>
  <c r="BB82" i="2"/>
  <c r="BB87" i="2"/>
  <c r="BB85" i="2"/>
  <c r="BA85" i="2" s="1"/>
  <c r="BB83" i="2"/>
  <c r="BB86" i="2"/>
  <c r="BA86" i="2" s="1"/>
  <c r="BB99" i="2"/>
  <c r="BA99" i="2" s="1"/>
  <c r="BB98" i="2"/>
  <c r="BA98" i="2" s="1"/>
  <c r="BB94" i="2"/>
  <c r="BA94" i="2" s="1"/>
  <c r="BB97" i="2"/>
  <c r="BA97" i="2" s="1"/>
  <c r="BB93" i="2"/>
  <c r="BB92" i="2"/>
  <c r="BB80" i="2"/>
  <c r="BA80" i="2" s="1"/>
  <c r="BB81" i="2"/>
  <c r="BA81" i="2" s="1"/>
  <c r="BB77" i="2"/>
  <c r="BA77" i="2" s="1"/>
  <c r="BB78" i="2"/>
  <c r="BB79" i="2"/>
  <c r="BA70" i="2"/>
  <c r="BB73" i="2"/>
  <c r="BA73" i="2" s="1"/>
  <c r="BB71" i="2"/>
  <c r="BA71" i="2" s="1"/>
  <c r="BB74" i="2"/>
  <c r="BA74" i="2" s="1"/>
  <c r="BB72" i="2"/>
  <c r="BA72" i="2" s="1"/>
  <c r="BB70" i="2"/>
  <c r="BB75" i="2"/>
  <c r="BB76" i="2"/>
  <c r="BA76" i="2" s="1"/>
  <c r="BA75" i="2"/>
  <c r="BL21" i="2"/>
  <c r="BL27" i="2"/>
  <c r="BM27" i="2" s="1"/>
  <c r="BO27" i="2" s="1"/>
  <c r="BL17" i="2"/>
  <c r="BM17" i="2" s="1"/>
  <c r="BO17" i="2" s="1"/>
  <c r="BA79" i="2"/>
  <c r="BA78" i="2"/>
  <c r="BL30" i="2"/>
  <c r="BM30" i="2" s="1"/>
  <c r="BO30" i="2" s="1"/>
  <c r="BL22" i="2"/>
  <c r="BM22" i="2" s="1"/>
  <c r="BO22" i="2" s="1"/>
  <c r="BA87" i="2"/>
  <c r="BA83" i="2"/>
  <c r="BL28" i="2"/>
  <c r="BM28" i="2" s="1"/>
  <c r="BO28" i="2" s="1"/>
  <c r="AB18" i="2"/>
  <c r="BL15" i="2"/>
  <c r="BM15" i="2" s="1"/>
  <c r="BO15" i="2" s="1"/>
  <c r="BL29" i="2"/>
  <c r="BM29" i="2" s="1"/>
  <c r="BO29" i="2" s="1"/>
  <c r="BA93" i="2"/>
  <c r="BA92" i="2"/>
  <c r="BL25" i="2"/>
  <c r="BM25" i="2" s="1"/>
  <c r="BO25" i="2" s="1"/>
  <c r="BL34" i="2"/>
  <c r="BM34" i="2" s="1"/>
  <c r="BO34" i="2" s="1"/>
  <c r="BL26" i="2"/>
  <c r="BM26" i="2" s="1"/>
  <c r="BO26" i="2" s="1"/>
  <c r="BL39" i="2"/>
  <c r="BM39" i="2" s="1"/>
  <c r="BO39" i="2" s="1"/>
  <c r="BL18" i="2"/>
  <c r="BM18" i="2" s="1"/>
  <c r="BO18" i="2" s="1"/>
  <c r="BL31" i="2"/>
  <c r="BM31" i="2" s="1"/>
  <c r="BO31" i="2" s="1"/>
  <c r="BL32" i="2"/>
  <c r="BM32" i="2" s="1"/>
  <c r="BO32" i="2" s="1"/>
  <c r="BL24" i="2"/>
  <c r="BM24" i="2" s="1"/>
  <c r="BO24" i="2" s="1"/>
  <c r="BL33" i="2"/>
  <c r="BM33" i="2" s="1"/>
  <c r="BO33" i="2" s="1"/>
  <c r="BL38" i="2"/>
  <c r="BM38" i="2" s="1"/>
  <c r="BO38" i="2" s="1"/>
  <c r="BL35" i="2"/>
  <c r="BM35" i="2" s="1"/>
  <c r="BO35" i="2" s="1"/>
  <c r="BL36" i="2"/>
  <c r="BM36" i="2" s="1"/>
  <c r="BO36" i="2" s="1"/>
  <c r="BL20" i="2"/>
  <c r="BM20" i="2" s="1"/>
  <c r="BO20" i="2" s="1"/>
  <c r="BL19" i="2"/>
  <c r="BM19" i="2" s="1"/>
  <c r="BO19" i="2" s="1"/>
  <c r="BL16" i="2"/>
  <c r="BM16" i="2" s="1"/>
  <c r="BO16" i="2" s="1"/>
  <c r="BL23" i="2"/>
  <c r="Z18" i="2"/>
  <c r="BL40" i="2"/>
  <c r="BM40" i="2" s="1"/>
  <c r="BO40" i="2" s="1"/>
  <c r="BL37" i="2"/>
  <c r="Q75" i="2"/>
  <c r="R75" i="2" s="1"/>
  <c r="Q76" i="2"/>
  <c r="R76" i="2" s="1"/>
  <c r="Q74" i="2"/>
  <c r="R74" i="2" s="1"/>
  <c r="CF76" i="2" l="1"/>
  <c r="CG76" i="2" s="1"/>
  <c r="CH76" i="2" s="1"/>
  <c r="CF72" i="2"/>
  <c r="CG72" i="2" s="1"/>
  <c r="CH72" i="2" s="1"/>
  <c r="CF75" i="2"/>
  <c r="CG75" i="2" s="1"/>
  <c r="CH75" i="2" s="1"/>
  <c r="CF74" i="2"/>
  <c r="CG74" i="2" s="1"/>
  <c r="CH74" i="2" s="1"/>
  <c r="CF77" i="2"/>
  <c r="CG77" i="2" s="1"/>
  <c r="CH77" i="2" s="1"/>
  <c r="CF73" i="2"/>
  <c r="CG73" i="2" s="1"/>
  <c r="CH73" i="2" s="1"/>
  <c r="BC72" i="2"/>
  <c r="BD72" i="2" s="1"/>
  <c r="BC76" i="2"/>
  <c r="BD76" i="2" s="1"/>
  <c r="BC74" i="2"/>
  <c r="BD74" i="2" s="1"/>
  <c r="BC81" i="2"/>
  <c r="BD81" i="2" s="1"/>
  <c r="BC71" i="2"/>
  <c r="BD71" i="2" s="1"/>
  <c r="BC85" i="2"/>
  <c r="BD85" i="2" s="1"/>
  <c r="CF88" i="2"/>
  <c r="BC73" i="2"/>
  <c r="BD73" i="2" s="1"/>
  <c r="BC77" i="2"/>
  <c r="BD77" i="2" s="1"/>
  <c r="CF79" i="2"/>
  <c r="BD87" i="2"/>
  <c r="CF90" i="2"/>
  <c r="BC79" i="2"/>
  <c r="BD79" i="2" s="1"/>
  <c r="BC93" i="2"/>
  <c r="BD93" i="2" s="1"/>
  <c r="BC86" i="2"/>
  <c r="BD86" i="2" s="1"/>
  <c r="CF89" i="2"/>
  <c r="BC99" i="2"/>
  <c r="BD99" i="2" s="1"/>
  <c r="CD106" i="2"/>
  <c r="BC92" i="2"/>
  <c r="BD92" i="2" s="1"/>
  <c r="BC84" i="2"/>
  <c r="BD84" i="2" s="1"/>
  <c r="CF87" i="2"/>
  <c r="CG87" i="2" s="1"/>
  <c r="CH87" i="2" s="1"/>
  <c r="BC78" i="2"/>
  <c r="BD78" i="2" s="1"/>
  <c r="BC97" i="2"/>
  <c r="BD97" i="2" s="1"/>
  <c r="CD104" i="2"/>
  <c r="BC75" i="2"/>
  <c r="BD75" i="2" s="1"/>
  <c r="BC70" i="2"/>
  <c r="BD70" i="2" s="1"/>
  <c r="CF71" i="2"/>
  <c r="CG71" i="2" s="1"/>
  <c r="CH71" i="2" s="1"/>
  <c r="BC98" i="2"/>
  <c r="BD98" i="2" s="1"/>
  <c r="CD105" i="2"/>
  <c r="BC94" i="2"/>
  <c r="BD94" i="2" s="1"/>
  <c r="BC83" i="2"/>
  <c r="BD83" i="2" s="1"/>
  <c r="CF86" i="2"/>
  <c r="BC80" i="2"/>
  <c r="BD80" i="2" s="1"/>
  <c r="BM37" i="2"/>
  <c r="BO37" i="2" s="1"/>
  <c r="BA82" i="2"/>
  <c r="BM23" i="2"/>
  <c r="BO23" i="2" s="1"/>
  <c r="BA96" i="2"/>
  <c r="BA95" i="2"/>
  <c r="BM21" i="2"/>
  <c r="BO21" i="2" s="1"/>
  <c r="W33" i="2"/>
  <c r="AA23" i="2"/>
  <c r="W21" i="2"/>
  <c r="W37" i="2"/>
  <c r="W28" i="2"/>
  <c r="Y28" i="2" s="1"/>
  <c r="I18" i="1"/>
  <c r="F17" i="1"/>
  <c r="E37" i="1"/>
  <c r="W44" i="2"/>
  <c r="Y44" i="2" s="1"/>
  <c r="Z44" i="2" s="1"/>
  <c r="W41" i="2"/>
  <c r="Y41" i="2" s="1"/>
  <c r="Z41" i="2" s="1"/>
  <c r="W31" i="2"/>
  <c r="Y31" i="2" s="1"/>
  <c r="Z31" i="2" s="1"/>
  <c r="W23" i="2"/>
  <c r="W43" i="2"/>
  <c r="Y43" i="2" s="1"/>
  <c r="Z43" i="2" s="1"/>
  <c r="W42" i="2"/>
  <c r="Y42" i="2" s="1"/>
  <c r="Z42" i="2" s="1"/>
  <c r="W40" i="2"/>
  <c r="Y40" i="2" s="1"/>
  <c r="Z40" i="2" s="1"/>
  <c r="W39" i="2"/>
  <c r="Y39" i="2" s="1"/>
  <c r="Z39" i="2" s="1"/>
  <c r="W36" i="2"/>
  <c r="Y36" i="2" s="1"/>
  <c r="Z36" i="2" s="1"/>
  <c r="W34" i="2"/>
  <c r="W32" i="2"/>
  <c r="Y32" i="2" s="1"/>
  <c r="Z32" i="2" s="1"/>
  <c r="W38" i="2"/>
  <c r="Y38" i="2" s="1"/>
  <c r="Z38" i="2" s="1"/>
  <c r="W30" i="2"/>
  <c r="W29" i="2"/>
  <c r="Y29" i="2" s="1"/>
  <c r="Z29" i="2" s="1"/>
  <c r="W27" i="2"/>
  <c r="Y27" i="2" s="1"/>
  <c r="Z27" i="2" s="1"/>
  <c r="W26" i="2"/>
  <c r="W25" i="2"/>
  <c r="Y25" i="2" s="1"/>
  <c r="W24" i="2"/>
  <c r="Y24" i="2" s="1"/>
  <c r="Z24" i="2" s="1"/>
  <c r="W22" i="2"/>
  <c r="Y22" i="2" s="1"/>
  <c r="Z22" i="2" s="1"/>
  <c r="W19" i="2"/>
  <c r="W20" i="2"/>
  <c r="Y16" i="2"/>
  <c r="Z16" i="2" s="1"/>
  <c r="Y35" i="2"/>
  <c r="D5" i="1"/>
  <c r="E38" i="1"/>
  <c r="J38" i="1" s="1"/>
  <c r="J79" i="1"/>
  <c r="E39" i="1"/>
  <c r="J39" i="1" s="1"/>
  <c r="BC95" i="2" l="1"/>
  <c r="BD95" i="2" s="1"/>
  <c r="CD101" i="2"/>
  <c r="CF101" i="2"/>
  <c r="BC82" i="2"/>
  <c r="BD82" i="2" s="1"/>
  <c r="CF85" i="2"/>
  <c r="BC96" i="2"/>
  <c r="BD96" i="2" s="1"/>
  <c r="CD102" i="2"/>
  <c r="CE102" i="2" s="1"/>
  <c r="Z28" i="2"/>
  <c r="AB28" i="2"/>
  <c r="AB41" i="2"/>
  <c r="Z25" i="2"/>
  <c r="AB25" i="2"/>
  <c r="AB38" i="2"/>
  <c r="AB35" i="2"/>
  <c r="Z35" i="2"/>
  <c r="AA29" i="2"/>
  <c r="Y26" i="2"/>
  <c r="Z26" i="2" s="1"/>
  <c r="Y17" i="2"/>
  <c r="Z17" i="2" s="1"/>
  <c r="Y34" i="2"/>
  <c r="Z34" i="2" s="1"/>
  <c r="Y20" i="2"/>
  <c r="Z20" i="2" s="1"/>
  <c r="Y30" i="2"/>
  <c r="Z30" i="2" s="1"/>
  <c r="Y23" i="2"/>
  <c r="Z23" i="2" s="1"/>
  <c r="Y19" i="2"/>
  <c r="Z19" i="2" s="1"/>
  <c r="Y37" i="2"/>
  <c r="AA22" i="2"/>
  <c r="Y21" i="2"/>
  <c r="Y33" i="2"/>
  <c r="Z33" i="2" s="1"/>
  <c r="A38" i="1"/>
  <c r="J90" i="1"/>
  <c r="J89" i="1"/>
  <c r="J88" i="1"/>
  <c r="J87" i="1"/>
  <c r="J86" i="1"/>
  <c r="J85" i="1"/>
  <c r="J84" i="1"/>
  <c r="J83" i="1"/>
  <c r="J82" i="1"/>
  <c r="J81" i="1"/>
  <c r="J80" i="1"/>
  <c r="J78" i="1"/>
  <c r="C69" i="1"/>
  <c r="E68" i="1"/>
  <c r="E67" i="1"/>
  <c r="E66" i="1"/>
  <c r="E65" i="1"/>
  <c r="G65" i="1" s="1"/>
  <c r="C63" i="1"/>
  <c r="B62" i="1"/>
  <c r="K59" i="1"/>
  <c r="T56" i="1"/>
  <c r="M70" i="1" s="1"/>
  <c r="Q56" i="1"/>
  <c r="E19" i="1" s="1"/>
  <c r="F19" i="1" s="1"/>
  <c r="N56" i="1"/>
  <c r="M71" i="1" s="1"/>
  <c r="H56" i="1"/>
  <c r="M72" i="1" s="1"/>
  <c r="R55" i="1"/>
  <c r="L54" i="1"/>
  <c r="F54" i="1"/>
  <c r="Q53" i="1"/>
  <c r="K53" i="1"/>
  <c r="K56" i="1" s="1"/>
  <c r="E53" i="1"/>
  <c r="E56" i="1" s="1"/>
  <c r="N49" i="1"/>
  <c r="B49" i="1"/>
  <c r="A49" i="1" s="1"/>
  <c r="N48" i="1"/>
  <c r="E48" i="1"/>
  <c r="J48" i="1" s="1"/>
  <c r="A48" i="1"/>
  <c r="N47" i="1"/>
  <c r="E47" i="1"/>
  <c r="J47" i="1" s="1"/>
  <c r="A47" i="1"/>
  <c r="N46" i="1"/>
  <c r="E46" i="1"/>
  <c r="J46" i="1" s="1"/>
  <c r="A46" i="1"/>
  <c r="N45" i="1"/>
  <c r="O45" i="1" s="1"/>
  <c r="E45" i="1"/>
  <c r="J45" i="1" s="1"/>
  <c r="A45" i="1"/>
  <c r="N44" i="1"/>
  <c r="O44" i="1" s="1"/>
  <c r="E44" i="1"/>
  <c r="J44" i="1" s="1"/>
  <c r="A44" i="1"/>
  <c r="N43" i="1"/>
  <c r="E43" i="1"/>
  <c r="J43" i="1" s="1"/>
  <c r="A43" i="1"/>
  <c r="N42" i="1"/>
  <c r="O42" i="1" s="1"/>
  <c r="E42" i="1"/>
  <c r="J42" i="1" s="1"/>
  <c r="A42" i="1"/>
  <c r="N41" i="1"/>
  <c r="O41" i="1" s="1"/>
  <c r="E41" i="1"/>
  <c r="J41" i="1" s="1"/>
  <c r="A41" i="1"/>
  <c r="N40" i="1"/>
  <c r="O40" i="1" s="1"/>
  <c r="E40" i="1"/>
  <c r="J40" i="1" s="1"/>
  <c r="A40" i="1"/>
  <c r="N39" i="1"/>
  <c r="O39" i="1" s="1"/>
  <c r="A39" i="1"/>
  <c r="N38" i="1"/>
  <c r="N37" i="1"/>
  <c r="O37" i="1" s="1"/>
  <c r="E49" i="1"/>
  <c r="J49" i="1" s="1"/>
  <c r="A37" i="1"/>
  <c r="D33" i="1"/>
  <c r="Q32" i="1"/>
  <c r="N32" i="1"/>
  <c r="H32" i="1"/>
  <c r="I32" i="1" s="1"/>
  <c r="B32" i="1"/>
  <c r="Q31" i="1"/>
  <c r="N31" i="1"/>
  <c r="N33" i="1" s="1"/>
  <c r="H31" i="1"/>
  <c r="I31" i="1" s="1"/>
  <c r="J31" i="1" s="1"/>
  <c r="L31" i="1" s="1"/>
  <c r="B31" i="1"/>
  <c r="Q30" i="1"/>
  <c r="H30" i="1"/>
  <c r="I30" i="1" s="1"/>
  <c r="B30" i="1"/>
  <c r="Q29" i="1"/>
  <c r="H29" i="1"/>
  <c r="I29" i="1" s="1"/>
  <c r="B29" i="1"/>
  <c r="T26" i="1"/>
  <c r="I26" i="1"/>
  <c r="J26" i="1" s="1"/>
  <c r="H26" i="1"/>
  <c r="F26" i="1"/>
  <c r="T25" i="1"/>
  <c r="I25" i="1"/>
  <c r="J25" i="1" s="1"/>
  <c r="F25" i="1"/>
  <c r="I24" i="1"/>
  <c r="J24" i="1" s="1"/>
  <c r="F24" i="1"/>
  <c r="I23" i="1"/>
  <c r="J23" i="1" s="1"/>
  <c r="F23" i="1"/>
  <c r="I20" i="1"/>
  <c r="J20" i="1" s="1"/>
  <c r="H20" i="1"/>
  <c r="E20" i="1"/>
  <c r="F20" i="1" s="1"/>
  <c r="I19" i="1"/>
  <c r="J19" i="1" s="1"/>
  <c r="J18" i="1"/>
  <c r="H18" i="1"/>
  <c r="F18" i="1"/>
  <c r="I17" i="1"/>
  <c r="N17" i="1" s="1"/>
  <c r="F10" i="1"/>
  <c r="AA45" i="1" s="1"/>
  <c r="F9" i="1"/>
  <c r="F6" i="1"/>
  <c r="D6" i="1"/>
  <c r="F5" i="1"/>
  <c r="I3" i="1"/>
  <c r="M3" i="1" s="1"/>
  <c r="C1" i="1"/>
  <c r="AC38" i="2" l="1"/>
  <c r="AC25" i="2"/>
  <c r="Z37" i="2"/>
  <c r="AB37" i="2"/>
  <c r="AC35" i="2" s="1"/>
  <c r="Z21" i="2"/>
  <c r="AA18" i="2" s="1"/>
  <c r="AB21" i="2"/>
  <c r="AC18" i="2" s="1"/>
  <c r="AB17" i="2"/>
  <c r="AB15" i="2"/>
  <c r="Z15" i="2"/>
  <c r="AA15" i="2" s="1"/>
  <c r="AB16" i="2"/>
  <c r="Q33" i="1"/>
  <c r="T24" i="1" s="1"/>
  <c r="A31" i="1"/>
  <c r="B50" i="1"/>
  <c r="B33" i="1" s="1"/>
  <c r="O26" i="1"/>
  <c r="A32" i="1"/>
  <c r="G67" i="1"/>
  <c r="F53" i="1"/>
  <c r="H53" i="1" s="1"/>
  <c r="A50" i="1"/>
  <c r="A33" i="1" s="1"/>
  <c r="I7" i="1"/>
  <c r="I11" i="1" s="1"/>
  <c r="M11" i="1" s="1"/>
  <c r="N26" i="1" s="1"/>
  <c r="J7" i="1"/>
  <c r="A29" i="1"/>
  <c r="A30" i="1"/>
  <c r="J17" i="1"/>
  <c r="I4" i="1" s="1"/>
  <c r="I8" i="1" s="1"/>
  <c r="K31" i="1"/>
  <c r="H65" i="1"/>
  <c r="AA30" i="2"/>
  <c r="AA38" i="2"/>
  <c r="H67" i="1"/>
  <c r="K49" i="1" s="1"/>
  <c r="N20" i="1"/>
  <c r="O23" i="1"/>
  <c r="F55" i="1"/>
  <c r="E55" i="1" s="1"/>
  <c r="E57" i="1" s="1"/>
  <c r="D62" i="1"/>
  <c r="AA24" i="2"/>
  <c r="K29" i="1"/>
  <c r="J29" i="1"/>
  <c r="L29" i="1" s="1"/>
  <c r="K32" i="1"/>
  <c r="J32" i="1"/>
  <c r="L32" i="1" s="1"/>
  <c r="O38" i="1"/>
  <c r="AA39" i="1"/>
  <c r="AA44" i="1"/>
  <c r="AA40" i="1"/>
  <c r="N19" i="1"/>
  <c r="AA25" i="2"/>
  <c r="AA47" i="1"/>
  <c r="O24" i="1"/>
  <c r="O25" i="1"/>
  <c r="AA43" i="1"/>
  <c r="AA48" i="1"/>
  <c r="L55" i="1"/>
  <c r="K55" i="1" s="1"/>
  <c r="K57" i="1" s="1"/>
  <c r="AA37" i="1"/>
  <c r="AA42" i="2"/>
  <c r="AA39" i="2"/>
  <c r="AA40" i="2"/>
  <c r="AA43" i="2"/>
  <c r="AA26" i="2"/>
  <c r="AA27" i="2"/>
  <c r="O49" i="1"/>
  <c r="O48" i="1"/>
  <c r="O46" i="1"/>
  <c r="J5" i="1"/>
  <c r="I5" i="1"/>
  <c r="K5" i="1" s="1"/>
  <c r="J6" i="1"/>
  <c r="I6" i="1"/>
  <c r="I10" i="1" s="1"/>
  <c r="L10" i="1" s="1"/>
  <c r="P31" i="1" s="1"/>
  <c r="K30" i="1"/>
  <c r="J30" i="1"/>
  <c r="L30" i="1" s="1"/>
  <c r="L3" i="1"/>
  <c r="K3" i="1"/>
  <c r="N18" i="1"/>
  <c r="O43" i="1"/>
  <c r="Q58" i="1"/>
  <c r="R53" i="1"/>
  <c r="T53" i="1" s="1"/>
  <c r="Q60" i="1"/>
  <c r="R56" i="1"/>
  <c r="Q55" i="1" s="1"/>
  <c r="R54" i="1"/>
  <c r="M31" i="1"/>
  <c r="J10" i="1" s="1"/>
  <c r="O47" i="1"/>
  <c r="H66" i="1"/>
  <c r="G66" i="1"/>
  <c r="AA38" i="1"/>
  <c r="AA42" i="1"/>
  <c r="AA46" i="1"/>
  <c r="L53" i="1"/>
  <c r="N53" i="1" s="1"/>
  <c r="J37" i="1"/>
  <c r="AA41" i="1"/>
  <c r="AC17" i="2" l="1"/>
  <c r="AC16" i="2"/>
  <c r="AC15" i="2"/>
  <c r="L11" i="1"/>
  <c r="K60" i="1"/>
  <c r="O12" i="1"/>
  <c r="R12" i="1" s="1"/>
  <c r="O13" i="1"/>
  <c r="S13" i="1" s="1"/>
  <c r="K47" i="1" s="1"/>
  <c r="M6" i="1"/>
  <c r="L7" i="1"/>
  <c r="K11" i="1"/>
  <c r="M29" i="1"/>
  <c r="J8" i="1" s="1"/>
  <c r="P3" i="1" s="1"/>
  <c r="M7" i="1"/>
  <c r="J4" i="1"/>
  <c r="O14" i="1"/>
  <c r="S14" i="1" s="1"/>
  <c r="K48" i="1" s="1"/>
  <c r="O11" i="1"/>
  <c r="S11" i="1" s="1"/>
  <c r="K45" i="1" s="1"/>
  <c r="K7" i="1"/>
  <c r="M15" i="1"/>
  <c r="S32" i="1" s="1"/>
  <c r="K6" i="1"/>
  <c r="U26" i="1"/>
  <c r="M32" i="1"/>
  <c r="J11" i="1" s="1"/>
  <c r="P14" i="1" s="1"/>
  <c r="M13" i="1"/>
  <c r="S33" i="1" s="1"/>
  <c r="M5" i="1"/>
  <c r="AA16" i="2"/>
  <c r="AA20" i="2"/>
  <c r="AA17" i="2"/>
  <c r="AA19" i="2"/>
  <c r="AA32" i="2"/>
  <c r="AA35" i="2"/>
  <c r="AA34" i="2"/>
  <c r="AA36" i="2"/>
  <c r="AA33" i="2"/>
  <c r="O4" i="1"/>
  <c r="L8" i="1"/>
  <c r="O3" i="1"/>
  <c r="P33" i="1"/>
  <c r="P32" i="1"/>
  <c r="M14" i="1"/>
  <c r="S31" i="1" s="1"/>
  <c r="P9" i="1"/>
  <c r="P10" i="1"/>
  <c r="K4" i="1"/>
  <c r="K65" i="1"/>
  <c r="M4" i="1"/>
  <c r="M8" i="1"/>
  <c r="N23" i="1" s="1"/>
  <c r="I9" i="1"/>
  <c r="L5" i="1"/>
  <c r="L4" i="1"/>
  <c r="O9" i="1"/>
  <c r="O10" i="1"/>
  <c r="M10" i="1"/>
  <c r="N25" i="1" s="1"/>
  <c r="K8" i="1"/>
  <c r="L6" i="1"/>
  <c r="J65" i="1"/>
  <c r="M18" i="1"/>
  <c r="M20" i="1"/>
  <c r="V2" i="1"/>
  <c r="U24" i="1"/>
  <c r="M19" i="1"/>
  <c r="M17" i="1"/>
  <c r="Q57" i="1"/>
  <c r="Q61" i="1" s="1"/>
  <c r="Q59" i="1"/>
  <c r="K10" i="1"/>
  <c r="M30" i="1"/>
  <c r="J9" i="1" s="1"/>
  <c r="P4" i="1" l="1"/>
  <c r="Q14" i="1"/>
  <c r="Q13" i="1"/>
  <c r="R14" i="1"/>
  <c r="R13" i="1"/>
  <c r="P13" i="1"/>
  <c r="S12" i="1"/>
  <c r="K46" i="1" s="1"/>
  <c r="Q12" i="1"/>
  <c r="R11" i="1"/>
  <c r="Q11" i="1"/>
  <c r="O33" i="1"/>
  <c r="O32" i="1"/>
  <c r="P11" i="1"/>
  <c r="P12" i="1"/>
  <c r="P7" i="1"/>
  <c r="P6" i="1"/>
  <c r="P8" i="1"/>
  <c r="P5" i="1"/>
  <c r="Q10" i="1"/>
  <c r="R10" i="1"/>
  <c r="S10" i="1"/>
  <c r="K44" i="1" s="1"/>
  <c r="U25" i="1"/>
  <c r="O31" i="1"/>
  <c r="R9" i="1"/>
  <c r="S9" i="1"/>
  <c r="K43" i="1" s="1"/>
  <c r="Q9" i="1"/>
  <c r="O8" i="1"/>
  <c r="O6" i="1"/>
  <c r="O5" i="1"/>
  <c r="O7" i="1"/>
  <c r="K9" i="1"/>
  <c r="M9" i="1"/>
  <c r="N24" i="1" s="1"/>
  <c r="L9" i="1"/>
  <c r="R3" i="1"/>
  <c r="S3" i="1"/>
  <c r="K37" i="1" s="1"/>
  <c r="Q3" i="1"/>
  <c r="Q4" i="1"/>
  <c r="R4" i="1"/>
  <c r="S4" i="1"/>
  <c r="K38" i="1" s="1"/>
  <c r="R7" i="1" l="1"/>
  <c r="Q7" i="1"/>
  <c r="S7" i="1"/>
  <c r="K41" i="1" s="1"/>
  <c r="R5" i="1"/>
  <c r="Q5" i="1"/>
  <c r="S5" i="1"/>
  <c r="K39" i="1" s="1"/>
  <c r="Q6" i="1"/>
  <c r="S6" i="1"/>
  <c r="K40" i="1" s="1"/>
  <c r="R6" i="1"/>
  <c r="Q8" i="1"/>
  <c r="S8" i="1"/>
  <c r="K42" i="1" s="1"/>
  <c r="R8" i="1"/>
</calcChain>
</file>

<file path=xl/sharedStrings.xml><?xml version="1.0" encoding="utf-8"?>
<sst xmlns="http://schemas.openxmlformats.org/spreadsheetml/2006/main" count="1339" uniqueCount="470">
  <si>
    <t>Round Cplx A1:</t>
  </si>
  <si>
    <t>Impedâncias</t>
  </si>
  <si>
    <t>Diagrama Fasorial</t>
  </si>
  <si>
    <t>Curto-circuito</t>
  </si>
  <si>
    <t>Positivo (pu)</t>
  </si>
  <si>
    <t>Zero (pu)</t>
  </si>
  <si>
    <t>Icc trifásico (A)</t>
  </si>
  <si>
    <t>Icc Fase-fase (A)</t>
  </si>
  <si>
    <t>Icc Fase-Terra (A)</t>
  </si>
  <si>
    <t>Curto-Circuito</t>
  </si>
  <si>
    <t>Ip</t>
  </si>
  <si>
    <t>Pbase</t>
  </si>
  <si>
    <t>Rede</t>
  </si>
  <si>
    <t>1.2572+4.6321i</t>
  </si>
  <si>
    <t>SE 1 QDG 1</t>
  </si>
  <si>
    <t>Angulo</t>
  </si>
  <si>
    <t>70°</t>
  </si>
  <si>
    <t>VbaseMT</t>
  </si>
  <si>
    <t>VbaseBT380</t>
  </si>
  <si>
    <t>Primário 1</t>
  </si>
  <si>
    <t>SE 1 QDG 2</t>
  </si>
  <si>
    <t>IbaseMT</t>
  </si>
  <si>
    <t>IbaseBT380</t>
  </si>
  <si>
    <t>Primário 2</t>
  </si>
  <si>
    <t>SE 2 QDG 3</t>
  </si>
  <si>
    <t>ZbaseMT</t>
  </si>
  <si>
    <t>ZbaseBT380</t>
  </si>
  <si>
    <t>Primário 3</t>
  </si>
  <si>
    <t>SE 2 QDG 4</t>
  </si>
  <si>
    <t>Tº Continua MT</t>
  </si>
  <si>
    <t>Primário 4</t>
  </si>
  <si>
    <t>SE 2 QDG 5</t>
  </si>
  <si>
    <t>Tº Curto MT</t>
  </si>
  <si>
    <t>VbaseBT220</t>
  </si>
  <si>
    <t>Secundário 1</t>
  </si>
  <si>
    <t>SE 2 QDG 6</t>
  </si>
  <si>
    <t>T° Curto BT</t>
  </si>
  <si>
    <t>IbaseBT220</t>
  </si>
  <si>
    <t>Secundário 2</t>
  </si>
  <si>
    <t>SE 3 CCM 1</t>
  </si>
  <si>
    <t>T° Continua BT</t>
  </si>
  <si>
    <t>ZbaseBT220</t>
  </si>
  <si>
    <t>Secundário 3</t>
  </si>
  <si>
    <t>SE 3 QDG 7</t>
  </si>
  <si>
    <t>Secundário 4</t>
  </si>
  <si>
    <t>SE 4 QDG 8</t>
  </si>
  <si>
    <t>SE 4 CCM 1</t>
  </si>
  <si>
    <t>P2</t>
  </si>
  <si>
    <t>21+0i</t>
  </si>
  <si>
    <t>SE 4 CCM 2</t>
  </si>
  <si>
    <t>P3</t>
  </si>
  <si>
    <t>SE 4 CCM 3</t>
  </si>
  <si>
    <t>Cabos Média</t>
  </si>
  <si>
    <t>P4</t>
  </si>
  <si>
    <t>Subestação</t>
  </si>
  <si>
    <t>Tensão linha (V)</t>
  </si>
  <si>
    <t>F.P. Ñ Corrigido</t>
  </si>
  <si>
    <t>Corrente (A)</t>
  </si>
  <si>
    <t>Z (Ohm/km)</t>
  </si>
  <si>
    <t>Distância (m)</t>
  </si>
  <si>
    <t>Z (ohms)</t>
  </si>
  <si>
    <t>Impedância (PU)</t>
  </si>
  <si>
    <t>Cap. Cabo(A)</t>
  </si>
  <si>
    <t>Seção (mm²)</t>
  </si>
  <si>
    <t>Seção Mín (mm²)</t>
  </si>
  <si>
    <t>Queda V(%)</t>
  </si>
  <si>
    <t>Cabo</t>
  </si>
  <si>
    <t>Maneira</t>
  </si>
  <si>
    <t>Chave fusível</t>
  </si>
  <si>
    <t>SE1</t>
  </si>
  <si>
    <t>0.4912+0.0403i</t>
  </si>
  <si>
    <t>Eprotenax Compact 105 de 8,7/15kV 3#50(50)mm²</t>
  </si>
  <si>
    <t>Enterrado tripolar no duto</t>
  </si>
  <si>
    <t>10 K</t>
  </si>
  <si>
    <t>SE2</t>
  </si>
  <si>
    <t>Eprotenax Compact 105 de 8,7/15kV 3#50 mm²</t>
  </si>
  <si>
    <t>5 H</t>
  </si>
  <si>
    <t>SE3</t>
  </si>
  <si>
    <t>25 K</t>
  </si>
  <si>
    <t>SE4</t>
  </si>
  <si>
    <t>40 K</t>
  </si>
  <si>
    <t>Cabo BT - Secundário dos Transformadores</t>
  </si>
  <si>
    <t>Disj (A)</t>
  </si>
  <si>
    <t>0.665+0.031i</t>
  </si>
  <si>
    <t>5x151</t>
  </si>
  <si>
    <t>NANBEIFLEX 450/750V 3#5x70(70)35 mm² 1kV</t>
  </si>
  <si>
    <t>Enterrado (61A) D</t>
  </si>
  <si>
    <t>TCs Proteção</t>
  </si>
  <si>
    <t>In primario</t>
  </si>
  <si>
    <t>Icc3f / 20</t>
  </si>
  <si>
    <t>RTC (A)</t>
  </si>
  <si>
    <t>Relação A</t>
  </si>
  <si>
    <t>TP</t>
  </si>
  <si>
    <t>Relação V</t>
  </si>
  <si>
    <t>0.1805+0.031i</t>
  </si>
  <si>
    <t>2x203</t>
  </si>
  <si>
    <t>NANBEIFLEX 450/750V 3#2x120(120)60 mm² 1kV</t>
  </si>
  <si>
    <t>Entrada</t>
  </si>
  <si>
    <t>200-5</t>
  </si>
  <si>
    <t>40:1</t>
  </si>
  <si>
    <t>13800-115 V</t>
  </si>
  <si>
    <t>120:1</t>
  </si>
  <si>
    <t>0.0741+0.03i</t>
  </si>
  <si>
    <t>6x336</t>
  </si>
  <si>
    <t>NANBEIFLEX 450/750V 3#6x300(300)150 mm² 1kV</t>
  </si>
  <si>
    <t>SE 3</t>
  </si>
  <si>
    <t>50-5</t>
  </si>
  <si>
    <t>10:1</t>
  </si>
  <si>
    <t>-</t>
  </si>
  <si>
    <t>12x336</t>
  </si>
  <si>
    <t>NANBEIFLEX 450/750V 3#8x300(300)150 mm² 1kV</t>
  </si>
  <si>
    <t>SE 4</t>
  </si>
  <si>
    <t>100-5</t>
  </si>
  <si>
    <t>20:1</t>
  </si>
  <si>
    <t>Transformadores</t>
  </si>
  <si>
    <t>Demanda W</t>
  </si>
  <si>
    <t>Demanda VA</t>
  </si>
  <si>
    <t>Potência (VA)</t>
  </si>
  <si>
    <t>Impedância(Ohm)</t>
  </si>
  <si>
    <t>Perdas Vazio (W)</t>
  </si>
  <si>
    <t>Perdas Totais (W)</t>
  </si>
  <si>
    <t>Perdas Cobre (W)</t>
  </si>
  <si>
    <t>Resistência(pu)</t>
  </si>
  <si>
    <t>Reatância(pu)</t>
  </si>
  <si>
    <t>Rpu</t>
  </si>
  <si>
    <t>Xpu</t>
  </si>
  <si>
    <t>Impedância (pu)</t>
  </si>
  <si>
    <t>Iinrush (A)</t>
  </si>
  <si>
    <t>Icc3fBT</t>
  </si>
  <si>
    <t>Icc2fBT</t>
  </si>
  <si>
    <t>Sdemanda (VA)</t>
  </si>
  <si>
    <t>Ip Ajustada (A)</t>
  </si>
  <si>
    <t>Icc1fMT (min)</t>
  </si>
  <si>
    <t>Disjuntores Linha Soprano DS</t>
  </si>
  <si>
    <t>Cabos Baixa</t>
  </si>
  <si>
    <t>* ABB</t>
  </si>
  <si>
    <t>F.P.</t>
  </si>
  <si>
    <t>V/A.km</t>
  </si>
  <si>
    <t>Disjuntor CM (A)</t>
  </si>
  <si>
    <t>Cap. Cabo (A)</t>
  </si>
  <si>
    <t>Seção Min(mm²)</t>
  </si>
  <si>
    <t>Distância (km)</t>
  </si>
  <si>
    <t>Z (Ohm)</t>
  </si>
  <si>
    <t>Z (pu)</t>
  </si>
  <si>
    <t>CCM / QDG</t>
  </si>
  <si>
    <t>Maneira de instalar</t>
  </si>
  <si>
    <t>SE 1</t>
  </si>
  <si>
    <t>QDG 1</t>
  </si>
  <si>
    <t>PVC 70°</t>
  </si>
  <si>
    <t>Enterrado (61A)</t>
  </si>
  <si>
    <t>D</t>
  </si>
  <si>
    <t>Trifólio</t>
  </si>
  <si>
    <t>NANBEIFLEX 450/750V 3#120(120)60 mm² 1kV</t>
  </si>
  <si>
    <t>QDG 2</t>
  </si>
  <si>
    <t>0.5985+0.034i</t>
  </si>
  <si>
    <t>SE 2</t>
  </si>
  <si>
    <t>QDG 3</t>
  </si>
  <si>
    <t>NANBEIFLEX 450/750V 3#35(35)16 mm² 1kV</t>
  </si>
  <si>
    <t>1.311+0.0372i</t>
  </si>
  <si>
    <t>QDG 4</t>
  </si>
  <si>
    <t>NANBEIFLEX 450/750V 3#16(16)8 mm² 1kV</t>
  </si>
  <si>
    <t>0.8265+0.0372i</t>
  </si>
  <si>
    <t>QDG 5</t>
  </si>
  <si>
    <t>NANBEIFLEX 450/750V 3#25(25)16 mm² 1kV</t>
  </si>
  <si>
    <t>QDG 6</t>
  </si>
  <si>
    <t>5x336</t>
  </si>
  <si>
    <t>CCM 1</t>
  </si>
  <si>
    <t>NANBEIFLEX 450/750V 3#5x300(300)150 mm² 1kV</t>
  </si>
  <si>
    <t>3x151</t>
  </si>
  <si>
    <t>QDG 7</t>
  </si>
  <si>
    <t>QDG 8</t>
  </si>
  <si>
    <t>NANBEIFLEX 450/750V 3#70(70)35 mm² 1kV</t>
  </si>
  <si>
    <t>2x230</t>
  </si>
  <si>
    <t>0.1425+0.031i</t>
  </si>
  <si>
    <t>CCM 2</t>
  </si>
  <si>
    <t>NANBEIFLEX 450/750V 3#2x150(150)75 mm² 1kV</t>
  </si>
  <si>
    <t>CCM 3</t>
  </si>
  <si>
    <t>8x336</t>
  </si>
  <si>
    <t>CCM 4</t>
  </si>
  <si>
    <t>GERADOR</t>
  </si>
  <si>
    <t>QDG 1/2</t>
  </si>
  <si>
    <t>Correção F.P.</t>
  </si>
  <si>
    <t>CCM4 SE4</t>
  </si>
  <si>
    <t>Angulo (rad)</t>
  </si>
  <si>
    <t>CCM3 SE4</t>
  </si>
  <si>
    <t>CCM1 SE3</t>
  </si>
  <si>
    <t>F.P. =</t>
  </si>
  <si>
    <t>P. Reativa (kVAr)</t>
  </si>
  <si>
    <t>F.P. Desejado =</t>
  </si>
  <si>
    <t>P. Cap (kVAr)</t>
  </si>
  <si>
    <t xml:space="preserve">F.P. Corrigido = </t>
  </si>
  <si>
    <t>N° Cap</t>
  </si>
  <si>
    <t>Corrente inicial (A)</t>
  </si>
  <si>
    <t>Total (kvar)</t>
  </si>
  <si>
    <t>F.P. SE antes =</t>
  </si>
  <si>
    <t>Corrente final (A)</t>
  </si>
  <si>
    <t>Referência</t>
  </si>
  <si>
    <t>UCWT17,5V40 O24</t>
  </si>
  <si>
    <t xml:space="preserve"> UCWT5V40 L16 </t>
  </si>
  <si>
    <t>F.P. SE depois =</t>
  </si>
  <si>
    <t xml:space="preserve"> UCWT7,5V40 N20 </t>
  </si>
  <si>
    <t>Série</t>
  </si>
  <si>
    <t>E</t>
  </si>
  <si>
    <t>Disjunto (A)</t>
  </si>
  <si>
    <t>FP SE 4 antes</t>
  </si>
  <si>
    <t>Gerador</t>
  </si>
  <si>
    <t>FP SE 4 depois</t>
  </si>
  <si>
    <t>I inicial SE (A)</t>
  </si>
  <si>
    <t>Carga Mínima (VA)</t>
  </si>
  <si>
    <t>Carga Mínima (W)</t>
  </si>
  <si>
    <t>I final SE (A)</t>
  </si>
  <si>
    <t>*Corrigindo FP da subestação a partir do CCM1. Maior carga e menor FP</t>
  </si>
  <si>
    <t>Gerador Stamford UCDI274K Winding 311, 60 HZ, Estrela Paralelo, 220/127 V, Stand By - 163/27 C</t>
  </si>
  <si>
    <t>Trifásico</t>
  </si>
  <si>
    <t>Fase-Terra</t>
  </si>
  <si>
    <t>Potência Aparente (VA)</t>
  </si>
  <si>
    <t>Reatância (PU)</t>
  </si>
  <si>
    <t>Icc na Saída do Gerador Permanete</t>
  </si>
  <si>
    <t>Icc Simultâneo no QTA</t>
  </si>
  <si>
    <t>Potência Ativa (W)</t>
  </si>
  <si>
    <t>Reatância Transiente (PU)</t>
  </si>
  <si>
    <t>Icc na Saída do Gerador Transiente</t>
  </si>
  <si>
    <t>Tensão (V)</t>
  </si>
  <si>
    <t>Reatância Subtransiente (PU)</t>
  </si>
  <si>
    <t>Icc na Saída do Gerador Subtransiente</t>
  </si>
  <si>
    <t>P Base</t>
  </si>
  <si>
    <t>Reatância de Zero</t>
  </si>
  <si>
    <t>I Base</t>
  </si>
  <si>
    <t>P/ CCM 1</t>
  </si>
  <si>
    <t>Relação de disjuntores</t>
  </si>
  <si>
    <t>P/ CCM 3</t>
  </si>
  <si>
    <t>Localização</t>
  </si>
  <si>
    <t>In</t>
  </si>
  <si>
    <t>Tipo</t>
  </si>
  <si>
    <t>Modelo</t>
  </si>
  <si>
    <t>Fabricante</t>
  </si>
  <si>
    <t>P/ CCM 4</t>
  </si>
  <si>
    <t>Caixa moldada</t>
  </si>
  <si>
    <t>DS800-S</t>
  </si>
  <si>
    <t>Soprano</t>
  </si>
  <si>
    <t>DS400-H</t>
  </si>
  <si>
    <t>Aberto</t>
  </si>
  <si>
    <t>ABW20ES3-20AZ1E-A0220</t>
  </si>
  <si>
    <t>WEG</t>
  </si>
  <si>
    <t>ABW40FS3-40AZ1E-A0220</t>
  </si>
  <si>
    <t>DS250-H</t>
  </si>
  <si>
    <t>Icc Máximo Cabo</t>
  </si>
  <si>
    <t>Icc Trifásico</t>
  </si>
  <si>
    <t>Icc Fase-Terra</t>
  </si>
  <si>
    <t>DS160-B</t>
  </si>
  <si>
    <t>ABW16DN3-16AZ1E-A0220</t>
  </si>
  <si>
    <t>ABW25ES3-25AZ1E-A0220</t>
  </si>
  <si>
    <t>B. Cap CCM 1</t>
  </si>
  <si>
    <t>B. Cap CCM 3</t>
  </si>
  <si>
    <t>B. Cap CCM 4</t>
  </si>
  <si>
    <t>Potência (W)</t>
  </si>
  <si>
    <t xml:space="preserve">Fábrica 1 </t>
  </si>
  <si>
    <t>CCM_1</t>
  </si>
  <si>
    <t>CCM_2</t>
  </si>
  <si>
    <t>CCM_3</t>
  </si>
  <si>
    <t>CCM_4</t>
  </si>
  <si>
    <t>CCM_5</t>
  </si>
  <si>
    <t>QD_1</t>
  </si>
  <si>
    <t>QDG_1</t>
  </si>
  <si>
    <t>Centro de Convivência</t>
  </si>
  <si>
    <t>QD_2</t>
  </si>
  <si>
    <t>QDG_2</t>
  </si>
  <si>
    <t>Fábrica 2</t>
  </si>
  <si>
    <t>QD_3</t>
  </si>
  <si>
    <t>QD_4</t>
  </si>
  <si>
    <t>QD_5</t>
  </si>
  <si>
    <t>QD_6</t>
  </si>
  <si>
    <t>QDG_3</t>
  </si>
  <si>
    <t>Depósito 1</t>
  </si>
  <si>
    <t>Depósito 2</t>
  </si>
  <si>
    <t>QDG_4</t>
  </si>
  <si>
    <t>QD_8</t>
  </si>
  <si>
    <t>QD_7</t>
  </si>
  <si>
    <t>Oficina</t>
  </si>
  <si>
    <t>CCM_6</t>
  </si>
  <si>
    <t>QD_9</t>
  </si>
  <si>
    <t>QD_10</t>
  </si>
  <si>
    <t>QD_11</t>
  </si>
  <si>
    <t>CCM_7</t>
  </si>
  <si>
    <t>QDG_5</t>
  </si>
  <si>
    <t>Laboratório</t>
  </si>
  <si>
    <t>CCM_8</t>
  </si>
  <si>
    <t>QDNB</t>
  </si>
  <si>
    <t>QD_12</t>
  </si>
  <si>
    <t>ADM</t>
  </si>
  <si>
    <t>QDG_6</t>
  </si>
  <si>
    <t>CCM_9</t>
  </si>
  <si>
    <t>QD_13</t>
  </si>
  <si>
    <t>QDG_7</t>
  </si>
  <si>
    <t>SE</t>
  </si>
  <si>
    <t>Quadro</t>
  </si>
  <si>
    <t>Tensão Linha (V)</t>
  </si>
  <si>
    <t>Demanda (kVA)</t>
  </si>
  <si>
    <t>F.P</t>
  </si>
  <si>
    <t>Seção(mm²)</t>
  </si>
  <si>
    <t>CABO BT (PVC)</t>
  </si>
  <si>
    <t>CABO BT (XLPE)</t>
  </si>
  <si>
    <t>FCT</t>
  </si>
  <si>
    <t>FCA</t>
  </si>
  <si>
    <t>Corrente Corrigida (A)</t>
  </si>
  <si>
    <t>Corrente  Projeto (A)</t>
  </si>
  <si>
    <t>Corrente (A) cabo 30 ºC</t>
  </si>
  <si>
    <t>Disposição</t>
  </si>
  <si>
    <t>2 - Critério da coordenação com a proteção e dimensionamento da proteção em Baixa Tensão.</t>
  </si>
  <si>
    <t>Disjuntor (A)</t>
  </si>
  <si>
    <t>DS125N</t>
  </si>
  <si>
    <t>DSE250-H</t>
  </si>
  <si>
    <t>3 - Critério máxima queda de tensão</t>
  </si>
  <si>
    <t>Distância (Km)</t>
  </si>
  <si>
    <t>Impedância Real</t>
  </si>
  <si>
    <t>Impedância  Unitária Cabo (Seq +)</t>
  </si>
  <si>
    <t>2 x 240</t>
  </si>
  <si>
    <t>DSE400-H</t>
  </si>
  <si>
    <t>DSE1600-S</t>
  </si>
  <si>
    <t>2 x 185</t>
  </si>
  <si>
    <t>Baixa</t>
  </si>
  <si>
    <t>Média</t>
  </si>
  <si>
    <t>Fábrica 1</t>
  </si>
  <si>
    <t>Depósito 1 e 2</t>
  </si>
  <si>
    <t>Corrente (A) cabo 20 ºC</t>
  </si>
  <si>
    <t>Cabo (mm²)</t>
  </si>
  <si>
    <t>Regime Permanente</t>
  </si>
  <si>
    <t>Motor (cv)</t>
  </si>
  <si>
    <t>IP/IN</t>
  </si>
  <si>
    <t>2 polos - 3600 RPM- WEG  - Catálogo pg 35</t>
  </si>
  <si>
    <t>Corrente nominal</t>
  </si>
  <si>
    <t>corrente de partida</t>
  </si>
  <si>
    <t>G</t>
  </si>
  <si>
    <t>F</t>
  </si>
  <si>
    <t>Método de Referência</t>
  </si>
  <si>
    <t>Horizontal Espaçado</t>
  </si>
  <si>
    <t>Horizontal Espaçado (Enterrado)</t>
  </si>
  <si>
    <t>Horizontal Justaposto</t>
  </si>
  <si>
    <t>Horizontal Justaposto (Enterrado)</t>
  </si>
  <si>
    <t xml:space="preserve">Método de Referência- Nº16 - G ou F - PVC  </t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</si>
  <si>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</si>
  <si>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</si>
  <si>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6%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</si>
  <si>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6%</t>
    </r>
  </si>
  <si>
    <t>Fábrica 1, 2, Depósitos, Oficina, Laboratório e ADM</t>
  </si>
  <si>
    <t>Distância Lado A (Km)</t>
  </si>
  <si>
    <t>Distância Lado B (Km)</t>
  </si>
  <si>
    <t>Distâncias Cabos em MT</t>
  </si>
  <si>
    <t>Impedância Unitária Cabo (Seq 0)</t>
  </si>
  <si>
    <t>1 - Capacidade de Corrente MT</t>
  </si>
  <si>
    <t>1 - Capacidade de Corrente BT</t>
  </si>
  <si>
    <t>Ponto</t>
  </si>
  <si>
    <t>Icc3f</t>
  </si>
  <si>
    <t>Icc2f</t>
  </si>
  <si>
    <t>Icc2ft</t>
  </si>
  <si>
    <t>Icc1f</t>
  </si>
  <si>
    <t>Pe</t>
  </si>
  <si>
    <t>Tr_Pri</t>
  </si>
  <si>
    <t>Tr_Sec</t>
  </si>
  <si>
    <t>CCM1</t>
  </si>
  <si>
    <t>CCM2</t>
  </si>
  <si>
    <t>CCM3</t>
  </si>
  <si>
    <t>CCM4</t>
  </si>
  <si>
    <t>CCM5</t>
  </si>
  <si>
    <t>QD1</t>
  </si>
  <si>
    <t>QD3</t>
  </si>
  <si>
    <t>QD4</t>
  </si>
  <si>
    <t>QD5</t>
  </si>
  <si>
    <t>QD6</t>
  </si>
  <si>
    <t>QDG3</t>
  </si>
  <si>
    <t>QDG5</t>
  </si>
  <si>
    <t>CCM6</t>
  </si>
  <si>
    <t>QD9</t>
  </si>
  <si>
    <t>QD10</t>
  </si>
  <si>
    <t>CCM7</t>
  </si>
  <si>
    <t>QD11</t>
  </si>
  <si>
    <t>QDG6</t>
  </si>
  <si>
    <t>CCM8</t>
  </si>
  <si>
    <t>QD12</t>
  </si>
  <si>
    <t>Impedância Real Lado A</t>
  </si>
  <si>
    <t>Impedância Real Lado B</t>
  </si>
  <si>
    <t>3#35(35)T16</t>
  </si>
  <si>
    <t>3#16(16)T16</t>
  </si>
  <si>
    <t>Trifólio (Enterrado)</t>
  </si>
  <si>
    <t>B1</t>
  </si>
  <si>
    <t>Método de Referência- Nº33- B1 - Trifólio - EPR</t>
  </si>
  <si>
    <t>Corrente para Queda Unitário</t>
  </si>
  <si>
    <t>Partida motor UNITÁRIO</t>
  </si>
  <si>
    <t>Capacidade Max de Icu (KA)</t>
  </si>
  <si>
    <t>QDG1</t>
  </si>
  <si>
    <t xml:space="preserve">    Tr_Pri   </t>
  </si>
  <si>
    <t xml:space="preserve">    Tr_Sec     </t>
  </si>
  <si>
    <t xml:space="preserve">    QDG_7   </t>
  </si>
  <si>
    <t>CCM9</t>
  </si>
  <si>
    <t>QD13</t>
  </si>
  <si>
    <t>Administrativo</t>
  </si>
  <si>
    <t>QD2</t>
  </si>
  <si>
    <t>QD7</t>
  </si>
  <si>
    <t>QD8</t>
  </si>
  <si>
    <t>Depósitos</t>
  </si>
  <si>
    <t>Múltiplo 3f</t>
  </si>
  <si>
    <t>Múltiplo 2f</t>
  </si>
  <si>
    <t>Múltiplo 2ft</t>
  </si>
  <si>
    <t>Múltiplo 1f</t>
  </si>
  <si>
    <t>Tempo de Atuação 3f</t>
  </si>
  <si>
    <t>Tempo de Atuação 2f</t>
  </si>
  <si>
    <t>Tempo de Atuação 2ft</t>
  </si>
  <si>
    <t>Tempo de Atuação 1f</t>
  </si>
  <si>
    <t>Modelo Disjuntor</t>
  </si>
  <si>
    <t>Atende 3f?</t>
  </si>
  <si>
    <t>Atende 2f?</t>
  </si>
  <si>
    <t>Atende 2ft?</t>
  </si>
  <si>
    <t>Atende 1f?</t>
  </si>
  <si>
    <t>Icu Máxima (KVA)</t>
  </si>
  <si>
    <t>Múltiplo</t>
  </si>
  <si>
    <t>Tensão Fase (V)</t>
  </si>
  <si>
    <t>Impedância  Unitária Cabo PE</t>
  </si>
  <si>
    <t>Zs</t>
  </si>
  <si>
    <t>ia</t>
  </si>
  <si>
    <t>Módulo Zs</t>
  </si>
  <si>
    <t>Impedância Real (Seq+)</t>
  </si>
  <si>
    <t>Impedância Real PE</t>
  </si>
  <si>
    <t>Ichld</t>
  </si>
  <si>
    <t>Fator de Redução</t>
  </si>
  <si>
    <t>Para o cálculo do fator de redução foram utilizadas as seguintes resistividades:</t>
  </si>
  <si>
    <t>3 x 120</t>
  </si>
  <si>
    <t>3x3#120(120)T70</t>
  </si>
  <si>
    <t>Centro de Convivência - Piso de Concreto Molhado - 21 ohm/m</t>
  </si>
  <si>
    <t>Ambiente Fabril e Demais - Piso de Concreto Seco - 1200 ohm/m</t>
  </si>
  <si>
    <t>log10 (Ia)</t>
  </si>
  <si>
    <t>Ia (A)</t>
  </si>
  <si>
    <t>E toque Real = Iccft*Zpe</t>
  </si>
  <si>
    <t>Ech=Valor Máximo da tensão de Toque  permitido(V)</t>
  </si>
  <si>
    <t>ZPE</t>
  </si>
  <si>
    <t>|ZPE|</t>
  </si>
  <si>
    <t>Tempo atuação Fim cabo</t>
  </si>
  <si>
    <t>5- Tensão de Toque - Situação 1  Anexo C t=0,4 para 220v e t=08 para 127v - TN-S</t>
  </si>
  <si>
    <t>Tensão de Toque IT</t>
  </si>
  <si>
    <t>log10(En)</t>
  </si>
  <si>
    <t>En (J/cm^2)</t>
  </si>
  <si>
    <t>E (J/cm^2)</t>
  </si>
  <si>
    <t>Distância Segura (mm)</t>
  </si>
  <si>
    <t>Trifólio Enterrado</t>
  </si>
  <si>
    <t>Tempo atuação Inicio cabo</t>
  </si>
  <si>
    <t>O cabo aguenta?</t>
  </si>
  <si>
    <t>ICH - Adotando Rch = 1000</t>
  </si>
  <si>
    <t>Fabrica 1</t>
  </si>
  <si>
    <t>Fabrica 2</t>
  </si>
  <si>
    <t>CURTOS</t>
  </si>
  <si>
    <t>Zs*ia&lt;=Uf?</t>
  </si>
  <si>
    <t>Categoria Tensão de Toque</t>
  </si>
  <si>
    <t>Infinito</t>
  </si>
  <si>
    <t>AC-2</t>
  </si>
  <si>
    <t>MORTE</t>
  </si>
  <si>
    <t>Icc1fmin</t>
  </si>
  <si>
    <t>PE</t>
  </si>
  <si>
    <t>Primário</t>
  </si>
  <si>
    <t>Secundário</t>
  </si>
  <si>
    <t>Imag (A)</t>
  </si>
  <si>
    <t>Incarga (A)</t>
  </si>
  <si>
    <t>Intrafo (A)</t>
  </si>
  <si>
    <t>Icc1fmín (A)</t>
  </si>
  <si>
    <t>Icc1f (A)</t>
  </si>
  <si>
    <t>Icc3f (A)</t>
  </si>
  <si>
    <t>Icc3f/20 (A)</t>
  </si>
  <si>
    <t>Itc (A)</t>
  </si>
  <si>
    <t>Proteção e Seletividade</t>
  </si>
  <si>
    <t>Iprele (A)</t>
  </si>
  <si>
    <t>Iprele Adotado (A)</t>
  </si>
  <si>
    <t>Iinst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</si>
</sst>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#,##0.0000"/>
    <numFmt numFmtId="166" formatCode="#,##0.00000"/>
    <numFmt numFmtId="167" formatCode="#,##0.000"/>
    <numFmt numFmtId="168" formatCode="0.000"/>
    <numFmt numFmtId="169" formatCode="0.00000"/>
    <numFmt numFmtId="170" formatCode="0.000000"/>
  </numFmts>
  <fonts count="23">
    <font>
      <sz val="10"/>
      <color rgb="FF000000"/>
      <name val="Arial"/>
    </font>
    <font>
      <sz val="10"/>
      <name val="Arial"/>
      <family val="2"/>
    </font>
    <font>
      <sz val="10"/>
      <color rgb="FF333333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11A9CC"/>
      <name val="Inconsolata"/>
    </font>
    <font>
      <sz val="10"/>
      <color rgb="FF000000"/>
      <name val="Arial"/>
      <family val="2"/>
    </font>
    <font>
      <sz val="11"/>
      <color rgb="FFA61D4C"/>
      <name val="Inconsolata"/>
    </font>
    <font>
      <sz val="10"/>
      <color rgb="FF000000"/>
      <name val="Roboto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Inconsolata"/>
    </font>
    <font>
      <sz val="11"/>
      <color rgb="FF000000"/>
      <name val="Inconsolata"/>
    </font>
    <font>
      <sz val="8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A677"/>
        <bgColor rgb="FFCCA677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" fontId="3" fillId="0" borderId="0" xfId="0" applyNumberFormat="1" applyFont="1" applyAlignment="1"/>
    <xf numFmtId="0" fontId="3" fillId="0" borderId="1" xfId="0" applyFont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4" fontId="3" fillId="4" borderId="2" xfId="0" applyNumberFormat="1" applyFont="1" applyFill="1" applyBorder="1"/>
    <xf numFmtId="2" fontId="3" fillId="4" borderId="2" xfId="0" applyNumberFormat="1" applyFont="1" applyFill="1" applyBorder="1"/>
    <xf numFmtId="4" fontId="3" fillId="4" borderId="1" xfId="0" applyNumberFormat="1" applyFont="1" applyFill="1" applyBorder="1"/>
    <xf numFmtId="0" fontId="1" fillId="0" borderId="3" xfId="0" applyFont="1" applyBorder="1" applyAlignment="1"/>
    <xf numFmtId="0" fontId="1" fillId="3" borderId="0" xfId="0" applyFont="1" applyFill="1"/>
    <xf numFmtId="0" fontId="3" fillId="3" borderId="0" xfId="0" applyFont="1" applyFill="1"/>
    <xf numFmtId="4" fontId="3" fillId="4" borderId="4" xfId="0" applyNumberFormat="1" applyFont="1" applyFill="1" applyBorder="1"/>
    <xf numFmtId="2" fontId="3" fillId="4" borderId="0" xfId="0" applyNumberFormat="1" applyFont="1" applyFill="1"/>
    <xf numFmtId="4" fontId="3" fillId="4" borderId="0" xfId="0" applyNumberFormat="1" applyFont="1" applyFill="1"/>
    <xf numFmtId="0" fontId="3" fillId="0" borderId="3" xfId="0" applyFont="1" applyBorder="1" applyAlignment="1"/>
    <xf numFmtId="0" fontId="3" fillId="3" borderId="0" xfId="0" applyFont="1" applyFill="1" applyAlignment="1"/>
    <xf numFmtId="0" fontId="3" fillId="3" borderId="3" xfId="0" applyFont="1" applyFill="1" applyBorder="1" applyAlignment="1"/>
    <xf numFmtId="4" fontId="3" fillId="4" borderId="3" xfId="0" applyNumberFormat="1" applyFont="1" applyFill="1" applyBorder="1"/>
    <xf numFmtId="0" fontId="1" fillId="0" borderId="1" xfId="0" applyFont="1" applyBorder="1" applyAlignment="1"/>
    <xf numFmtId="0" fontId="1" fillId="3" borderId="2" xfId="0" applyFont="1" applyFill="1" applyBorder="1"/>
    <xf numFmtId="0" fontId="3" fillId="3" borderId="2" xfId="0" applyFont="1" applyFill="1" applyBorder="1"/>
    <xf numFmtId="4" fontId="3" fillId="4" borderId="5" xfId="0" applyNumberFormat="1" applyFont="1" applyFill="1" applyBorder="1"/>
    <xf numFmtId="2" fontId="3" fillId="0" borderId="0" xfId="0" applyNumberFormat="1" applyFont="1" applyAlignment="1">
      <alignment horizontal="right"/>
    </xf>
    <xf numFmtId="0" fontId="3" fillId="3" borderId="3" xfId="0" applyFont="1" applyFill="1" applyBorder="1"/>
    <xf numFmtId="0" fontId="3" fillId="3" borderId="1" xfId="0" applyFont="1" applyFill="1" applyBorder="1"/>
    <xf numFmtId="0" fontId="1" fillId="0" borderId="6" xfId="0" applyFont="1" applyBorder="1" applyAlignment="1"/>
    <xf numFmtId="0" fontId="6" fillId="5" borderId="0" xfId="0" applyFont="1" applyFill="1"/>
    <xf numFmtId="0" fontId="1" fillId="0" borderId="7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2" fontId="1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0" fontId="1" fillId="7" borderId="0" xfId="0" applyFont="1" applyFill="1" applyAlignment="1"/>
    <xf numFmtId="2" fontId="3" fillId="7" borderId="0" xfId="0" applyNumberFormat="1" applyFont="1" applyFill="1"/>
    <xf numFmtId="0" fontId="3" fillId="7" borderId="0" xfId="0" applyFont="1" applyFill="1" applyAlignment="1"/>
    <xf numFmtId="10" fontId="3" fillId="7" borderId="0" xfId="0" applyNumberFormat="1" applyFont="1" applyFill="1" applyAlignment="1"/>
    <xf numFmtId="164" fontId="3" fillId="7" borderId="0" xfId="0" applyNumberFormat="1" applyFont="1" applyFill="1" applyAlignment="1"/>
    <xf numFmtId="0" fontId="3" fillId="7" borderId="0" xfId="0" applyFont="1" applyFill="1"/>
    <xf numFmtId="4" fontId="3" fillId="7" borderId="0" xfId="0" applyNumberFormat="1" applyFont="1" applyFill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/>
    <xf numFmtId="0" fontId="1" fillId="8" borderId="0" xfId="0" applyFont="1" applyFill="1" applyAlignment="1"/>
    <xf numFmtId="2" fontId="3" fillId="8" borderId="0" xfId="0" applyNumberFormat="1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10" fontId="3" fillId="8" borderId="0" xfId="0" applyNumberFormat="1" applyFont="1" applyFill="1" applyAlignment="1"/>
    <xf numFmtId="164" fontId="3" fillId="8" borderId="0" xfId="0" applyNumberFormat="1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4" fontId="3" fillId="8" borderId="0" xfId="0" applyNumberFormat="1" applyFont="1" applyFill="1" applyAlignment="1"/>
    <xf numFmtId="0" fontId="3" fillId="8" borderId="0" xfId="0" applyFont="1" applyFill="1" applyAlignment="1"/>
    <xf numFmtId="0" fontId="3" fillId="8" borderId="8" xfId="0" applyFont="1" applyFill="1" applyBorder="1" applyAlignment="1"/>
    <xf numFmtId="0" fontId="3" fillId="8" borderId="8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/>
    <xf numFmtId="4" fontId="3" fillId="8" borderId="0" xfId="0" applyNumberFormat="1" applyFont="1" applyFill="1"/>
    <xf numFmtId="0" fontId="3" fillId="7" borderId="8" xfId="0" applyFont="1" applyFill="1" applyBorder="1" applyAlignment="1"/>
    <xf numFmtId="0" fontId="3" fillId="8" borderId="0" xfId="0" applyFont="1" applyFill="1" applyAlignment="1">
      <alignment horizontal="right"/>
    </xf>
    <xf numFmtId="164" fontId="3" fillId="8" borderId="0" xfId="0" applyNumberFormat="1" applyFont="1" applyFill="1" applyAlignment="1"/>
    <xf numFmtId="0" fontId="1" fillId="7" borderId="0" xfId="0" applyFont="1" applyFill="1"/>
    <xf numFmtId="2" fontId="3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9" fontId="1" fillId="0" borderId="0" xfId="0" applyNumberFormat="1" applyFont="1"/>
    <xf numFmtId="170" fontId="7" fillId="5" borderId="0" xfId="0" applyNumberFormat="1" applyFont="1" applyFill="1" applyAlignment="1">
      <alignment horizontal="left"/>
    </xf>
    <xf numFmtId="10" fontId="8" fillId="5" borderId="0" xfId="0" applyNumberFormat="1" applyFont="1" applyFill="1"/>
    <xf numFmtId="164" fontId="1" fillId="0" borderId="0" xfId="0" applyNumberFormat="1" applyFont="1"/>
    <xf numFmtId="168" fontId="1" fillId="0" borderId="0" xfId="0" applyNumberFormat="1" applyFont="1"/>
    <xf numFmtId="0" fontId="9" fillId="5" borderId="0" xfId="0" applyFont="1" applyFill="1" applyAlignment="1"/>
    <xf numFmtId="4" fontId="1" fillId="0" borderId="0" xfId="0" applyNumberFormat="1" applyFont="1" applyAlignment="1"/>
    <xf numFmtId="0" fontId="10" fillId="5" borderId="0" xfId="0" applyFont="1" applyFill="1"/>
    <xf numFmtId="11" fontId="1" fillId="0" borderId="0" xfId="0" applyNumberFormat="1" applyFont="1" applyAlignment="1"/>
    <xf numFmtId="4" fontId="11" fillId="5" borderId="0" xfId="0" applyNumberFormat="1" applyFont="1" applyFill="1"/>
    <xf numFmtId="0" fontId="12" fillId="5" borderId="0" xfId="0" applyFont="1" applyFill="1" applyAlignment="1"/>
    <xf numFmtId="0" fontId="13" fillId="5" borderId="0" xfId="0" applyFont="1" applyFill="1" applyAlignment="1"/>
    <xf numFmtId="0" fontId="3" fillId="9" borderId="9" xfId="0" applyFont="1" applyFill="1" applyBorder="1" applyAlignment="1"/>
    <xf numFmtId="0" fontId="1" fillId="9" borderId="9" xfId="0" applyFont="1" applyFill="1" applyBorder="1" applyAlignment="1"/>
    <xf numFmtId="0" fontId="3" fillId="7" borderId="9" xfId="0" applyFont="1" applyFill="1" applyBorder="1" applyAlignment="1"/>
    <xf numFmtId="4" fontId="1" fillId="7" borderId="9" xfId="0" applyNumberFormat="1" applyFont="1" applyFill="1" applyBorder="1"/>
    <xf numFmtId="0" fontId="3" fillId="0" borderId="0" xfId="0" applyFont="1" applyAlignment="1"/>
    <xf numFmtId="0" fontId="3" fillId="7" borderId="9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 applyAlignment="1"/>
    <xf numFmtId="0" fontId="0" fillId="0" borderId="0" xfId="0" applyFont="1" applyAlignment="1"/>
    <xf numFmtId="0" fontId="16" fillId="0" borderId="10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0" fontId="1" fillId="8" borderId="8" xfId="0" applyFont="1" applyFill="1" applyBorder="1" applyAlignment="1"/>
    <xf numFmtId="0" fontId="0" fillId="0" borderId="8" xfId="0" applyFont="1" applyFill="1" applyBorder="1" applyAlignment="1"/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1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168" fontId="0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68" fontId="0" fillId="0" borderId="10" xfId="0" applyNumberFormat="1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168" fontId="0" fillId="0" borderId="25" xfId="0" applyNumberFormat="1" applyFont="1" applyFill="1" applyBorder="1" applyAlignment="1">
      <alignment horizontal="center" vertical="center"/>
    </xf>
    <xf numFmtId="168" fontId="7" fillId="0" borderId="23" xfId="0" applyNumberFormat="1" applyFont="1" applyFill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8" fontId="7" fillId="0" borderId="23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68" fontId="0" fillId="0" borderId="2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168" fontId="0" fillId="0" borderId="23" xfId="0" applyNumberFormat="1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0" borderId="21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0" fillId="0" borderId="10" xfId="0" quotePrefix="1" applyFont="1" applyFill="1" applyBorder="1" applyAlignment="1">
      <alignment horizontal="center" vertical="center"/>
    </xf>
    <xf numFmtId="0" fontId="0" fillId="11" borderId="23" xfId="0" quotePrefix="1" applyFont="1" applyFill="1" applyBorder="1" applyAlignment="1">
      <alignment horizontal="center" vertical="center"/>
    </xf>
    <xf numFmtId="0" fontId="0" fillId="11" borderId="15" xfId="0" quotePrefix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0" fillId="0" borderId="0" xfId="0" applyFont="1" applyFill="1" applyAlignment="1"/>
    <xf numFmtId="0" fontId="16" fillId="0" borderId="10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6" fillId="12" borderId="28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168" fontId="0" fillId="12" borderId="15" xfId="0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168" fontId="0" fillId="12" borderId="10" xfId="0" applyNumberFormat="1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168" fontId="0" fillId="12" borderId="23" xfId="0" applyNumberFormat="1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3" xfId="0" quotePrefix="1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10" xfId="0" applyFont="1" applyFill="1" applyBorder="1" applyAlignment="1">
      <alignment horizontal="center" vertical="center" wrapText="1"/>
    </xf>
    <xf numFmtId="0" fontId="0" fillId="0" borderId="10" xfId="0" quotePrefix="1" applyFont="1" applyBorder="1" applyAlignment="1">
      <alignment horizontal="center" vertical="center"/>
    </xf>
    <xf numFmtId="168" fontId="0" fillId="12" borderId="28" xfId="0" applyNumberFormat="1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8" xfId="0" applyFont="1" applyBorder="1" applyAlignment="1">
      <alignment horizontal="center" vertical="center" wrapText="1"/>
    </xf>
    <xf numFmtId="0" fontId="0" fillId="0" borderId="0" xfId="0"/>
    <xf numFmtId="168" fontId="0" fillId="0" borderId="0" xfId="0" applyNumberFormat="1"/>
    <xf numFmtId="0" fontId="0" fillId="0" borderId="8" xfId="0" applyBorder="1"/>
    <xf numFmtId="0" fontId="0" fillId="0" borderId="8" xfId="0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3" xfId="0" quotePrefix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vertical="center"/>
    </xf>
    <xf numFmtId="168" fontId="7" fillId="0" borderId="8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168" fontId="7" fillId="0" borderId="15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2" fontId="0" fillId="12" borderId="8" xfId="0" applyNumberFormat="1" applyFont="1" applyFill="1" applyBorder="1" applyAlignment="1">
      <alignment horizontal="center" vertical="center"/>
    </xf>
    <xf numFmtId="0" fontId="0" fillId="12" borderId="15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10" xfId="0" applyFill="1" applyBorder="1"/>
    <xf numFmtId="2" fontId="0" fillId="0" borderId="10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ont="1" applyAlignment="1"/>
    <xf numFmtId="0" fontId="7" fillId="13" borderId="15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164" fontId="0" fillId="0" borderId="10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9" fontId="0" fillId="0" borderId="10" xfId="0" applyNumberFormat="1" applyFont="1" applyFill="1" applyBorder="1" applyAlignment="1">
      <alignment horizontal="center" vertical="center"/>
    </xf>
    <xf numFmtId="169" fontId="0" fillId="0" borderId="23" xfId="0" applyNumberFormat="1" applyFont="1" applyFill="1" applyBorder="1" applyAlignment="1">
      <alignment horizontal="center" vertical="center"/>
    </xf>
    <xf numFmtId="169" fontId="0" fillId="0" borderId="15" xfId="0" applyNumberFormat="1" applyFont="1" applyBorder="1" applyAlignment="1">
      <alignment horizontal="center" vertical="center"/>
    </xf>
    <xf numFmtId="169" fontId="0" fillId="0" borderId="23" xfId="0" applyNumberFormat="1" applyFont="1" applyBorder="1" applyAlignment="1">
      <alignment horizontal="center" vertical="center"/>
    </xf>
    <xf numFmtId="169" fontId="0" fillId="0" borderId="10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4" xfId="0" applyFont="1" applyBorder="1" applyAlignment="1"/>
    <xf numFmtId="0" fontId="18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/>
    </xf>
    <xf numFmtId="0" fontId="18" fillId="0" borderId="28" xfId="0" applyFont="1" applyFill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8" fillId="0" borderId="12" xfId="0" applyFont="1" applyFill="1" applyBorder="1" applyAlignment="1">
      <alignment vertical="center" wrapText="1"/>
    </xf>
    <xf numFmtId="0" fontId="18" fillId="0" borderId="24" xfId="0" applyFont="1" applyFill="1" applyBorder="1" applyAlignment="1">
      <alignment vertical="center" wrapText="1"/>
    </xf>
    <xf numFmtId="0" fontId="0" fillId="0" borderId="13" xfId="0" applyFont="1" applyFill="1" applyBorder="1" applyAlignment="1"/>
    <xf numFmtId="0" fontId="0" fillId="0" borderId="18" xfId="0" applyFont="1" applyFill="1" applyBorder="1" applyAlignment="1"/>
    <xf numFmtId="0" fontId="18" fillId="0" borderId="18" xfId="0" applyFont="1" applyFill="1" applyBorder="1" applyAlignment="1"/>
    <xf numFmtId="0" fontId="0" fillId="0" borderId="18" xfId="0" applyFont="1" applyBorder="1" applyAlignment="1"/>
    <xf numFmtId="0" fontId="16" fillId="0" borderId="19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3" xfId="0" applyFont="1" applyBorder="1" applyAlignment="1"/>
    <xf numFmtId="0" fontId="7" fillId="0" borderId="22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9" fontId="0" fillId="0" borderId="15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3" xfId="0" applyFont="1" applyFill="1" applyBorder="1" applyAlignment="1"/>
    <xf numFmtId="0" fontId="7" fillId="0" borderId="10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12" borderId="27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7" fillId="0" borderId="10" xfId="0" applyFont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15" fillId="0" borderId="23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wrapText="1"/>
    </xf>
    <xf numFmtId="164" fontId="15" fillId="0" borderId="10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168" fontId="15" fillId="0" borderId="23" xfId="0" applyNumberFormat="1" applyFont="1" applyFill="1" applyBorder="1" applyAlignment="1">
      <alignment horizontal="center" vertical="center"/>
    </xf>
    <xf numFmtId="164" fontId="15" fillId="0" borderId="23" xfId="0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164" fontId="15" fillId="0" borderId="23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0" fontId="15" fillId="12" borderId="15" xfId="0" applyFont="1" applyFill="1" applyBorder="1" applyAlignment="1">
      <alignment horizontal="center" vertical="center"/>
    </xf>
    <xf numFmtId="0" fontId="15" fillId="12" borderId="23" xfId="0" applyFont="1" applyFill="1" applyBorder="1" applyAlignment="1">
      <alignment horizontal="center" vertical="center"/>
    </xf>
    <xf numFmtId="0" fontId="15" fillId="12" borderId="2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2" fontId="0" fillId="15" borderId="10" xfId="0" applyNumberFormat="1" applyFill="1" applyBorder="1" applyAlignment="1">
      <alignment horizontal="center" vertical="center"/>
    </xf>
    <xf numFmtId="2" fontId="0" fillId="15" borderId="15" xfId="0" applyNumberFormat="1" applyFont="1" applyFill="1" applyBorder="1" applyAlignment="1">
      <alignment horizontal="center" vertical="center"/>
    </xf>
    <xf numFmtId="2" fontId="0" fillId="15" borderId="28" xfId="0" applyNumberFormat="1" applyFont="1" applyFill="1" applyBorder="1" applyAlignment="1">
      <alignment horizontal="center" vertical="center"/>
    </xf>
    <xf numFmtId="2" fontId="0" fillId="15" borderId="10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2" fontId="0" fillId="15" borderId="12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vertical="center"/>
    </xf>
    <xf numFmtId="2" fontId="0" fillId="0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0" fillId="12" borderId="13" xfId="0" applyNumberFormat="1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2" borderId="14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29" xfId="0" applyNumberFormat="1" applyFont="1" applyFill="1" applyBorder="1" applyAlignment="1">
      <alignment horizontal="center" vertical="center"/>
    </xf>
    <xf numFmtId="0" fontId="0" fillId="0" borderId="34" xfId="0" applyNumberFormat="1" applyFont="1" applyFill="1" applyBorder="1" applyAlignment="1">
      <alignment horizontal="center" vertical="center"/>
    </xf>
    <xf numFmtId="0" fontId="0" fillId="0" borderId="30" xfId="0" applyNumberFormat="1" applyFont="1" applyFill="1" applyBorder="1" applyAlignment="1">
      <alignment horizontal="center" vertical="center"/>
    </xf>
    <xf numFmtId="0" fontId="0" fillId="12" borderId="29" xfId="0" applyNumberFormat="1" applyFont="1" applyFill="1" applyBorder="1" applyAlignment="1">
      <alignment horizontal="center" vertical="center"/>
    </xf>
    <xf numFmtId="0" fontId="0" fillId="12" borderId="34" xfId="0" applyNumberFormat="1" applyFont="1" applyFill="1" applyBorder="1" applyAlignment="1">
      <alignment horizontal="center" vertical="center"/>
    </xf>
    <xf numFmtId="0" fontId="0" fillId="12" borderId="30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12" borderId="27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0" fillId="12" borderId="27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15" fillId="12" borderId="27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/>
    </xf>
    <xf numFmtId="0" fontId="0" fillId="16" borderId="14" xfId="0" applyFont="1" applyFill="1" applyBorder="1" applyAlignment="1">
      <alignment horizontal="center"/>
    </xf>
    <xf numFmtId="0" fontId="18" fillId="16" borderId="11" xfId="0" applyFont="1" applyFill="1" applyBorder="1" applyAlignment="1">
      <alignment horizontal="center" vertical="center"/>
    </xf>
    <xf numFmtId="0" fontId="18" fillId="16" borderId="20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0" fontId="18" fillId="16" borderId="31" xfId="0" applyFont="1" applyFill="1" applyBorder="1" applyAlignment="1">
      <alignment horizontal="center" vertical="center"/>
    </xf>
    <xf numFmtId="0" fontId="18" fillId="16" borderId="8" xfId="0" applyFont="1" applyFill="1" applyBorder="1" applyAlignment="1">
      <alignment horizontal="center" vertical="center"/>
    </xf>
    <xf numFmtId="0" fontId="18" fillId="16" borderId="32" xfId="0" applyFont="1" applyFill="1" applyBorder="1" applyAlignment="1">
      <alignment horizontal="center" vertical="center"/>
    </xf>
    <xf numFmtId="0" fontId="18" fillId="16" borderId="21" xfId="0" applyFont="1" applyFill="1" applyBorder="1" applyAlignment="1">
      <alignment horizontal="center" vertical="center"/>
    </xf>
    <xf numFmtId="0" fontId="18" fillId="16" borderId="16" xfId="0" applyFont="1" applyFill="1" applyBorder="1" applyAlignment="1">
      <alignment horizontal="center" vertical="center"/>
    </xf>
    <xf numFmtId="0" fontId="18" fillId="16" borderId="17" xfId="0" applyFont="1" applyFill="1" applyBorder="1" applyAlignment="1">
      <alignment horizontal="center" vertical="center"/>
    </xf>
    <xf numFmtId="2" fontId="18" fillId="16" borderId="11" xfId="0" applyNumberFormat="1" applyFont="1" applyFill="1" applyBorder="1" applyAlignment="1">
      <alignment horizontal="center" vertical="center"/>
    </xf>
    <xf numFmtId="2" fontId="18" fillId="16" borderId="20" xfId="0" applyNumberFormat="1" applyFont="1" applyFill="1" applyBorder="1" applyAlignment="1">
      <alignment horizontal="center" vertical="center"/>
    </xf>
    <xf numFmtId="2" fontId="18" fillId="16" borderId="22" xfId="0" applyNumberFormat="1" applyFont="1" applyFill="1" applyBorder="1" applyAlignment="1">
      <alignment horizontal="center" vertical="center"/>
    </xf>
    <xf numFmtId="2" fontId="18" fillId="16" borderId="31" xfId="0" applyNumberFormat="1" applyFont="1" applyFill="1" applyBorder="1" applyAlignment="1">
      <alignment horizontal="center" vertical="center"/>
    </xf>
    <xf numFmtId="2" fontId="18" fillId="16" borderId="8" xfId="0" applyNumberFormat="1" applyFont="1" applyFill="1" applyBorder="1" applyAlignment="1">
      <alignment horizontal="center" vertical="center"/>
    </xf>
    <xf numFmtId="2" fontId="18" fillId="16" borderId="32" xfId="0" applyNumberFormat="1" applyFont="1" applyFill="1" applyBorder="1" applyAlignment="1">
      <alignment horizontal="center" vertical="center"/>
    </xf>
    <xf numFmtId="2" fontId="18" fillId="16" borderId="21" xfId="0" applyNumberFormat="1" applyFont="1" applyFill="1" applyBorder="1" applyAlignment="1">
      <alignment horizontal="center" vertical="center"/>
    </xf>
    <xf numFmtId="2" fontId="18" fillId="16" borderId="16" xfId="0" applyNumberFormat="1" applyFont="1" applyFill="1" applyBorder="1" applyAlignment="1">
      <alignment horizontal="center" vertical="center"/>
    </xf>
    <xf numFmtId="2" fontId="18" fillId="16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5" defaultTableStyle="TableStyleMedium2" defaultPivotStyle="PivotStyleLight16">
    <tableStyle name="Sheet1-style" pivot="0" count="3">
      <tableStyleElement type="headerRow" dxfId="14"/>
      <tableStyleElement type="firstRowStripe" dxfId="13"/>
      <tableStyleElement type="secondRowStripe" dxfId="12"/>
    </tableStyle>
    <tableStyle name="Sheet1-style 2" pivot="0" count="3">
      <tableStyleElement type="headerRow" dxfId="11"/>
      <tableStyleElement type="firstRowStripe" dxfId="10"/>
      <tableStyleElement type="secondRowStripe" dxfId="9"/>
    </tableStyle>
    <tableStyle name="Sheet1-style 3" pivot="0" count="3">
      <tableStyleElement type="headerRow" dxfId="8"/>
      <tableStyleElement type="firstRowStripe" dxfId="7"/>
      <tableStyleElement type="secondRowStripe" dxfId="6"/>
    </tableStyle>
    <tableStyle name="Sheet1-style 4" pivot="0" count="3">
      <tableStyleElement type="headerRow" dxfId="5"/>
      <tableStyleElement type="firstRowStripe" dxfId="4"/>
      <tableStyleElement type="secondRowStripe" dxfId="3"/>
    </tableStyle>
    <tableStyle name="Sheet1-style 5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1134835</xdr:colOff>
      <xdr:row>208</xdr:row>
      <xdr:rowOff>38100</xdr:rowOff>
    </xdr:from>
    <xdr:to>
      <xdr:col>34</xdr:col>
      <xdr:colOff>819603</xdr:colOff>
      <xdr:row>219</xdr:row>
      <xdr:rowOff>32933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F19A2F-5959-469E-B1D7-C52743AA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28135" y="36233100"/>
          <a:ext cx="5917729" cy="1671233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571503</xdr:colOff>
      <xdr:row>152</xdr:row>
      <xdr:rowOff>130629</xdr:rowOff>
    </xdr:from>
    <xdr:to>
      <xdr:col>23</xdr:col>
      <xdr:colOff>1118604</xdr:colOff>
      <xdr:row>174</xdr:row>
      <xdr:rowOff>45117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9D71E1-6770-4CCA-96AE-D4406234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03" y="27791229"/>
          <a:ext cx="4395201" cy="3267288"/>
        </a:xfrm>
        <a:prstGeom prst="rect">
          <a:avLst/>
        </a:prstGeom>
      </xdr:spPr>
    </xdr:pic>
    <xdr:clientData/>
  </xdr:twoCellAnchor>
  <xdr:twoCellAnchor editAs="oneCell">
    <xdr:from>
      <xdr:col>21</xdr:col>
      <xdr:colOff>413657</xdr:colOff>
      <xdr:row>192</xdr:row>
      <xdr:rowOff>133350</xdr:rowOff>
    </xdr:from>
    <xdr:to>
      <xdr:col>25</xdr:col>
      <xdr:colOff>380942</xdr:colOff>
      <xdr:row>208</xdr:row>
      <xdr:rowOff>37240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40735A5-2588-4B04-8F4E-B24429DC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44357" y="33889950"/>
          <a:ext cx="5529885" cy="2342291"/>
        </a:xfrm>
        <a:prstGeom prst="rect">
          <a:avLst/>
        </a:prstGeom>
      </xdr:spPr>
    </xdr:pic>
    <xdr:clientData/>
  </xdr:twoCellAnchor>
  <xdr:twoCellAnchor editAs="oneCell">
    <xdr:from>
      <xdr:col>21</xdr:col>
      <xdr:colOff>589111</xdr:colOff>
      <xdr:row>185</xdr:row>
      <xdr:rowOff>67235</xdr:rowOff>
    </xdr:from>
    <xdr:to>
      <xdr:col>25</xdr:col>
      <xdr:colOff>550581</xdr:colOff>
      <xdr:row>190</xdr:row>
      <xdr:rowOff>132497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899968A-4C53-4033-B77C-90DEE25CA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19811" y="32757035"/>
          <a:ext cx="5524070" cy="827263"/>
        </a:xfrm>
        <a:prstGeom prst="rect">
          <a:avLst/>
        </a:prstGeom>
      </xdr:spPr>
    </xdr:pic>
    <xdr:clientData/>
  </xdr:twoCellAnchor>
  <xdr:twoCellAnchor editAs="oneCell">
    <xdr:from>
      <xdr:col>15</xdr:col>
      <xdr:colOff>225878</xdr:colOff>
      <xdr:row>153</xdr:row>
      <xdr:rowOff>16328</xdr:rowOff>
    </xdr:from>
    <xdr:to>
      <xdr:col>15</xdr:col>
      <xdr:colOff>904067</xdr:colOff>
      <xdr:row>184</xdr:row>
      <xdr:rowOff>110952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F407796-EB68-4B70-B78F-C481B4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51178" y="27829328"/>
          <a:ext cx="678189" cy="4819024"/>
        </a:xfrm>
        <a:prstGeom prst="rect">
          <a:avLst/>
        </a:prstGeom>
      </xdr:spPr>
    </xdr:pic>
    <xdr:clientData/>
  </xdr:twoCellAnchor>
  <xdr:twoCellAnchor editAs="oneCell">
    <xdr:from>
      <xdr:col>15</xdr:col>
      <xdr:colOff>874939</xdr:colOff>
      <xdr:row>155</xdr:row>
      <xdr:rowOff>141513</xdr:rowOff>
    </xdr:from>
    <xdr:to>
      <xdr:col>16</xdr:col>
      <xdr:colOff>375080</xdr:colOff>
      <xdr:row>184</xdr:row>
      <xdr:rowOff>115549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46EBE4-0245-467C-9808-FF083761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0239" y="28259313"/>
          <a:ext cx="605041" cy="4393637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185</xdr:row>
      <xdr:rowOff>122737</xdr:rowOff>
    </xdr:from>
    <xdr:to>
      <xdr:col>11</xdr:col>
      <xdr:colOff>275144</xdr:colOff>
      <xdr:row>225</xdr:row>
      <xdr:rowOff>72752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4243E28-6427-4C7D-A09A-CA727153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3143" y="32812537"/>
          <a:ext cx="8266592" cy="6046017"/>
        </a:xfrm>
        <a:prstGeom prst="rect">
          <a:avLst/>
        </a:prstGeom>
      </xdr:spPr>
    </xdr:pic>
    <xdr:clientData/>
  </xdr:twoCellAnchor>
  <xdr:twoCellAnchor editAs="oneCell">
    <xdr:from>
      <xdr:col>25</xdr:col>
      <xdr:colOff>925286</xdr:colOff>
      <xdr:row>181</xdr:row>
      <xdr:rowOff>32657</xdr:rowOff>
    </xdr:from>
    <xdr:to>
      <xdr:col>36</xdr:col>
      <xdr:colOff>771027</xdr:colOff>
      <xdr:row>208</xdr:row>
      <xdr:rowOff>91119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78C89-4714-4CAC-8950-5751E584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18586" y="32112857"/>
          <a:ext cx="7720735" cy="41732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57149</xdr:rowOff>
    </xdr:from>
    <xdr:to>
      <xdr:col>13</xdr:col>
      <xdr:colOff>791035</xdr:colOff>
      <xdr:row>185</xdr:row>
      <xdr:rowOff>47852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0F15CF4-0975-4F72-B4E2-71F35E149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412949"/>
          <a:ext cx="11118376" cy="5324702"/>
        </a:xfrm>
        <a:prstGeom prst="rect">
          <a:avLst/>
        </a:prstGeom>
      </xdr:spPr>
    </xdr:pic>
    <xdr:clientData/>
  </xdr:twoCellAnchor>
  <xdr:twoCellAnchor editAs="oneCell">
    <xdr:from>
      <xdr:col>14</xdr:col>
      <xdr:colOff>465365</xdr:colOff>
      <xdr:row>211</xdr:row>
      <xdr:rowOff>30842</xdr:rowOff>
    </xdr:from>
    <xdr:to>
      <xdr:col>25</xdr:col>
      <xdr:colOff>145851</xdr:colOff>
      <xdr:row>227</xdr:row>
      <xdr:rowOff>10119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EDF0F6B-CE3D-4F3E-BE5A-8F028642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76265" y="36683042"/>
          <a:ext cx="11262886" cy="2417676"/>
        </a:xfrm>
        <a:prstGeom prst="rect">
          <a:avLst/>
        </a:prstGeom>
      </xdr:spPr>
    </xdr:pic>
    <xdr:clientData/>
  </xdr:twoCellAnchor>
  <xdr:twoCellAnchor editAs="oneCell">
    <xdr:from>
      <xdr:col>32</xdr:col>
      <xdr:colOff>195489</xdr:colOff>
      <xdr:row>145</xdr:row>
      <xdr:rowOff>58964</xdr:rowOff>
    </xdr:from>
    <xdr:to>
      <xdr:col>37</xdr:col>
      <xdr:colOff>507977</xdr:colOff>
      <xdr:row>180</xdr:row>
      <xdr:rowOff>17598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E779F7-A596-411A-9D50-CF712107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833864" y="27046464"/>
          <a:ext cx="4138364" cy="5514884"/>
        </a:xfrm>
        <a:prstGeom prst="rect">
          <a:avLst/>
        </a:prstGeom>
      </xdr:spPr>
    </xdr:pic>
    <xdr:clientData/>
  </xdr:twoCellAnchor>
  <xdr:twoCellAnchor editAs="oneCell">
    <xdr:from>
      <xdr:col>24</xdr:col>
      <xdr:colOff>288470</xdr:colOff>
      <xdr:row>152</xdr:row>
      <xdr:rowOff>13609</xdr:rowOff>
    </xdr:from>
    <xdr:to>
      <xdr:col>31</xdr:col>
      <xdr:colOff>441771</xdr:colOff>
      <xdr:row>180</xdr:row>
      <xdr:rowOff>41742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B93E3-B108-46AE-A01A-86C2FCE78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48270" y="27674209"/>
          <a:ext cx="5828929" cy="4295333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504825</xdr:colOff>
      <xdr:row>193</xdr:row>
      <xdr:rowOff>117478</xdr:rowOff>
    </xdr:from>
    <xdr:to>
      <xdr:col>21</xdr:col>
      <xdr:colOff>215584</xdr:colOff>
      <xdr:row>207</xdr:row>
      <xdr:rowOff>71505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2E9C7C4-CA69-433F-97B7-30C40BC8B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69825" y="34724978"/>
          <a:ext cx="4790759" cy="2176527"/>
        </a:xfrm>
        <a:prstGeom prst="rect">
          <a:avLst/>
        </a:prstGeom>
      </xdr:spPr>
    </xdr:pic>
    <xdr:clientData/>
  </xdr:twoCellAnchor>
  <xdr:twoCellAnchor editAs="oneCell">
    <xdr:from>
      <xdr:col>25</xdr:col>
      <xdr:colOff>871848</xdr:colOff>
      <xdr:row>220</xdr:row>
      <xdr:rowOff>17320</xdr:rowOff>
    </xdr:from>
    <xdr:to>
      <xdr:col>34</xdr:col>
      <xdr:colOff>124157</xdr:colOff>
      <xdr:row>231</xdr:row>
      <xdr:rowOff>63243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3DA1AE9-6C0B-4B75-A2C6-0FB704678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465148" y="38041120"/>
          <a:ext cx="5484521" cy="17223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C16:P26">
  <tableColumns count="14">
    <tableColumn id="1" name="Subestação"/>
    <tableColumn id="2" name="Tensão linha (V)"/>
    <tableColumn id="3" name="F.P. Ñ Corrigido"/>
    <tableColumn id="4" name="Corrente (A)"/>
    <tableColumn id="5" name="Z (Ohm/km)"/>
    <tableColumn id="6" name="Distância (m)"/>
    <tableColumn id="7" name="Z (ohms)"/>
    <tableColumn id="8" name="Impedância (PU)"/>
    <tableColumn id="9" name="Cap. Cabo(A)"/>
    <tableColumn id="10" name="Seção (mm²)"/>
    <tableColumn id="11" name="Seção Mín (mm²)"/>
    <tableColumn id="12" name="Queda V(%)"/>
    <tableColumn id="13" name="Cabo"/>
    <tableColumn id="14" name="Maneira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Q16:Q20">
  <tableColumns count="1">
    <tableColumn id="1" name="Chave fusível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N28:T32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C28:M33">
  <tableColumns count="11">
    <tableColumn id="1" name="Subestação"/>
    <tableColumn id="2" name="Potência (VA)"/>
    <tableColumn id="3" name="Impedância(Ohm)"/>
    <tableColumn id="4" name="Perdas Vazio (W)"/>
    <tableColumn id="5" name="Perdas Totais (W)"/>
    <tableColumn id="6" name="Perdas Cobre (W)"/>
    <tableColumn id="7" name="Resistência(pu)"/>
    <tableColumn id="8" name="Reatância(pu)"/>
    <tableColumn id="9" name="Rpu"/>
    <tableColumn id="10" name="Xpu"/>
    <tableColumn id="11" name="Impedância (pu)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72:F92">
  <tableColumns count="5">
    <tableColumn id="1" name="Localização"/>
    <tableColumn id="2" name="In"/>
    <tableColumn id="3" name="Tipo"/>
    <tableColumn id="4" name="Modelo"/>
    <tableColumn id="5" name="Fabricante"/>
  </tableColumns>
  <tableStyleInfo name="Sheet1-style 5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2"/>
  <sheetViews>
    <sheetView topLeftCell="A2" zoomScale="55" zoomScaleNormal="55" workbookViewId="0">
      <selection activeCell="N17" sqref="N17"/>
    </sheetView>
  </sheetViews>
  <sheetFormatPr defaultColWidth="14.42578125" defaultRowHeight="15.75" customHeight="1"/>
  <cols>
    <col min="1" max="2" width="12.140625" customWidth="1"/>
    <col min="3" max="3" width="13.7109375" customWidth="1"/>
    <col min="4" max="4" width="27.5703125" bestFit="1" customWidth="1"/>
    <col min="13" max="13" width="14.85546875" customWidth="1"/>
    <col min="15" max="15" width="15.7109375" customWidth="1"/>
    <col min="16" max="16" width="15.5703125" customWidth="1"/>
  </cols>
  <sheetData>
    <row r="1" spans="1:22" ht="15.75" customHeight="1">
      <c r="A1" s="1"/>
      <c r="B1" s="1" t="s">
        <v>0</v>
      </c>
      <c r="C1" s="2" t="e">
        <f>COMPLEX(ROUND(IMREAL(B1),3),ROUND(IMAGINARY(B1),3))</f>
        <v>#NUM!</v>
      </c>
      <c r="E1" s="1"/>
      <c r="F1" s="1"/>
      <c r="I1" s="409" t="s">
        <v>1</v>
      </c>
      <c r="J1" s="410"/>
      <c r="L1" s="1"/>
      <c r="O1" s="409" t="s">
        <v>1</v>
      </c>
      <c r="P1" s="410"/>
      <c r="Q1" s="1"/>
      <c r="U1" s="1" t="s">
        <v>2</v>
      </c>
    </row>
    <row r="2" spans="1:22" ht="15.75" customHeight="1">
      <c r="A2" s="3"/>
      <c r="B2" s="3"/>
      <c r="C2" s="3"/>
      <c r="D2" s="3"/>
      <c r="E2" s="3"/>
      <c r="F2" s="3"/>
      <c r="G2" s="3"/>
      <c r="H2" s="4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6" t="s">
        <v>9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U2" s="1" t="s">
        <v>10</v>
      </c>
      <c r="V2">
        <f>K3/20</f>
        <v>100.14435784724475</v>
      </c>
    </row>
    <row r="3" spans="1:22" ht="15.75" customHeight="1">
      <c r="A3" s="3"/>
      <c r="B3" s="3"/>
      <c r="C3" s="5" t="s">
        <v>11</v>
      </c>
      <c r="D3" s="7">
        <v>100000000</v>
      </c>
      <c r="E3" s="5" t="s">
        <v>11</v>
      </c>
      <c r="F3" s="7">
        <v>100000000</v>
      </c>
      <c r="G3" s="3"/>
      <c r="H3" s="8" t="s">
        <v>12</v>
      </c>
      <c r="I3" s="9" t="str">
        <f>COMPLEX(0.733,1.956)</f>
        <v>0,733+1,956i</v>
      </c>
      <c r="J3" s="10" t="s">
        <v>13</v>
      </c>
      <c r="K3" s="11">
        <f>D5*IMABS(IMDIV(1,I3))</f>
        <v>2002.887156944895</v>
      </c>
      <c r="L3" s="12">
        <f>D5*IMABS(IMDIV(1,IMPRODUCT(I3,2)))</f>
        <v>1001.4435784724456</v>
      </c>
      <c r="M3" s="13">
        <f>IMABS(IMDIV(1,IMSUM(I3,I3,J3)))*3*D5</f>
        <v>0.26147602056264757</v>
      </c>
      <c r="N3" s="14" t="s">
        <v>14</v>
      </c>
      <c r="O3" s="15" t="e">
        <f>IMSUM(I8,O37)</f>
        <v>#NUM!</v>
      </c>
      <c r="P3" s="16" t="e">
        <f>IMSUM(J8,O37)</f>
        <v>#NUM!</v>
      </c>
      <c r="Q3" s="17" t="e">
        <f>F9*IMABS(IMDIV(1,O3))</f>
        <v>#NUM!</v>
      </c>
      <c r="R3" s="18" t="e">
        <f>F9*IMABS(IMDIV(1,IMPRODUCT(O3,2)))</f>
        <v>#NUM!</v>
      </c>
      <c r="S3" s="19" t="e">
        <f>IMABS(IMDIV(1,IMSUM(O3,O3,P3)))*3*F9</f>
        <v>#NUM!</v>
      </c>
      <c r="U3" s="1" t="s">
        <v>15</v>
      </c>
      <c r="V3" s="1" t="s">
        <v>16</v>
      </c>
    </row>
    <row r="4" spans="1:22" ht="15.75" customHeight="1">
      <c r="A4" s="3"/>
      <c r="B4" s="3"/>
      <c r="C4" s="5" t="s">
        <v>17</v>
      </c>
      <c r="D4" s="7">
        <v>13800</v>
      </c>
      <c r="E4" s="5" t="s">
        <v>18</v>
      </c>
      <c r="F4" s="7">
        <v>380</v>
      </c>
      <c r="G4" s="3"/>
      <c r="H4" s="20" t="s">
        <v>19</v>
      </c>
      <c r="I4" s="21" t="e">
        <f>COMPLEX(ROUND(IMREAL(IMSUM(J17,I3)),3),ROUND(IMAGINARY(IMSUM(J17,I3)),3))</f>
        <v>#NUM!</v>
      </c>
      <c r="J4" s="22" t="e">
        <f>COMPLEX(ROUND(IMREAL(IMSUM(J17,J3)),3),ROUND(IMAGINARY(IMSUM(J17,J3)),3))</f>
        <v>#NUM!</v>
      </c>
      <c r="K4" s="19" t="e">
        <f>D5*IMABS(IMDIV(1,I4))</f>
        <v>#NUM!</v>
      </c>
      <c r="L4" s="18" t="e">
        <f>D5*IMABS(IMDIV(1,IMPRODUCT(I4,2)))</f>
        <v>#NUM!</v>
      </c>
      <c r="M4" s="23" t="e">
        <f>IMABS(IMDIV(1,IMSUM(I4,I4,J4)))*3*D5</f>
        <v>#NUM!</v>
      </c>
      <c r="N4" s="24" t="s">
        <v>20</v>
      </c>
      <c r="O4" s="25" t="e">
        <f>IMSUM(I8,O38)</f>
        <v>#NUM!</v>
      </c>
      <c r="P4" s="26" t="e">
        <f>IMSUM(J8,O38)</f>
        <v>#NUM!</v>
      </c>
      <c r="Q4" s="27" t="e">
        <f>F9*IMABS(IMDIV(1,O4))</f>
        <v>#NUM!</v>
      </c>
      <c r="R4" s="12" t="e">
        <f>F9*IMABS(IMDIV(1,IMPRODUCT(O4,2)))</f>
        <v>#NUM!</v>
      </c>
      <c r="S4" s="11" t="e">
        <f>IMABS(IMDIV(1,IMSUM(O4,O4,P4)))*3*F9</f>
        <v>#NUM!</v>
      </c>
    </row>
    <row r="5" spans="1:22" ht="15.75" customHeight="1">
      <c r="A5" s="3"/>
      <c r="B5" s="3"/>
      <c r="C5" s="5" t="s">
        <v>21</v>
      </c>
      <c r="D5" s="28">
        <f>D3/(SQRT(3)*D4)</f>
        <v>4183.6976028233748</v>
      </c>
      <c r="E5" s="5" t="s">
        <v>22</v>
      </c>
      <c r="F5" s="28">
        <f>F3/(SQRT(3)*F4)</f>
        <v>151934.28136569101</v>
      </c>
      <c r="G5" s="3"/>
      <c r="H5" s="20" t="s">
        <v>23</v>
      </c>
      <c r="I5" s="21" t="e">
        <f>COMPLEX(ROUND(IMREAL(IMSUM(J18,I3)),3),ROUND(IMAGINARY(IMSUM(J18,I3)),3))</f>
        <v>#NUM!</v>
      </c>
      <c r="J5" s="22" t="e">
        <f>COMPLEX(ROUND(IMREAL(IMSUM(J18,J3)),3),ROUND(IMAGINARY(IMSUM(J18,J3)),3))</f>
        <v>#NUM!</v>
      </c>
      <c r="K5" s="19" t="e">
        <f>D5*IMABS(IMDIV(1,I5))</f>
        <v>#NUM!</v>
      </c>
      <c r="L5" s="18" t="e">
        <f>D5*IMABS(IMDIV(1,IMPRODUCT(I5,2)))</f>
        <v>#NUM!</v>
      </c>
      <c r="M5" s="23" t="e">
        <f>IMABS(IMDIV(1,IMSUM(I5,I5,J5)))*3*D5</f>
        <v>#NUM!</v>
      </c>
      <c r="N5" s="14" t="s">
        <v>24</v>
      </c>
      <c r="O5" s="15" t="e">
        <f>IMSUM(I9,O39)</f>
        <v>#NUM!</v>
      </c>
      <c r="P5" s="16" t="e">
        <f>IMSUM(J9,O39)</f>
        <v>#NUM!</v>
      </c>
      <c r="Q5" s="17" t="e">
        <f>F9*IMABS(IMDIV(1,O5))</f>
        <v>#NUM!</v>
      </c>
      <c r="R5" s="18" t="e">
        <f>F9*IMABS(IMDIV(1,IMPRODUCT(O5,2)))</f>
        <v>#NUM!</v>
      </c>
      <c r="S5" s="19" t="e">
        <f>IMABS(IMDIV(1,IMSUM(O5,O5,P5)))*3*F9</f>
        <v>#NUM!</v>
      </c>
    </row>
    <row r="6" spans="1:22" ht="15.75" customHeight="1">
      <c r="A6" s="3"/>
      <c r="B6" s="3"/>
      <c r="C6" s="5" t="s">
        <v>25</v>
      </c>
      <c r="D6" s="3">
        <f>D4^2/D3</f>
        <v>1.9044000000000001</v>
      </c>
      <c r="E6" s="5" t="s">
        <v>26</v>
      </c>
      <c r="F6" s="3">
        <f>F4^2/F3</f>
        <v>1.444E-3</v>
      </c>
      <c r="G6" s="3"/>
      <c r="H6" s="20" t="s">
        <v>27</v>
      </c>
      <c r="I6" s="21" t="e">
        <f>COMPLEX(ROUND(IMREAL(IMSUM(J19,I3)),3),ROUND(IMAGINARY(IMSUM(J19,I3)),3))</f>
        <v>#NUM!</v>
      </c>
      <c r="J6" s="22" t="e">
        <f>COMPLEX(ROUND(IMREAL(IMSUM(J19,J3)),3),ROUND(IMAGINARY(IMSUM(J19,J3)),3))</f>
        <v>#NUM!</v>
      </c>
      <c r="K6" s="19" t="e">
        <f>D5*IMABS(IMDIV(1,I6))</f>
        <v>#NUM!</v>
      </c>
      <c r="L6" s="18" t="e">
        <f>D5*IMABS(IMDIV(1,IMPRODUCT(I6,2)))</f>
        <v>#NUM!</v>
      </c>
      <c r="M6" s="23" t="e">
        <f>IMABS(IMDIV(1,IMSUM(I6,I6,J6)))*3*D5</f>
        <v>#NUM!</v>
      </c>
      <c r="N6" s="14" t="s">
        <v>28</v>
      </c>
      <c r="O6" s="15" t="e">
        <f>IMSUM(I9,O40)</f>
        <v>#NUM!</v>
      </c>
      <c r="P6" s="16" t="e">
        <f>IMSUM(J9,O40)</f>
        <v>#NUM!</v>
      </c>
      <c r="Q6" s="17" t="e">
        <f>F9*IMABS(IMDIV(1,O6))</f>
        <v>#NUM!</v>
      </c>
      <c r="R6" s="18" t="e">
        <f>F9*IMABS(IMDIV(1,IMPRODUCT(O6,2)))</f>
        <v>#NUM!</v>
      </c>
      <c r="S6" s="19" t="e">
        <f>IMABS(IMDIV(1,IMSUM(O6,O6,P6)))*3*F9</f>
        <v>#NUM!</v>
      </c>
    </row>
    <row r="7" spans="1:22" ht="15.75" customHeight="1">
      <c r="A7" s="3"/>
      <c r="B7" s="3"/>
      <c r="C7" s="5" t="s">
        <v>29</v>
      </c>
      <c r="D7" s="5">
        <v>90</v>
      </c>
      <c r="E7" s="5" t="s">
        <v>11</v>
      </c>
      <c r="F7" s="7">
        <v>100000000</v>
      </c>
      <c r="G7" s="3"/>
      <c r="H7" s="8" t="s">
        <v>30</v>
      </c>
      <c r="I7" s="9" t="e">
        <f>COMPLEX(ROUND(IMREAL(IMSUM(J20,I3)),3),ROUND(IMAGINARY(IMSUM(J20,I3)),3))</f>
        <v>#NUM!</v>
      </c>
      <c r="J7" s="10" t="e">
        <f>COMPLEX(ROUND(IMREAL(IMSUM(J20,J3)),3),ROUND(IMAGINARY(IMSUM(J20,J3)),3))</f>
        <v>#NUM!</v>
      </c>
      <c r="K7" s="11" t="e">
        <f>D5*IMABS(IMDIV(1,I7))</f>
        <v>#NUM!</v>
      </c>
      <c r="L7" s="12" t="e">
        <f>D5*IMABS(IMDIV(1,IMPRODUCT(I7,2)))</f>
        <v>#NUM!</v>
      </c>
      <c r="M7" s="13" t="e">
        <f>IMABS(IMDIV(1,IMSUM(I7,I7,J7)))*3*D5</f>
        <v>#NUM!</v>
      </c>
      <c r="N7" s="14" t="s">
        <v>31</v>
      </c>
      <c r="O7" s="15" t="e">
        <f>IMSUM(I9,O41)</f>
        <v>#NUM!</v>
      </c>
      <c r="P7" s="16" t="e">
        <f>IMSUM(J9,O41)</f>
        <v>#NUM!</v>
      </c>
      <c r="Q7" s="17" t="e">
        <f>F9*IMABS(IMDIV(1,O7))</f>
        <v>#NUM!</v>
      </c>
      <c r="R7" s="18" t="e">
        <f>F9*IMABS(IMDIV(1,IMPRODUCT(O7,2)))</f>
        <v>#NUM!</v>
      </c>
      <c r="S7" s="19" t="e">
        <f>IMABS(IMDIV(1,IMSUM(O7,O7,P7)))*3*F9</f>
        <v>#NUM!</v>
      </c>
    </row>
    <row r="8" spans="1:22" ht="15.75" customHeight="1">
      <c r="A8" s="3"/>
      <c r="B8" s="3"/>
      <c r="C8" s="5" t="s">
        <v>32</v>
      </c>
      <c r="D8" s="5">
        <v>250</v>
      </c>
      <c r="E8" s="5" t="s">
        <v>33</v>
      </c>
      <c r="F8" s="7">
        <v>220</v>
      </c>
      <c r="G8" s="3"/>
      <c r="H8" s="20" t="s">
        <v>34</v>
      </c>
      <c r="I8" s="16" t="e">
        <f>IMSUM(I4,M29)</f>
        <v>#NUM!</v>
      </c>
      <c r="J8" s="29" t="str">
        <f>M29</f>
        <v>5,156+19,324i</v>
      </c>
      <c r="K8" s="19" t="e">
        <f>D5*IMABS(IMDIV(1,I8))</f>
        <v>#NUM!</v>
      </c>
      <c r="L8" s="18" t="e">
        <f>D5*IMABS(IMDIV(1,IMPRODUCT(I8,2)))</f>
        <v>#NUM!</v>
      </c>
      <c r="M8" s="23" t="e">
        <f>IMABS(IMDIV(1,IMSUM(I8,I8,J8)))*3*D5</f>
        <v>#NUM!</v>
      </c>
      <c r="N8" s="24" t="s">
        <v>35</v>
      </c>
      <c r="O8" s="25" t="e">
        <f>IMSUM(I9,O42)</f>
        <v>#NUM!</v>
      </c>
      <c r="P8" s="26" t="e">
        <f>IMSUM(J9,O42)</f>
        <v>#NUM!</v>
      </c>
      <c r="Q8" s="27" t="e">
        <f>F9*IMABS(IMDIV(1,O8))</f>
        <v>#NUM!</v>
      </c>
      <c r="R8" s="12" t="e">
        <f>F9*IMABS(IMDIV(1,IMPRODUCT(O8,2)))</f>
        <v>#NUM!</v>
      </c>
      <c r="S8" s="11" t="e">
        <f>IMABS(IMDIV(1,IMSUM(O8,O8,P8)))*3*F9</f>
        <v>#NUM!</v>
      </c>
    </row>
    <row r="9" spans="1:22" ht="15.75" customHeight="1">
      <c r="A9" s="3"/>
      <c r="B9" s="3"/>
      <c r="C9" s="1" t="s">
        <v>36</v>
      </c>
      <c r="D9" s="1">
        <v>160</v>
      </c>
      <c r="E9" s="5" t="s">
        <v>37</v>
      </c>
      <c r="F9" s="28">
        <f>F7/(SQRT(3)*F8)</f>
        <v>262431.94054073899</v>
      </c>
      <c r="G9" s="3"/>
      <c r="H9" s="20" t="s">
        <v>38</v>
      </c>
      <c r="I9" s="16" t="e">
        <f>IMSUM(I5,M30)</f>
        <v>#NUM!</v>
      </c>
      <c r="J9" s="29" t="str">
        <f>M30</f>
        <v>11,852+28,765i</v>
      </c>
      <c r="K9" s="19" t="e">
        <f>D5*IMABS(IMDIV(1,I9))</f>
        <v>#NUM!</v>
      </c>
      <c r="L9" s="18" t="e">
        <f>D5*IMABS(IMDIV(1,IMPRODUCT(I9,2)))</f>
        <v>#NUM!</v>
      </c>
      <c r="M9" s="23" t="e">
        <f>IMABS(IMDIV(1,IMSUM(I9,I9,J9)))*3*D5</f>
        <v>#NUM!</v>
      </c>
      <c r="N9" s="14" t="s">
        <v>39</v>
      </c>
      <c r="O9" s="15" t="e">
        <f>IMSUM(I10,O43)</f>
        <v>#NUM!</v>
      </c>
      <c r="P9" s="16" t="e">
        <f>IMSUM(J10,O43)</f>
        <v>#NUM!</v>
      </c>
      <c r="Q9" s="17" t="e">
        <f>F5*IMABS(IMDIV(1,O9))</f>
        <v>#NUM!</v>
      </c>
      <c r="R9" s="18" t="e">
        <f>F5*IMABS(IMDIV(1,IMPRODUCT(O9,2)))</f>
        <v>#NUM!</v>
      </c>
      <c r="S9" s="19" t="e">
        <f>IMABS(IMDIV(1,IMSUM(O9,O9,P9)))*3*F5</f>
        <v>#NUM!</v>
      </c>
    </row>
    <row r="10" spans="1:22" ht="15.75" customHeight="1">
      <c r="A10" s="3"/>
      <c r="B10" s="3"/>
      <c r="C10" s="1" t="s">
        <v>40</v>
      </c>
      <c r="D10" s="1">
        <v>70</v>
      </c>
      <c r="E10" s="5" t="s">
        <v>41</v>
      </c>
      <c r="F10" s="3">
        <f>F8^2/F7</f>
        <v>4.84E-4</v>
      </c>
      <c r="G10" s="3"/>
      <c r="H10" s="20" t="s">
        <v>42</v>
      </c>
      <c r="I10" s="16" t="e">
        <f>IMSUM(I6,M31)</f>
        <v>#NUM!</v>
      </c>
      <c r="J10" s="29" t="str">
        <f>M31</f>
        <v>1,55+4,754i</v>
      </c>
      <c r="K10" s="19" t="e">
        <f>D5*IMABS(IMDIV(1,I10))</f>
        <v>#NUM!</v>
      </c>
      <c r="L10" s="18" t="e">
        <f>D5*IMABS(IMDIV(1,IMPRODUCT(I10,2)))</f>
        <v>#NUM!</v>
      </c>
      <c r="M10" s="23" t="e">
        <f>IMABS(IMDIV(1,IMSUM(I10,I10,J10)))*3*D5</f>
        <v>#NUM!</v>
      </c>
      <c r="N10" s="24" t="s">
        <v>43</v>
      </c>
      <c r="O10" s="25" t="e">
        <f>IMSUM(I10,O44)</f>
        <v>#NUM!</v>
      </c>
      <c r="P10" s="26" t="e">
        <f>IMSUM(J10,O44)</f>
        <v>#NUM!</v>
      </c>
      <c r="Q10" s="27" t="e">
        <f>F5*IMABS(IMDIV(1,O10))</f>
        <v>#NUM!</v>
      </c>
      <c r="R10" s="12" t="e">
        <f>F5*IMABS(IMDIV(1,IMPRODUCT(O10,2)))</f>
        <v>#NUM!</v>
      </c>
      <c r="S10" s="11" t="e">
        <f>IMABS(IMDIV(1,IMSUM(O10,O10,P10)))*3*F5</f>
        <v>#NUM!</v>
      </c>
    </row>
    <row r="11" spans="1:22" ht="15.75" customHeight="1">
      <c r="A11" s="3"/>
      <c r="B11" s="3"/>
      <c r="C11" s="3"/>
      <c r="G11" s="3"/>
      <c r="H11" s="8" t="s">
        <v>44</v>
      </c>
      <c r="I11" s="26" t="e">
        <f>IMSUM(I7,M32)</f>
        <v>#NUM!</v>
      </c>
      <c r="J11" s="30" t="str">
        <f>M32</f>
        <v>0,733+2,909i</v>
      </c>
      <c r="K11" s="11" t="e">
        <f>D5*IMABS(IMDIV(1,I11))</f>
        <v>#NUM!</v>
      </c>
      <c r="L11" s="12" t="e">
        <f>D5*IMABS(IMDIV(1,IMPRODUCT(I11,2)))</f>
        <v>#NUM!</v>
      </c>
      <c r="M11" s="13" t="e">
        <f>IMABS(IMDIV(1,IMSUM(I11,I11,J11)))*3*D5</f>
        <v>#NUM!</v>
      </c>
      <c r="N11" s="14" t="s">
        <v>45</v>
      </c>
      <c r="O11" s="15" t="e">
        <f>IMSUM(I11,O45)</f>
        <v>#NUM!</v>
      </c>
      <c r="P11" s="16" t="e">
        <f>IMSUM(J11,O45)</f>
        <v>#NUM!</v>
      </c>
      <c r="Q11" s="17" t="e">
        <f>F5*IMABS(IMDIV(1,O11))</f>
        <v>#NUM!</v>
      </c>
      <c r="R11" s="18" t="e">
        <f>F5*IMABS(IMDIV(1,IMPRODUCT(O11,2)))</f>
        <v>#NUM!</v>
      </c>
      <c r="S11" s="19" t="e">
        <f>IMABS(IMDIV(1,IMSUM(O11,O11,P11)))*3*F5</f>
        <v>#NUM!</v>
      </c>
    </row>
    <row r="12" spans="1:22" ht="15.75" customHeight="1">
      <c r="A12" s="3"/>
      <c r="B12" s="3"/>
      <c r="C12" s="3"/>
      <c r="G12" s="3"/>
      <c r="H12" s="3"/>
      <c r="J12" s="3"/>
      <c r="K12" s="3"/>
      <c r="L12" s="3"/>
      <c r="M12" s="3"/>
      <c r="N12" s="31" t="s">
        <v>46</v>
      </c>
      <c r="O12" s="15" t="e">
        <f>IMSUM(I11,O46)</f>
        <v>#NUM!</v>
      </c>
      <c r="P12" s="16" t="e">
        <f>IMSUM(J11,O46)</f>
        <v>#NUM!</v>
      </c>
      <c r="Q12" s="17" t="e">
        <f>F5*IMABS(IMDIV(1,O12))</f>
        <v>#NUM!</v>
      </c>
      <c r="R12" s="18" t="e">
        <f>F5*IMABS(IMDIV(1,IMPRODUCT(O12,2)))</f>
        <v>#NUM!</v>
      </c>
      <c r="S12" s="19" t="e">
        <f>IMABS(IMDIV(1,IMSUM(O12,O12,P12)))*3*F5</f>
        <v>#NUM!</v>
      </c>
    </row>
    <row r="13" spans="1:22" ht="12.75">
      <c r="A13" s="3"/>
      <c r="B13" s="3"/>
      <c r="C13" s="3"/>
      <c r="D13" s="3"/>
      <c r="E13" s="3"/>
      <c r="F13" s="3"/>
      <c r="G13" s="3"/>
      <c r="H13" s="5" t="s">
        <v>47</v>
      </c>
      <c r="I13" s="5" t="s">
        <v>48</v>
      </c>
      <c r="J13" s="3"/>
      <c r="K13" s="3"/>
      <c r="L13" s="3"/>
      <c r="M13" s="3" t="e">
        <f>IMABS(IMDIV(1,IMSUM(I5,I5,J5,I13)))*3*D5</f>
        <v>#NUM!</v>
      </c>
      <c r="N13" s="31" t="s">
        <v>49</v>
      </c>
      <c r="O13" s="15" t="e">
        <f>IMSUM(I11,O47)</f>
        <v>#NUM!</v>
      </c>
      <c r="P13" s="16" t="e">
        <f>IMSUM(J11,O47)</f>
        <v>#NUM!</v>
      </c>
      <c r="Q13" s="17" t="e">
        <f>F5*IMABS(IMDIV(1,O13))</f>
        <v>#NUM!</v>
      </c>
      <c r="R13" s="18" t="e">
        <f>F5*IMABS(IMDIV(1,IMPRODUCT(O13,2)))</f>
        <v>#NUM!</v>
      </c>
      <c r="S13" s="19" t="e">
        <f>IMABS(IMDIV(1,IMSUM(O13,O13,P13)))*3*F5</f>
        <v>#NUM!</v>
      </c>
    </row>
    <row r="14" spans="1:22" ht="14.25">
      <c r="A14" s="3"/>
      <c r="B14" s="3"/>
      <c r="C14" s="3"/>
      <c r="D14" s="3"/>
      <c r="E14" s="3"/>
      <c r="F14" s="3"/>
      <c r="G14" s="3"/>
      <c r="H14" s="5" t="s">
        <v>50</v>
      </c>
      <c r="I14" s="5" t="s">
        <v>48</v>
      </c>
      <c r="J14" s="3"/>
      <c r="K14" s="3"/>
      <c r="L14" s="3"/>
      <c r="M14" s="32" t="e">
        <f>IMABS(IMDIV(1,IMSUM(I6,I6,J6,I14)))*3*D5</f>
        <v>#NUM!</v>
      </c>
      <c r="N14" s="33" t="s">
        <v>51</v>
      </c>
      <c r="O14" s="25" t="e">
        <f>IMSUM(I11,O48)</f>
        <v>#NUM!</v>
      </c>
      <c r="P14" s="26" t="e">
        <f>IMSUM(J11,O48)</f>
        <v>#NUM!</v>
      </c>
      <c r="Q14" s="27" t="e">
        <f>F5*IMABS(IMDIV(1,O14))</f>
        <v>#NUM!</v>
      </c>
      <c r="R14" s="12" t="e">
        <f>F5*IMABS(IMDIV(1,IMPRODUCT(O14,2)))</f>
        <v>#NUM!</v>
      </c>
      <c r="S14" s="11" t="e">
        <f>IMABS(IMDIV(1,IMSUM(O14,O14,P14)))*3*F5</f>
        <v>#NUM!</v>
      </c>
    </row>
    <row r="15" spans="1:22" ht="12.75">
      <c r="A15" s="3"/>
      <c r="B15" s="3"/>
      <c r="C15" s="4" t="s">
        <v>52</v>
      </c>
      <c r="D15" s="3"/>
      <c r="E15" s="3"/>
      <c r="F15" s="3"/>
      <c r="G15" s="3"/>
      <c r="H15" s="5" t="s">
        <v>53</v>
      </c>
      <c r="I15" s="5" t="s">
        <v>48</v>
      </c>
      <c r="J15" s="3"/>
      <c r="K15" s="3"/>
      <c r="L15" s="3"/>
      <c r="M15" s="3" t="e">
        <f>IMABS(IMDIV(1,IMSUM(I7,I7,J7,I15)))*3*D5</f>
        <v>#NUM!</v>
      </c>
      <c r="N15" s="3"/>
      <c r="O15" s="3"/>
      <c r="P15" s="3"/>
    </row>
    <row r="16" spans="1:22" ht="12.75">
      <c r="A16" s="3"/>
      <c r="B16" s="3"/>
      <c r="C16" s="34" t="s">
        <v>54</v>
      </c>
      <c r="D16" s="35" t="s">
        <v>55</v>
      </c>
      <c r="E16" s="34" t="s">
        <v>56</v>
      </c>
      <c r="F16" s="35" t="s">
        <v>57</v>
      </c>
      <c r="G16" s="34" t="s">
        <v>58</v>
      </c>
      <c r="H16" s="35" t="s">
        <v>59</v>
      </c>
      <c r="I16" s="35" t="s">
        <v>60</v>
      </c>
      <c r="J16" s="35" t="s">
        <v>61</v>
      </c>
      <c r="K16" s="1" t="s">
        <v>62</v>
      </c>
      <c r="L16" s="35" t="s">
        <v>63</v>
      </c>
      <c r="M16" s="35" t="s">
        <v>64</v>
      </c>
      <c r="N16" s="34" t="s">
        <v>65</v>
      </c>
      <c r="O16" s="35" t="s">
        <v>66</v>
      </c>
      <c r="P16" s="1" t="s">
        <v>67</v>
      </c>
      <c r="Q16" s="34" t="s">
        <v>68</v>
      </c>
    </row>
    <row r="17" spans="1:25" ht="12.75">
      <c r="A17" s="3"/>
      <c r="B17" s="3"/>
      <c r="C17" s="35" t="s">
        <v>69</v>
      </c>
      <c r="D17" s="34">
        <v>13800</v>
      </c>
      <c r="E17" s="34">
        <v>0.92</v>
      </c>
      <c r="F17" s="36">
        <f>D29/(SQRT(3)*D17*E17)</f>
        <v>10.231869137339775</v>
      </c>
      <c r="G17" s="35" t="s">
        <v>70</v>
      </c>
      <c r="H17" s="35">
        <v>342</v>
      </c>
      <c r="I17" s="35" t="e">
        <f>IMDIV(IMPRODUCT(G17,H17),1000)</f>
        <v>#NUM!</v>
      </c>
      <c r="J17" s="37" t="e">
        <f>COMPLEX(ROUND(IMREAL(IMDIV(I17,D6)),4),ROUND(IMAGINARY(IMDIV(I17,D6)),4))</f>
        <v>#NUM!</v>
      </c>
      <c r="K17" s="1">
        <v>127</v>
      </c>
      <c r="L17" s="35">
        <v>50</v>
      </c>
      <c r="M17" s="38">
        <f>K3/(SQRT(115.679/0.01*LOG10((D8+234)/(D7+234))))</f>
        <v>44.604645028904798</v>
      </c>
      <c r="N17" s="39" t="e">
        <f>F17*IMABS(I17)/D17</f>
        <v>#NUM!</v>
      </c>
      <c r="O17" s="35" t="s">
        <v>71</v>
      </c>
      <c r="P17" s="35" t="s">
        <v>72</v>
      </c>
      <c r="Q17" s="34" t="s">
        <v>73</v>
      </c>
    </row>
    <row r="18" spans="1:25" ht="12.75">
      <c r="A18" s="3"/>
      <c r="B18" s="3"/>
      <c r="C18" s="35" t="s">
        <v>74</v>
      </c>
      <c r="D18" s="34">
        <v>13800</v>
      </c>
      <c r="E18" s="34">
        <v>0.92</v>
      </c>
      <c r="F18" s="36">
        <f>D30/(SQRT(3)*D18*E18)</f>
        <v>5.1159345686698874</v>
      </c>
      <c r="G18" s="34" t="s">
        <v>70</v>
      </c>
      <c r="H18" s="40">
        <f>223+212</f>
        <v>435</v>
      </c>
      <c r="I18" s="35" t="e">
        <f>IMDIV(IMPRODUCT(G18,H18),1000)</f>
        <v>#NUM!</v>
      </c>
      <c r="J18" s="37" t="e">
        <f>COMPLEX(ROUND(IMREAL(IMDIV(I18,D6)),4),ROUND(IMAGINARY(IMDIV(I18,D6)),4))</f>
        <v>#NUM!</v>
      </c>
      <c r="K18" s="1">
        <v>127</v>
      </c>
      <c r="L18" s="35">
        <v>50</v>
      </c>
      <c r="M18" s="38">
        <f>K3/(SQRT(115.679/0.01*LOG10((D8+234)/(D7+234))))</f>
        <v>44.604645028904798</v>
      </c>
      <c r="N18" s="39" t="e">
        <f>F18*IMABS(I18)/D18</f>
        <v>#NUM!</v>
      </c>
      <c r="O18" s="35" t="s">
        <v>75</v>
      </c>
      <c r="P18" s="35" t="s">
        <v>72</v>
      </c>
      <c r="Q18" s="34" t="s">
        <v>76</v>
      </c>
    </row>
    <row r="19" spans="1:25" ht="12.75">
      <c r="A19" s="3"/>
      <c r="B19" s="3"/>
      <c r="C19" s="35" t="s">
        <v>77</v>
      </c>
      <c r="D19" s="34">
        <v>13800</v>
      </c>
      <c r="E19" s="41">
        <f>Q56</f>
        <v>0.88888303608461217</v>
      </c>
      <c r="F19" s="36">
        <f>D31/(SQRT(3)*D19*E19)</f>
        <v>47.066907939338058</v>
      </c>
      <c r="G19" s="35" t="s">
        <v>70</v>
      </c>
      <c r="H19" s="35">
        <v>332</v>
      </c>
      <c r="I19" s="35" t="e">
        <f>IMDIV(IMPRODUCT(G19,H19),1000)</f>
        <v>#NUM!</v>
      </c>
      <c r="J19" s="37" t="e">
        <f>COMPLEX(ROUND(IMREAL(IMDIV(I19,D6)),4),ROUND(IMAGINARY(IMDIV(I19,D6)),4))</f>
        <v>#NUM!</v>
      </c>
      <c r="K19" s="1">
        <v>127</v>
      </c>
      <c r="L19" s="35">
        <v>50</v>
      </c>
      <c r="M19" s="38">
        <f>K3/(SQRT(115.679/0.01*LOG10((D8+234)/(D7+234))))</f>
        <v>44.604645028904798</v>
      </c>
      <c r="N19" s="39" t="e">
        <f>F19*IMABS(I19)/D19</f>
        <v>#NUM!</v>
      </c>
      <c r="O19" s="35" t="s">
        <v>75</v>
      </c>
      <c r="P19" s="35" t="s">
        <v>72</v>
      </c>
      <c r="Q19" s="34" t="s">
        <v>78</v>
      </c>
    </row>
    <row r="20" spans="1:25" ht="12.75">
      <c r="A20" s="3"/>
      <c r="B20" s="3"/>
      <c r="C20" s="35" t="s">
        <v>79</v>
      </c>
      <c r="D20" s="34">
        <v>13800</v>
      </c>
      <c r="E20" s="41">
        <f>(B45*D45+B46*D46+B47*D47+B48*D48)/(B45+B46+B47+B48)</f>
        <v>0.87417919386130316</v>
      </c>
      <c r="F20" s="36">
        <f>D32/(SQRT(3)*D20*E20)</f>
        <v>95.717162618426684</v>
      </c>
      <c r="G20" s="35" t="s">
        <v>70</v>
      </c>
      <c r="H20" s="40">
        <f>25+111+229</f>
        <v>365</v>
      </c>
      <c r="I20" s="35" t="e">
        <f>IMDIV(IMPRODUCT(G20,H20),1000)</f>
        <v>#NUM!</v>
      </c>
      <c r="J20" s="37" t="e">
        <f>COMPLEX(ROUND(IMREAL(IMDIV(I20,D6)),4),ROUND(IMAGINARY(IMDIV(I20,D6)),4))</f>
        <v>#NUM!</v>
      </c>
      <c r="K20" s="1">
        <v>127</v>
      </c>
      <c r="L20" s="35">
        <v>50</v>
      </c>
      <c r="M20" s="38">
        <f>K3/(SQRT(115.679/0.01*LOG10((D8+234)/(D7+234))))</f>
        <v>44.604645028904798</v>
      </c>
      <c r="N20" s="39" t="e">
        <f>F20*IMABS(I20)/D20</f>
        <v>#NUM!</v>
      </c>
      <c r="O20" s="35" t="s">
        <v>75</v>
      </c>
      <c r="P20" s="35" t="s">
        <v>72</v>
      </c>
      <c r="Q20" s="34" t="s">
        <v>80</v>
      </c>
      <c r="T20" s="40"/>
      <c r="U20" s="40"/>
      <c r="V20" s="40"/>
    </row>
    <row r="21" spans="1:25" ht="12.75">
      <c r="A21" s="3"/>
      <c r="B21" s="3"/>
      <c r="C21" s="42" t="s">
        <v>81</v>
      </c>
      <c r="D21" s="43"/>
      <c r="E21" s="40"/>
      <c r="F21" s="40"/>
      <c r="G21" s="43"/>
      <c r="H21" s="40"/>
      <c r="I21" s="43"/>
      <c r="J21" s="40"/>
      <c r="K21" s="43"/>
      <c r="L21" s="43"/>
      <c r="M21" s="40"/>
      <c r="N21" s="40"/>
      <c r="O21" s="43"/>
      <c r="P21" s="43"/>
      <c r="Q21" s="3"/>
    </row>
    <row r="22" spans="1:25" ht="12.75">
      <c r="A22" s="3"/>
      <c r="B22" s="3"/>
      <c r="C22" s="44" t="s">
        <v>54</v>
      </c>
      <c r="D22" s="45" t="s">
        <v>55</v>
      </c>
      <c r="E22" s="44" t="s">
        <v>56</v>
      </c>
      <c r="F22" s="45" t="s">
        <v>57</v>
      </c>
      <c r="G22" s="44" t="s">
        <v>58</v>
      </c>
      <c r="H22" s="45" t="s">
        <v>59</v>
      </c>
      <c r="I22" s="45" t="s">
        <v>60</v>
      </c>
      <c r="J22" s="45" t="s">
        <v>61</v>
      </c>
      <c r="K22" s="44" t="s">
        <v>82</v>
      </c>
      <c r="L22" s="44" t="s">
        <v>62</v>
      </c>
      <c r="M22" s="45" t="s">
        <v>63</v>
      </c>
      <c r="N22" s="45" t="s">
        <v>64</v>
      </c>
      <c r="O22" s="44" t="s">
        <v>65</v>
      </c>
      <c r="P22" s="45" t="s">
        <v>66</v>
      </c>
      <c r="Q22" s="44" t="s">
        <v>67</v>
      </c>
    </row>
    <row r="23" spans="1:25" ht="12.75">
      <c r="A23" s="3"/>
      <c r="B23" s="3"/>
      <c r="C23" s="35" t="s">
        <v>69</v>
      </c>
      <c r="D23" s="34">
        <v>220</v>
      </c>
      <c r="E23" s="34">
        <v>0.92</v>
      </c>
      <c r="F23" s="36">
        <f>D29/(SQRT(3)*D23*E23)</f>
        <v>641.8172458876769</v>
      </c>
      <c r="G23" s="35" t="s">
        <v>83</v>
      </c>
      <c r="H23" s="35">
        <v>10</v>
      </c>
      <c r="I23" s="35" t="e">
        <f>IMDIV(IMPRODUCT(G23,H23),1000)</f>
        <v>#NUM!</v>
      </c>
      <c r="J23" s="37" t="e">
        <f>COMPLEX(ROUND(IMREAL(IMDIV(I23,F10)),4),ROUND(IMAGINARY(IMDIV(I23,F10)),4))</f>
        <v>#NUM!</v>
      </c>
      <c r="K23" s="1">
        <v>700</v>
      </c>
      <c r="L23" s="46" t="s">
        <v>84</v>
      </c>
      <c r="M23" s="35">
        <v>70</v>
      </c>
      <c r="N23" s="38" t="e">
        <f>M8/(SQRT(115.679/0.01*LOG10((D9+234)/(D10+234))))</f>
        <v>#NUM!</v>
      </c>
      <c r="O23" s="39" t="e">
        <f>F23*IMABS(I23)/D23</f>
        <v>#NUM!</v>
      </c>
      <c r="P23" s="35" t="s">
        <v>85</v>
      </c>
      <c r="Q23" s="35" t="s">
        <v>86</v>
      </c>
      <c r="S23" s="1" t="s">
        <v>87</v>
      </c>
      <c r="T23" s="1" t="s">
        <v>88</v>
      </c>
      <c r="U23" s="1" t="s">
        <v>89</v>
      </c>
      <c r="V23" s="1" t="s">
        <v>90</v>
      </c>
      <c r="W23" s="35" t="s">
        <v>91</v>
      </c>
      <c r="X23" s="35" t="s">
        <v>92</v>
      </c>
      <c r="Y23" s="1" t="s">
        <v>93</v>
      </c>
    </row>
    <row r="24" spans="1:25" ht="12.75">
      <c r="A24" s="3"/>
      <c r="B24" s="3"/>
      <c r="C24" s="35" t="s">
        <v>74</v>
      </c>
      <c r="D24" s="34">
        <v>220</v>
      </c>
      <c r="E24" s="34">
        <v>0.92</v>
      </c>
      <c r="F24" s="36">
        <f>D30/(SQRT(3)*D24*E24)</f>
        <v>320.90862294383845</v>
      </c>
      <c r="G24" s="35" t="s">
        <v>94</v>
      </c>
      <c r="H24" s="35">
        <v>10</v>
      </c>
      <c r="I24" s="35" t="e">
        <f>IMDIV(IMPRODUCT(G24,H24),1000)</f>
        <v>#NUM!</v>
      </c>
      <c r="J24" s="37" t="e">
        <f>COMPLEX(ROUND(IMREAL(IMDIV(I24,F10)),4),ROUND(IMAGINARY(IMDIV(I24,F10)),4))</f>
        <v>#NUM!</v>
      </c>
      <c r="K24" s="1">
        <v>350</v>
      </c>
      <c r="L24" s="46" t="s">
        <v>95</v>
      </c>
      <c r="M24" s="35">
        <v>120</v>
      </c>
      <c r="N24" s="38" t="e">
        <f>M9/(SQRT(115.679/0.01*LOG10((D9+234)/(D10+234))))</f>
        <v>#NUM!</v>
      </c>
      <c r="O24" s="39" t="e">
        <f>F24*IMABS(I24)/D24</f>
        <v>#NUM!</v>
      </c>
      <c r="P24" s="35" t="s">
        <v>96</v>
      </c>
      <c r="Q24" s="35" t="s">
        <v>86</v>
      </c>
      <c r="S24" s="1" t="s">
        <v>97</v>
      </c>
      <c r="T24" s="47">
        <f>Q33/(SQRT(3)*D4)</f>
        <v>169.25274711815493</v>
      </c>
      <c r="U24" s="47">
        <f>K3/20</f>
        <v>100.14435784724475</v>
      </c>
      <c r="V24" s="35" t="s">
        <v>98</v>
      </c>
      <c r="W24" s="35" t="s">
        <v>99</v>
      </c>
      <c r="X24" s="35" t="s">
        <v>100</v>
      </c>
      <c r="Y24" s="1" t="s">
        <v>101</v>
      </c>
    </row>
    <row r="25" spans="1:25" ht="12.75">
      <c r="A25" s="3"/>
      <c r="B25" s="3"/>
      <c r="C25" s="35" t="s">
        <v>77</v>
      </c>
      <c r="D25" s="34">
        <v>380</v>
      </c>
      <c r="E25" s="48">
        <v>0.88890000000000002</v>
      </c>
      <c r="F25" s="36">
        <f>D31/(SQRT(3)*D25*E25)</f>
        <v>1709.2392998727753</v>
      </c>
      <c r="G25" s="35" t="s">
        <v>102</v>
      </c>
      <c r="H25" s="35">
        <v>10</v>
      </c>
      <c r="I25" s="35" t="e">
        <f>IMDIV(IMPRODUCT(G25,H25),1000)</f>
        <v>#NUM!</v>
      </c>
      <c r="J25" s="37" t="e">
        <f>COMPLEX(ROUND(IMREAL(IMDIV(I25,F6)),4),ROUND(IMAGINARY(IMDIV(I25,F6)),4))</f>
        <v>#NUM!</v>
      </c>
      <c r="K25" s="1">
        <v>2000</v>
      </c>
      <c r="L25" s="46" t="s">
        <v>103</v>
      </c>
      <c r="M25" s="35">
        <v>300</v>
      </c>
      <c r="N25" s="38" t="e">
        <f>M10/(SQRT(115.679/0.01*LOG10((D9+234)/(D10+234))))</f>
        <v>#NUM!</v>
      </c>
      <c r="O25" s="39" t="e">
        <f>F25*IMABS(I25)/D25</f>
        <v>#NUM!</v>
      </c>
      <c r="P25" s="35" t="s">
        <v>104</v>
      </c>
      <c r="Q25" s="35" t="s">
        <v>86</v>
      </c>
      <c r="S25" s="1" t="s">
        <v>105</v>
      </c>
      <c r="T25" s="47">
        <f>D31/(SQRT(3)*13800)</f>
        <v>41.83697602823375</v>
      </c>
      <c r="U25" s="47" t="e">
        <f>K10/20</f>
        <v>#NUM!</v>
      </c>
      <c r="V25" s="35" t="s">
        <v>106</v>
      </c>
      <c r="W25" s="35" t="s">
        <v>107</v>
      </c>
      <c r="X25" s="35" t="s">
        <v>108</v>
      </c>
      <c r="Y25" s="1" t="s">
        <v>108</v>
      </c>
    </row>
    <row r="26" spans="1:25" ht="12.75">
      <c r="A26" s="3"/>
      <c r="B26" s="3"/>
      <c r="C26" s="35" t="s">
        <v>79</v>
      </c>
      <c r="D26" s="34">
        <v>380</v>
      </c>
      <c r="E26" s="48">
        <v>0.87419999999999998</v>
      </c>
      <c r="F26" s="36">
        <f>D32/(SQRT(3)*D26*E26)</f>
        <v>3475.9615961036607</v>
      </c>
      <c r="G26" s="35" t="s">
        <v>102</v>
      </c>
      <c r="H26" s="40">
        <f>10</f>
        <v>10</v>
      </c>
      <c r="I26" s="35" t="e">
        <f>IMDIV(IMPRODUCT(G26,H26),1000)</f>
        <v>#NUM!</v>
      </c>
      <c r="J26" s="37" t="e">
        <f>COMPLEX(ROUND(IMREAL(IMDIV(I26,F6)),4),ROUND(IMAGINARY(IMDIV(I26,F6)),4))</f>
        <v>#NUM!</v>
      </c>
      <c r="K26" s="1">
        <v>4000</v>
      </c>
      <c r="L26" s="46" t="s">
        <v>109</v>
      </c>
      <c r="M26" s="35">
        <v>300</v>
      </c>
      <c r="N26" s="38" t="e">
        <f>M11/(SQRT(115.679/0.01*LOG10((D9+234)/(D10+234))))</f>
        <v>#NUM!</v>
      </c>
      <c r="O26" s="39" t="e">
        <f>F26*IMABS(I26)/D26</f>
        <v>#NUM!</v>
      </c>
      <c r="P26" s="35" t="s">
        <v>110</v>
      </c>
      <c r="Q26" s="35" t="s">
        <v>86</v>
      </c>
      <c r="S26" s="1" t="s">
        <v>111</v>
      </c>
      <c r="T26" s="47">
        <f>D32/(SQRT(3)*13800)</f>
        <v>83.673952056467499</v>
      </c>
      <c r="U26" s="47" t="e">
        <f>K11/20</f>
        <v>#NUM!</v>
      </c>
      <c r="V26" s="35" t="s">
        <v>112</v>
      </c>
      <c r="W26" s="35" t="s">
        <v>113</v>
      </c>
      <c r="X26" s="35" t="s">
        <v>108</v>
      </c>
      <c r="Y26" s="1" t="s">
        <v>108</v>
      </c>
    </row>
    <row r="27" spans="1:25" ht="12.75">
      <c r="A27" s="3"/>
      <c r="B27" s="3"/>
      <c r="C27" s="4" t="s">
        <v>114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</row>
    <row r="28" spans="1:25" ht="12.75">
      <c r="A28" s="5" t="s">
        <v>115</v>
      </c>
      <c r="B28" s="5" t="s">
        <v>116</v>
      </c>
      <c r="C28" s="35" t="s">
        <v>54</v>
      </c>
      <c r="D28" s="35" t="s">
        <v>117</v>
      </c>
      <c r="E28" s="35" t="s">
        <v>118</v>
      </c>
      <c r="F28" s="35" t="s">
        <v>119</v>
      </c>
      <c r="G28" s="35" t="s">
        <v>120</v>
      </c>
      <c r="H28" s="35" t="s">
        <v>121</v>
      </c>
      <c r="I28" s="35" t="s">
        <v>122</v>
      </c>
      <c r="J28" s="35" t="s">
        <v>123</v>
      </c>
      <c r="K28" s="35" t="s">
        <v>124</v>
      </c>
      <c r="L28" s="35" t="s">
        <v>125</v>
      </c>
      <c r="M28" s="35" t="s">
        <v>126</v>
      </c>
      <c r="N28" s="35" t="s">
        <v>127</v>
      </c>
      <c r="O28" s="1" t="s">
        <v>128</v>
      </c>
      <c r="P28" s="1" t="s">
        <v>129</v>
      </c>
      <c r="Q28" s="1" t="s">
        <v>130</v>
      </c>
      <c r="R28" s="35" t="s">
        <v>131</v>
      </c>
      <c r="S28" s="1" t="s">
        <v>132</v>
      </c>
      <c r="T28" s="35"/>
    </row>
    <row r="29" spans="1:25" ht="12.75">
      <c r="A29" s="3">
        <f>A37+A38</f>
        <v>186806</v>
      </c>
      <c r="B29" s="35">
        <f>B37+B38</f>
        <v>203050</v>
      </c>
      <c r="C29" s="35" t="s">
        <v>69</v>
      </c>
      <c r="D29" s="35">
        <v>225000</v>
      </c>
      <c r="E29" s="35">
        <v>4.4999999999999998E-2</v>
      </c>
      <c r="F29" s="35">
        <v>650</v>
      </c>
      <c r="G29" s="35">
        <v>3260</v>
      </c>
      <c r="H29" s="40">
        <f>G29-F29</f>
        <v>2610</v>
      </c>
      <c r="I29" s="49">
        <f>H29/D29</f>
        <v>1.1599999999999999E-2</v>
      </c>
      <c r="J29" s="50">
        <f>SQRT(E29^2-I29^2)</f>
        <v>4.3479190424845771E-2</v>
      </c>
      <c r="K29" s="51">
        <f>I29*D3/D29</f>
        <v>5.1555555555555559</v>
      </c>
      <c r="L29" s="52">
        <f>J29*D3/D29</f>
        <v>19.324084633264786</v>
      </c>
      <c r="M29" s="40" t="str">
        <f>COMPLEX(ROUND(IMREAL(COMPLEX(K29,L29)),3),ROUND(IMAGINARY(COMPLEX(K29,L29)),3))</f>
        <v>5,156+19,324i</v>
      </c>
      <c r="N29" s="53" t="s">
        <v>108</v>
      </c>
      <c r="Q29" s="47">
        <f>(B37*D37+B38*D38)/0.92</f>
        <v>203050</v>
      </c>
      <c r="R29" s="54">
        <v>9</v>
      </c>
      <c r="T29" s="55"/>
    </row>
    <row r="30" spans="1:25" ht="12.75">
      <c r="A30" s="35">
        <f>SUM(A39:A42)</f>
        <v>88458</v>
      </c>
      <c r="B30" s="35">
        <f>SUM(B39:B42)</f>
        <v>96150</v>
      </c>
      <c r="C30" s="35" t="s">
        <v>74</v>
      </c>
      <c r="D30" s="35">
        <v>112500</v>
      </c>
      <c r="E30" s="35">
        <v>3.5000000000000003E-2</v>
      </c>
      <c r="F30" s="35">
        <v>390</v>
      </c>
      <c r="G30" s="35">
        <v>1890</v>
      </c>
      <c r="H30" s="40">
        <f>G30-F30</f>
        <v>1500</v>
      </c>
      <c r="I30" s="49">
        <f>H30/D30</f>
        <v>1.3333333333333334E-2</v>
      </c>
      <c r="J30" s="50">
        <f>SQRT(E30^2-I30^2)</f>
        <v>3.2360813064912668E-2</v>
      </c>
      <c r="K30" s="51">
        <f>I30*D3/D30</f>
        <v>11.851851851851853</v>
      </c>
      <c r="L30" s="52">
        <f>J30*D3/D30</f>
        <v>28.76516716881126</v>
      </c>
      <c r="M30" s="40" t="str">
        <f>COMPLEX(ROUND(IMREAL(COMPLEX(K30,L30)),3),ROUND(IMAGINARY(COMPLEX(K30,L30)),3))</f>
        <v>11,852+28,765i</v>
      </c>
      <c r="N30" s="53" t="s">
        <v>108</v>
      </c>
      <c r="Q30" s="47">
        <f>(B39*D39+B40*D40+B41*D41+B42*D42)/0.92</f>
        <v>96150</v>
      </c>
      <c r="R30" s="54">
        <v>5</v>
      </c>
      <c r="T30" s="55"/>
    </row>
    <row r="31" spans="1:25" ht="12.75">
      <c r="A31" s="35">
        <f>A43+A44</f>
        <v>750083.95</v>
      </c>
      <c r="B31" s="35">
        <f>B43+B44</f>
        <v>843850</v>
      </c>
      <c r="C31" s="35" t="s">
        <v>77</v>
      </c>
      <c r="D31" s="35">
        <v>1000000</v>
      </c>
      <c r="E31" s="35">
        <v>0.05</v>
      </c>
      <c r="F31" s="35">
        <v>2000</v>
      </c>
      <c r="G31" s="35">
        <v>17500</v>
      </c>
      <c r="H31" s="40">
        <f>G31-F31</f>
        <v>15500</v>
      </c>
      <c r="I31" s="49">
        <f>H31/D31</f>
        <v>1.55E-2</v>
      </c>
      <c r="J31" s="50">
        <f>SQRT(E31^2-I31^2)</f>
        <v>4.7536827828537326E-2</v>
      </c>
      <c r="K31" s="51">
        <f>I31*D3/D31</f>
        <v>1.55</v>
      </c>
      <c r="L31" s="52">
        <f>J31*D3/D31</f>
        <v>4.7536827828537325</v>
      </c>
      <c r="M31" s="40" t="str">
        <f>COMPLEX(ROUND(IMREAL(COMPLEX(K31,L31)),3),ROUND(IMAGINARY(COMPLEX(K31,L31)),3))</f>
        <v>1,55+4,754i</v>
      </c>
      <c r="N31" s="38">
        <f>8*(D31)/(SQRT(3)*13800*0.92)</f>
        <v>363.7997915498587</v>
      </c>
      <c r="O31" s="56" t="e">
        <f>K10</f>
        <v>#NUM!</v>
      </c>
      <c r="P31" s="47" t="e">
        <f>L10</f>
        <v>#NUM!</v>
      </c>
      <c r="Q31" s="47">
        <f>(B43*D43+B44*D44)/0.92</f>
        <v>815308.64130434778</v>
      </c>
      <c r="R31" s="54">
        <v>35</v>
      </c>
      <c r="S31" s="47" t="e">
        <f>M14</f>
        <v>#NUM!</v>
      </c>
      <c r="T31" s="55"/>
    </row>
    <row r="32" spans="1:25" ht="12.75">
      <c r="A32" s="35">
        <f>SUM(A45:A48)</f>
        <v>1608603.3599999999</v>
      </c>
      <c r="B32" s="35">
        <f>SUM(B45:B48)</f>
        <v>1840130</v>
      </c>
      <c r="C32" s="35" t="s">
        <v>79</v>
      </c>
      <c r="D32" s="35">
        <v>2000000</v>
      </c>
      <c r="E32" s="35">
        <v>0.06</v>
      </c>
      <c r="F32" s="35">
        <v>3000</v>
      </c>
      <c r="G32" s="35">
        <v>32300</v>
      </c>
      <c r="H32" s="40">
        <f>G32-F32</f>
        <v>29300</v>
      </c>
      <c r="I32" s="49">
        <f>H32/D32</f>
        <v>1.465E-2</v>
      </c>
      <c r="J32" s="50">
        <f>SQRT(E32^2-I32^2)</f>
        <v>5.8183996940739641E-2</v>
      </c>
      <c r="K32" s="51">
        <f>I32*D3/D32</f>
        <v>0.73250000000000004</v>
      </c>
      <c r="L32" s="52">
        <f>J32*D3/D32</f>
        <v>2.909199847036982</v>
      </c>
      <c r="M32" s="40" t="str">
        <f>COMPLEX(ROUND(IMREAL(COMPLEX(K32,L32)),3),ROUND(IMAGINARY(COMPLEX(K32,L32)),3))</f>
        <v>0,733+2,909i</v>
      </c>
      <c r="N32" s="38">
        <f>8*(D32)/(SQRT(3)*13800*0.92)</f>
        <v>727.59958309971739</v>
      </c>
      <c r="O32" s="56" t="e">
        <f>K11</f>
        <v>#NUM!</v>
      </c>
      <c r="P32" s="47" t="e">
        <f>L11</f>
        <v>#NUM!</v>
      </c>
      <c r="Q32" s="47">
        <f>(B45*D45+B46*D46+B47*D47+B48*D48)/0.92</f>
        <v>1748481.913043478</v>
      </c>
      <c r="R32" s="54">
        <v>74</v>
      </c>
      <c r="S32" s="47" t="e">
        <f>M15</f>
        <v>#NUM!</v>
      </c>
      <c r="T32" s="55"/>
    </row>
    <row r="33" spans="1:27" ht="12.75">
      <c r="A33" s="3">
        <f>A50</f>
        <v>2820757.3099999996</v>
      </c>
      <c r="B33" s="3">
        <f>B50</f>
        <v>3186230</v>
      </c>
      <c r="C33" s="35" t="s">
        <v>97</v>
      </c>
      <c r="D33" s="43">
        <f>D32+D31+D30+D29</f>
        <v>3337500</v>
      </c>
      <c r="E33" s="43"/>
      <c r="F33" s="43"/>
      <c r="G33" s="43"/>
      <c r="H33" s="40"/>
      <c r="I33" s="40"/>
      <c r="J33" s="40"/>
      <c r="K33" s="40"/>
      <c r="L33" s="40"/>
      <c r="M33" s="40"/>
      <c r="N33" s="38">
        <f>4*(D29)/(SQRT(3)*13800*0.92)+4*(D30)/(SQRT(3)*13800*0.92)+N31/2+N32</f>
        <v>970.89069369868537</v>
      </c>
      <c r="O33" s="57" t="e">
        <f>K11</f>
        <v>#NUM!</v>
      </c>
      <c r="P33" s="58" t="e">
        <f>L11</f>
        <v>#NUM!</v>
      </c>
      <c r="Q33" s="3">
        <f>1.3*(Q29+Q30+Q31+Q32)/0.92</f>
        <v>4045530.1311436668</v>
      </c>
      <c r="R33" s="54">
        <v>170</v>
      </c>
      <c r="S33" s="47" t="e">
        <f>M13</f>
        <v>#NUM!</v>
      </c>
      <c r="T33" s="55"/>
    </row>
    <row r="34" spans="1:27" ht="12.75">
      <c r="A34" s="3"/>
      <c r="B34" s="3"/>
      <c r="C34" s="3"/>
      <c r="D34" s="3"/>
      <c r="E34" s="3"/>
      <c r="F34" s="3"/>
      <c r="G34" s="3"/>
      <c r="H34" s="5" t="s">
        <v>133</v>
      </c>
      <c r="I34" s="3"/>
      <c r="J34" s="3"/>
      <c r="K34" s="3"/>
      <c r="L34" s="3"/>
      <c r="M34" s="3"/>
      <c r="N34" s="3"/>
      <c r="O34" s="3"/>
      <c r="P34" s="3"/>
      <c r="Q34" s="3"/>
    </row>
    <row r="35" spans="1:27" ht="12.75">
      <c r="C35" s="4" t="s">
        <v>134</v>
      </c>
      <c r="F35" s="3"/>
      <c r="G35" s="3"/>
      <c r="H35" s="5" t="s">
        <v>135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7" ht="12.75">
      <c r="A36" s="1" t="s">
        <v>255</v>
      </c>
      <c r="B36" s="1" t="s">
        <v>117</v>
      </c>
      <c r="C36" s="1" t="s">
        <v>55</v>
      </c>
      <c r="D36" s="1" t="s">
        <v>136</v>
      </c>
      <c r="E36" s="5" t="s">
        <v>57</v>
      </c>
      <c r="F36" s="5" t="s">
        <v>63</v>
      </c>
      <c r="G36" s="1" t="s">
        <v>137</v>
      </c>
      <c r="H36" s="1" t="s">
        <v>138</v>
      </c>
      <c r="I36" s="1" t="s">
        <v>139</v>
      </c>
      <c r="J36" s="1" t="s">
        <v>65</v>
      </c>
      <c r="K36" s="1" t="s">
        <v>140</v>
      </c>
      <c r="L36" s="5" t="s">
        <v>58</v>
      </c>
      <c r="M36" s="5" t="s">
        <v>141</v>
      </c>
      <c r="N36" s="5" t="s">
        <v>142</v>
      </c>
      <c r="O36" s="5" t="s">
        <v>143</v>
      </c>
      <c r="P36" s="5" t="s">
        <v>54</v>
      </c>
      <c r="Q36" s="1" t="s">
        <v>144</v>
      </c>
      <c r="R36" s="5" t="s">
        <v>145</v>
      </c>
      <c r="S36" s="3"/>
      <c r="T36" s="3"/>
      <c r="U36" s="3"/>
      <c r="V36" s="5" t="s">
        <v>66</v>
      </c>
      <c r="W36" s="3"/>
      <c r="X36" s="3"/>
    </row>
    <row r="37" spans="1:27" ht="12.75">
      <c r="A37" s="59">
        <f t="shared" ref="A37:A49" si="0">B37*D37</f>
        <v>59386</v>
      </c>
      <c r="B37" s="59">
        <v>64550</v>
      </c>
      <c r="C37" s="59">
        <v>220</v>
      </c>
      <c r="D37" s="59">
        <v>0.92</v>
      </c>
      <c r="E37" s="60">
        <f>B37/(SQRT(3)*C37*D37)</f>
        <v>184.13023654244242</v>
      </c>
      <c r="F37" s="61">
        <v>120</v>
      </c>
      <c r="G37" s="61">
        <v>0.35</v>
      </c>
      <c r="H37" s="61">
        <v>200</v>
      </c>
      <c r="I37" s="61">
        <v>203</v>
      </c>
      <c r="J37" s="62">
        <f t="shared" ref="J37:J49" si="1">E37*G37*M37/C37</f>
        <v>4.9798859428524196E-2</v>
      </c>
      <c r="K37" s="63" t="e">
        <f>S3/(SQRT(1/0.1*LOG10((234+D9)/(234+D10)))*340.1)</f>
        <v>#NUM!</v>
      </c>
      <c r="L37" s="61" t="s">
        <v>94</v>
      </c>
      <c r="M37" s="61">
        <v>0.17</v>
      </c>
      <c r="N37" s="64" t="e">
        <f>COMPLEX(ROUND(IMREAL(IMPRODUCT(M37,L37)),4),ROUND(IMAGINARY(IMPRODUCT(M37,L37)),4))</f>
        <v>#NUM!</v>
      </c>
      <c r="O37" s="65" t="e">
        <f>COMPLEX(ROUND(IMREAL(IMDIV(N37,F10)),4),ROUND(IMAGINARY(IMDIV(N37,F10)),4))</f>
        <v>#NUM!</v>
      </c>
      <c r="P37" s="61" t="s">
        <v>146</v>
      </c>
      <c r="Q37" s="61" t="s">
        <v>147</v>
      </c>
      <c r="R37" s="61" t="s">
        <v>148</v>
      </c>
      <c r="S37" s="61" t="s">
        <v>149</v>
      </c>
      <c r="T37" s="61" t="s">
        <v>150</v>
      </c>
      <c r="U37" s="61" t="s">
        <v>151</v>
      </c>
      <c r="V37" s="61" t="s">
        <v>152</v>
      </c>
      <c r="W37" s="64"/>
      <c r="X37" s="64"/>
      <c r="AA37" s="1" t="str">
        <f>COMPLEX(ROUND((D37*(C37^2/B37)/F10),2),ROUND(SQRT(((C37^2/B37)/F10)^2-(D37*(C37^2/B37)/F10)^2),2))</f>
        <v>1425,25+607,15i</v>
      </c>
    </row>
    <row r="38" spans="1:27" ht="12.75">
      <c r="A38" s="59">
        <f>B38*D38</f>
        <v>127420</v>
      </c>
      <c r="B38" s="59">
        <v>138500</v>
      </c>
      <c r="C38" s="59">
        <v>220</v>
      </c>
      <c r="D38" s="59">
        <v>0.92</v>
      </c>
      <c r="E38" s="60">
        <f>B38/(SQRT(3)*C38*D38)</f>
        <v>395.07417135752559</v>
      </c>
      <c r="F38" s="61">
        <v>120</v>
      </c>
      <c r="G38" s="61">
        <v>0.35</v>
      </c>
      <c r="H38" s="61">
        <v>400</v>
      </c>
      <c r="I38" s="66" t="s">
        <v>95</v>
      </c>
      <c r="J38" s="62">
        <f>E38*G38*M38/C38</f>
        <v>1.8855812723881905E-2</v>
      </c>
      <c r="K38" s="67" t="e">
        <f>S4/(SQRT(1/0.1*LOG10((234+D9)/(234+D10)))*340.1)</f>
        <v>#NUM!</v>
      </c>
      <c r="L38" s="61" t="s">
        <v>94</v>
      </c>
      <c r="M38" s="61">
        <v>0.03</v>
      </c>
      <c r="N38" s="64" t="e">
        <f t="shared" ref="N38:N49" si="2">IMPRODUCT(M38,L38)</f>
        <v>#NUM!</v>
      </c>
      <c r="O38" s="65" t="e">
        <f>COMPLEX(ROUND(IMREAL(IMDIV(N38,2*F10)),4),ROUND(IMAGINARY(IMDIV(N38,2*F10)),4))</f>
        <v>#NUM!</v>
      </c>
      <c r="P38" s="61" t="s">
        <v>146</v>
      </c>
      <c r="Q38" s="61" t="s">
        <v>153</v>
      </c>
      <c r="R38" s="61" t="s">
        <v>148</v>
      </c>
      <c r="S38" s="61" t="s">
        <v>149</v>
      </c>
      <c r="T38" s="61" t="s">
        <v>150</v>
      </c>
      <c r="U38" s="61" t="s">
        <v>151</v>
      </c>
      <c r="V38" s="61" t="s">
        <v>96</v>
      </c>
      <c r="W38" s="64"/>
      <c r="X38" s="64"/>
      <c r="AA38" s="1" t="str">
        <f>COMPLEX(ROUND((D38*(C38^2/B38)/F10),2),ROUND(SQRT(((C38^2/B38)/F10)^2-(D38*(C38^2/B38)/F10)^2),2))</f>
        <v>664,26+282,97i</v>
      </c>
    </row>
    <row r="39" spans="1:27" ht="12.75">
      <c r="A39" s="59">
        <f t="shared" si="0"/>
        <v>30222</v>
      </c>
      <c r="B39" s="68">
        <v>32850</v>
      </c>
      <c r="C39" s="68">
        <v>220</v>
      </c>
      <c r="D39" s="68">
        <v>0.92</v>
      </c>
      <c r="E39" s="69">
        <f>B39/(SQRT(3)*C39*D39)</f>
        <v>93.705317899600828</v>
      </c>
      <c r="F39" s="70">
        <v>35</v>
      </c>
      <c r="G39" s="71">
        <v>0.97</v>
      </c>
      <c r="H39" s="71">
        <v>100</v>
      </c>
      <c r="I39" s="70">
        <v>103</v>
      </c>
      <c r="J39" s="72">
        <f>E39*G39*M39/C39</f>
        <v>4.957863183415244E-2</v>
      </c>
      <c r="K39" s="73" t="e">
        <f>S5/(SQRT(1/0.1*LOG10((234+D9)/(234+D10)))*340.1)</f>
        <v>#NUM!</v>
      </c>
      <c r="L39" s="71" t="s">
        <v>154</v>
      </c>
      <c r="M39" s="74">
        <v>0.12</v>
      </c>
      <c r="N39" s="75" t="e">
        <f t="shared" si="2"/>
        <v>#NUM!</v>
      </c>
      <c r="O39" s="76" t="e">
        <f>COMPLEX(ROUND(IMREAL(IMDIV(N39,F10)),4),ROUND(IMAGINARY(IMDIV(N39,F10)),4))</f>
        <v>#NUM!</v>
      </c>
      <c r="P39" s="77" t="s">
        <v>155</v>
      </c>
      <c r="Q39" s="71" t="s">
        <v>156</v>
      </c>
      <c r="R39" s="77" t="s">
        <v>148</v>
      </c>
      <c r="S39" s="77" t="s">
        <v>149</v>
      </c>
      <c r="T39" s="77" t="s">
        <v>150</v>
      </c>
      <c r="U39" s="77" t="s">
        <v>151</v>
      </c>
      <c r="V39" s="123" t="s">
        <v>157</v>
      </c>
      <c r="W39" s="79"/>
      <c r="X39" s="75"/>
      <c r="AA39" s="1" t="str">
        <f>COMPLEX(ROUND((D39*(C39^2/B39)/F10),2),ROUND(SQRT(((C39^2/B39)/F10)^2-(D39*(C39^2/B39)/F10)^2),2))</f>
        <v>2800,61+1193,05i</v>
      </c>
    </row>
    <row r="40" spans="1:27" ht="12.75">
      <c r="A40" s="59">
        <f t="shared" si="0"/>
        <v>17664</v>
      </c>
      <c r="B40" s="68">
        <v>19200</v>
      </c>
      <c r="C40" s="68">
        <v>220</v>
      </c>
      <c r="D40" s="68">
        <v>0.92</v>
      </c>
      <c r="E40" s="69">
        <f t="shared" ref="E40:E48" si="3">B40/(SQRT(3)*C40*D40)</f>
        <v>54.768404982415099</v>
      </c>
      <c r="F40" s="70">
        <v>16</v>
      </c>
      <c r="G40" s="71">
        <v>2</v>
      </c>
      <c r="H40" s="71">
        <v>63</v>
      </c>
      <c r="I40" s="70">
        <v>67</v>
      </c>
      <c r="J40" s="72">
        <f t="shared" si="1"/>
        <v>2.489472953746141E-2</v>
      </c>
      <c r="K40" s="73" t="e">
        <f>S6/(SQRT(1/0.1*LOG10((234+D9)/(234+D10)))*340.1)</f>
        <v>#NUM!</v>
      </c>
      <c r="L40" s="71" t="s">
        <v>158</v>
      </c>
      <c r="M40" s="74">
        <v>0.05</v>
      </c>
      <c r="N40" s="75" t="e">
        <f t="shared" si="2"/>
        <v>#NUM!</v>
      </c>
      <c r="O40" s="76" t="e">
        <f>COMPLEX(ROUND(IMREAL(IMDIV(N40,F10)),4),ROUND(IMAGINARY(IMDIV(N40,F10)),4))</f>
        <v>#NUM!</v>
      </c>
      <c r="P40" s="77" t="s">
        <v>155</v>
      </c>
      <c r="Q40" s="71" t="s">
        <v>159</v>
      </c>
      <c r="R40" s="77" t="s">
        <v>148</v>
      </c>
      <c r="S40" s="77" t="s">
        <v>149</v>
      </c>
      <c r="T40" s="77" t="s">
        <v>150</v>
      </c>
      <c r="U40" s="77" t="s">
        <v>151</v>
      </c>
      <c r="V40" s="78" t="s">
        <v>160</v>
      </c>
      <c r="W40" s="79"/>
      <c r="X40" s="75"/>
      <c r="AA40" s="1" t="str">
        <f>COMPLEX(ROUND((D40*(C40^2/B40)/F10),2),ROUND(SQRT(((C40^2/B40)/F10)^2-(D40*(C40^2/B40)/F10)^2),2))</f>
        <v>4791,67+2041,24i</v>
      </c>
    </row>
    <row r="41" spans="1:27" ht="12.75">
      <c r="A41" s="59">
        <f t="shared" si="0"/>
        <v>22908</v>
      </c>
      <c r="B41" s="68">
        <v>24900</v>
      </c>
      <c r="C41" s="68">
        <v>220</v>
      </c>
      <c r="D41" s="68">
        <v>0.92</v>
      </c>
      <c r="E41" s="69">
        <f t="shared" si="3"/>
        <v>71.027775211569576</v>
      </c>
      <c r="F41" s="80">
        <v>25</v>
      </c>
      <c r="G41" s="71">
        <v>1.31</v>
      </c>
      <c r="H41" s="71">
        <v>80</v>
      </c>
      <c r="I41" s="70">
        <v>86</v>
      </c>
      <c r="J41" s="72">
        <f t="shared" si="1"/>
        <v>4.2293811603252796E-2</v>
      </c>
      <c r="K41" s="73" t="e">
        <f>S7/(SQRT(1/0.1*LOG10((234+D9)/(234+D10)))*340.1)</f>
        <v>#NUM!</v>
      </c>
      <c r="L41" s="80" t="s">
        <v>161</v>
      </c>
      <c r="M41" s="80">
        <v>0.1</v>
      </c>
      <c r="N41" s="81" t="e">
        <f t="shared" si="2"/>
        <v>#NUM!</v>
      </c>
      <c r="O41" s="82" t="e">
        <f>COMPLEX(ROUND(IMREAL(IMDIV(N41,F10)),4),ROUND(IMAGINARY(IMDIV(N41,F10)),4))</f>
        <v>#NUM!</v>
      </c>
      <c r="P41" s="80" t="s">
        <v>155</v>
      </c>
      <c r="Q41" s="71" t="s">
        <v>162</v>
      </c>
      <c r="R41" s="80" t="s">
        <v>148</v>
      </c>
      <c r="S41" s="80" t="s">
        <v>149</v>
      </c>
      <c r="T41" s="80" t="s">
        <v>150</v>
      </c>
      <c r="U41" s="77" t="s">
        <v>151</v>
      </c>
      <c r="V41" s="80" t="s">
        <v>163</v>
      </c>
      <c r="W41" s="81"/>
      <c r="X41" s="81"/>
      <c r="AA41" s="1" t="str">
        <f>COMPLEX(ROUND((D41*(C41^2/B41)/F10),2),ROUND(SQRT(((C41^2/B41)/F10)^2-(D41*(C41^2/B41)/F10)^2),2))</f>
        <v>3694,78+1573,97i</v>
      </c>
    </row>
    <row r="42" spans="1:27" ht="12.75">
      <c r="A42" s="59">
        <f t="shared" si="0"/>
        <v>17664</v>
      </c>
      <c r="B42" s="68">
        <v>19200</v>
      </c>
      <c r="C42" s="68">
        <v>220</v>
      </c>
      <c r="D42" s="68">
        <v>0.92</v>
      </c>
      <c r="E42" s="69">
        <f t="shared" si="3"/>
        <v>54.768404982415099</v>
      </c>
      <c r="F42" s="80">
        <v>16</v>
      </c>
      <c r="G42" s="71">
        <v>2</v>
      </c>
      <c r="H42" s="71">
        <v>63</v>
      </c>
      <c r="I42" s="70">
        <v>67</v>
      </c>
      <c r="J42" s="72">
        <f t="shared" si="1"/>
        <v>6.4726296797399663E-2</v>
      </c>
      <c r="K42" s="73" t="e">
        <f>S8/(SQRT(1/0.1*LOG10((234+D9)/(234+D10)))*340.1)</f>
        <v>#NUM!</v>
      </c>
      <c r="L42" s="71" t="s">
        <v>158</v>
      </c>
      <c r="M42" s="80">
        <v>0.13</v>
      </c>
      <c r="N42" s="81" t="e">
        <f t="shared" si="2"/>
        <v>#NUM!</v>
      </c>
      <c r="O42" s="82" t="e">
        <f>COMPLEX(ROUND(IMREAL(IMDIV(N42,F10)),4),ROUND(IMAGINARY(IMDIV(N42,F10)),4))</f>
        <v>#NUM!</v>
      </c>
      <c r="P42" s="80" t="s">
        <v>155</v>
      </c>
      <c r="Q42" s="71" t="s">
        <v>164</v>
      </c>
      <c r="R42" s="80" t="s">
        <v>148</v>
      </c>
      <c r="S42" s="80" t="s">
        <v>149</v>
      </c>
      <c r="T42" s="80" t="s">
        <v>150</v>
      </c>
      <c r="U42" s="77" t="s">
        <v>151</v>
      </c>
      <c r="V42" s="78" t="s">
        <v>160</v>
      </c>
      <c r="W42" s="81"/>
      <c r="X42" s="81"/>
      <c r="AA42" s="1" t="str">
        <f>COMPLEX(ROUND((D42*(C42^2/B42)/F10),2),ROUND(SQRT(((C42^2/B42)/F10)^2-(D42*(C42^2/B42)/F10)^2),2))</f>
        <v>4791,67+2041,24i</v>
      </c>
    </row>
    <row r="43" spans="1:27" ht="12.75">
      <c r="A43" s="59">
        <f t="shared" si="0"/>
        <v>698157.7</v>
      </c>
      <c r="B43" s="59">
        <v>787100</v>
      </c>
      <c r="C43" s="59">
        <v>380</v>
      </c>
      <c r="D43" s="59">
        <v>0.88700000000000001</v>
      </c>
      <c r="E43" s="60">
        <f t="shared" si="3"/>
        <v>1348.2240458053595</v>
      </c>
      <c r="F43" s="61">
        <v>300</v>
      </c>
      <c r="G43" s="61">
        <v>0.2</v>
      </c>
      <c r="H43" s="61">
        <v>1600</v>
      </c>
      <c r="I43" s="66" t="s">
        <v>165</v>
      </c>
      <c r="J43" s="62">
        <f t="shared" si="1"/>
        <v>1.0643874045831786E-2</v>
      </c>
      <c r="K43" s="63" t="e">
        <f>S9/(SQRT(1/0.1*LOG10((234+D9)/(234+D10)))*340.1)</f>
        <v>#NUM!</v>
      </c>
      <c r="L43" s="61" t="s">
        <v>102</v>
      </c>
      <c r="M43" s="61">
        <v>1.4999999999999999E-2</v>
      </c>
      <c r="N43" s="64" t="e">
        <f t="shared" si="2"/>
        <v>#NUM!</v>
      </c>
      <c r="O43" s="65" t="e">
        <f>COMPLEX(ROUND(IMREAL(IMDIV(N43,5*F6)),4),ROUND(IMAGINARY(IMDIV(N43,5*F6)),4))</f>
        <v>#NUM!</v>
      </c>
      <c r="P43" s="61" t="s">
        <v>105</v>
      </c>
      <c r="Q43" s="61" t="s">
        <v>166</v>
      </c>
      <c r="R43" s="61" t="s">
        <v>148</v>
      </c>
      <c r="S43" s="61" t="s">
        <v>149</v>
      </c>
      <c r="T43" s="61" t="s">
        <v>150</v>
      </c>
      <c r="U43" s="61" t="s">
        <v>151</v>
      </c>
      <c r="V43" s="61" t="s">
        <v>167</v>
      </c>
      <c r="W43" s="64"/>
      <c r="X43" s="64"/>
      <c r="AA43" s="1" t="str">
        <f>COMPLEX(ROUND((D43*(C43^2/B43)/F10),2),ROUND(SQRT(((C43^2/B43)/F10)^2-(D43*(C43^2/B43)/F10)^2),2))</f>
        <v>336,21+175,03i</v>
      </c>
    </row>
    <row r="44" spans="1:27" ht="12.75">
      <c r="A44" s="59">
        <f t="shared" si="0"/>
        <v>51926.25</v>
      </c>
      <c r="B44" s="59">
        <v>56750</v>
      </c>
      <c r="C44" s="59">
        <v>380</v>
      </c>
      <c r="D44" s="59">
        <v>0.91500000000000004</v>
      </c>
      <c r="E44" s="60">
        <f t="shared" si="3"/>
        <v>94.232464125715452</v>
      </c>
      <c r="F44" s="61">
        <v>70</v>
      </c>
      <c r="G44" s="61">
        <v>0.54</v>
      </c>
      <c r="H44" s="61">
        <v>100</v>
      </c>
      <c r="I44" s="66" t="s">
        <v>168</v>
      </c>
      <c r="J44" s="62">
        <f t="shared" si="1"/>
        <v>2.0086393668902504E-3</v>
      </c>
      <c r="K44" s="63" t="e">
        <f>S10/(SQRT(1/0.1*LOG10((234+D9)/(234+D10)))*340.1)</f>
        <v>#NUM!</v>
      </c>
      <c r="L44" s="61" t="s">
        <v>83</v>
      </c>
      <c r="M44" s="61">
        <v>1.4999999999999999E-2</v>
      </c>
      <c r="N44" s="64" t="e">
        <f t="shared" si="2"/>
        <v>#NUM!</v>
      </c>
      <c r="O44" s="65" t="e">
        <f>COMPLEX(ROUND(IMREAL(IMDIV(N44,F6)),4),ROUND(IMAGINARY(IMDIV(N44,F6)),4))</f>
        <v>#NUM!</v>
      </c>
      <c r="P44" s="61" t="s">
        <v>105</v>
      </c>
      <c r="Q44" s="61" t="s">
        <v>169</v>
      </c>
      <c r="R44" s="61" t="s">
        <v>148</v>
      </c>
      <c r="S44" s="61" t="s">
        <v>149</v>
      </c>
      <c r="T44" s="61" t="s">
        <v>150</v>
      </c>
      <c r="U44" s="61" t="s">
        <v>151</v>
      </c>
      <c r="V44" s="83" t="s">
        <v>157</v>
      </c>
      <c r="W44" s="64"/>
      <c r="X44" s="64"/>
      <c r="AA44" s="1" t="str">
        <f>COMPLEX(ROUND((D44*(C44^2/B44)/F10),2),ROUND(SQRT(((C44^2/B44)/F10)^2-(D44*(C44^2/B44)/F10)^2),2))</f>
        <v>4810,35+2121,04i</v>
      </c>
    </row>
    <row r="45" spans="1:27" ht="12.75">
      <c r="A45" s="59">
        <f t="shared" si="0"/>
        <v>63618</v>
      </c>
      <c r="B45" s="68">
        <v>69150</v>
      </c>
      <c r="C45" s="68">
        <v>380</v>
      </c>
      <c r="D45" s="68">
        <v>0.92</v>
      </c>
      <c r="E45" s="69">
        <f t="shared" si="3"/>
        <v>114.19842996127753</v>
      </c>
      <c r="F45" s="80">
        <v>70</v>
      </c>
      <c r="G45" s="80">
        <v>0.54</v>
      </c>
      <c r="H45" s="80">
        <v>125</v>
      </c>
      <c r="I45" s="84">
        <v>151</v>
      </c>
      <c r="J45" s="72">
        <f t="shared" si="1"/>
        <v>1.1359738559306028E-2</v>
      </c>
      <c r="K45" s="85" t="e">
        <f>S11/(SQRT(1/0.1*LOG10((234+D9)/(234+D10)))*340.1)</f>
        <v>#NUM!</v>
      </c>
      <c r="L45" s="80" t="s">
        <v>83</v>
      </c>
      <c r="M45" s="80">
        <v>7.0000000000000007E-2</v>
      </c>
      <c r="N45" s="81" t="e">
        <f t="shared" si="2"/>
        <v>#NUM!</v>
      </c>
      <c r="O45" s="82" t="e">
        <f>COMPLEX(ROUND(IMREAL(IMDIV(N45,F6)),4),ROUND(IMAGINARY(IMDIV(N45,F6)),4))</f>
        <v>#NUM!</v>
      </c>
      <c r="P45" s="80" t="s">
        <v>111</v>
      </c>
      <c r="Q45" s="80" t="s">
        <v>170</v>
      </c>
      <c r="R45" s="80" t="s">
        <v>148</v>
      </c>
      <c r="S45" s="80" t="s">
        <v>149</v>
      </c>
      <c r="T45" s="80" t="s">
        <v>150</v>
      </c>
      <c r="U45" s="80" t="s">
        <v>151</v>
      </c>
      <c r="V45" s="80" t="s">
        <v>171</v>
      </c>
      <c r="W45" s="81"/>
      <c r="X45" s="81"/>
      <c r="AA45" s="1" t="str">
        <f>COMPLEX(ROUND((D45*(C45^2/B45)/F10),2),ROUND(SQRT(((C45^2/B45)/F10)^2-(D45*(C45^2/B45)/F10)^2),2))</f>
        <v>3969,33+1690,93i</v>
      </c>
    </row>
    <row r="46" spans="1:27" ht="12.75">
      <c r="A46" s="59">
        <f t="shared" si="0"/>
        <v>226320</v>
      </c>
      <c r="B46" s="68">
        <v>246000</v>
      </c>
      <c r="C46" s="68">
        <v>380</v>
      </c>
      <c r="D46" s="68">
        <v>0.92</v>
      </c>
      <c r="E46" s="69">
        <f t="shared" si="3"/>
        <v>406.25905669521723</v>
      </c>
      <c r="F46" s="80">
        <v>150</v>
      </c>
      <c r="G46" s="80">
        <v>0.3</v>
      </c>
      <c r="H46" s="80">
        <v>450</v>
      </c>
      <c r="I46" s="84" t="s">
        <v>172</v>
      </c>
      <c r="J46" s="72">
        <f t="shared" si="1"/>
        <v>4.0091354279133275E-2</v>
      </c>
      <c r="K46" s="85" t="e">
        <f>S12/(SQRT(1/0.1*LOG10((234+D9)/(234+D10)))*340.1)</f>
        <v>#NUM!</v>
      </c>
      <c r="L46" s="80" t="s">
        <v>173</v>
      </c>
      <c r="M46" s="80">
        <v>0.125</v>
      </c>
      <c r="N46" s="81" t="e">
        <f t="shared" si="2"/>
        <v>#NUM!</v>
      </c>
      <c r="O46" s="82" t="e">
        <f>COMPLEX(ROUND(IMREAL(IMDIV(N46,2*F6)),4),ROUND(IMAGINARY(IMDIV(N46,2*F6)),4))</f>
        <v>#NUM!</v>
      </c>
      <c r="P46" s="80" t="s">
        <v>111</v>
      </c>
      <c r="Q46" s="80" t="s">
        <v>174</v>
      </c>
      <c r="R46" s="80" t="s">
        <v>148</v>
      </c>
      <c r="S46" s="80" t="s">
        <v>149</v>
      </c>
      <c r="T46" s="80" t="s">
        <v>150</v>
      </c>
      <c r="U46" s="80" t="s">
        <v>151</v>
      </c>
      <c r="V46" s="80" t="s">
        <v>175</v>
      </c>
      <c r="W46" s="81"/>
      <c r="X46" s="81"/>
      <c r="AA46" s="1" t="str">
        <f>COMPLEX(ROUND((D46*(C46^2/B46)/F10),2),ROUND(SQRT(((C46^2/B46)/F10)^2-(D46*(C46^2/B46)/F10)^2),2))</f>
        <v>1115,77+475,32i</v>
      </c>
    </row>
    <row r="47" spans="1:27" ht="12.75">
      <c r="A47" s="59">
        <f t="shared" si="0"/>
        <v>182247.66</v>
      </c>
      <c r="B47" s="68">
        <v>206630</v>
      </c>
      <c r="C47" s="68">
        <v>380</v>
      </c>
      <c r="D47" s="68">
        <v>0.88200000000000001</v>
      </c>
      <c r="E47" s="69">
        <f t="shared" si="3"/>
        <v>355.94309023347768</v>
      </c>
      <c r="F47" s="80">
        <v>120</v>
      </c>
      <c r="G47" s="80">
        <v>0.35</v>
      </c>
      <c r="H47" s="80">
        <v>400</v>
      </c>
      <c r="I47" s="84" t="s">
        <v>95</v>
      </c>
      <c r="J47" s="72">
        <f t="shared" si="1"/>
        <v>4.1963816953841576E-2</v>
      </c>
      <c r="K47" s="85" t="e">
        <f>S13/(SQRT(1/0.1*LOG10((234+D9)/(234+D10)))*340.1)</f>
        <v>#NUM!</v>
      </c>
      <c r="L47" s="80" t="s">
        <v>94</v>
      </c>
      <c r="M47" s="80">
        <v>0.128</v>
      </c>
      <c r="N47" s="81" t="e">
        <f t="shared" si="2"/>
        <v>#NUM!</v>
      </c>
      <c r="O47" s="82" t="e">
        <f>COMPLEX(ROUND(IMREAL(IMDIV(N47,2*F6)),4),ROUND(IMAGINARY(IMDIV(N47,2*F6)),4))</f>
        <v>#NUM!</v>
      </c>
      <c r="P47" s="80" t="s">
        <v>111</v>
      </c>
      <c r="Q47" s="80" t="s">
        <v>176</v>
      </c>
      <c r="R47" s="80" t="s">
        <v>148</v>
      </c>
      <c r="S47" s="80" t="s">
        <v>149</v>
      </c>
      <c r="T47" s="80" t="s">
        <v>150</v>
      </c>
      <c r="U47" s="80" t="s">
        <v>151</v>
      </c>
      <c r="V47" s="80" t="s">
        <v>96</v>
      </c>
      <c r="W47" s="81"/>
      <c r="X47" s="81"/>
      <c r="AA47" s="1" t="str">
        <f>COMPLEX(ROUND((D47*(C47^2/B47)/F10),2),ROUND(SQRT(((C47^2/B47)/F10)^2-(D47*(C47^2/B47)/F10)^2),2))</f>
        <v>1273,49+680,42i</v>
      </c>
    </row>
    <row r="48" spans="1:27" ht="12.75">
      <c r="A48" s="59">
        <f t="shared" si="0"/>
        <v>1136417.7</v>
      </c>
      <c r="B48" s="68">
        <v>1318350</v>
      </c>
      <c r="C48" s="68">
        <v>380</v>
      </c>
      <c r="D48" s="68">
        <v>0.86199999999999999</v>
      </c>
      <c r="E48" s="69">
        <f t="shared" si="3"/>
        <v>2323.6955897733028</v>
      </c>
      <c r="F48" s="80">
        <v>300</v>
      </c>
      <c r="G48" s="80">
        <v>0.2</v>
      </c>
      <c r="H48" s="84">
        <v>2500</v>
      </c>
      <c r="I48" s="84" t="s">
        <v>177</v>
      </c>
      <c r="J48" s="72">
        <f t="shared" si="1"/>
        <v>4.8919907153122166E-2</v>
      </c>
      <c r="K48" s="85" t="e">
        <f>S14/(SQRT(1/0.1*LOG10((234+D9)/(234+D10)))*340.1)</f>
        <v>#NUM!</v>
      </c>
      <c r="L48" s="80" t="s">
        <v>102</v>
      </c>
      <c r="M48" s="80">
        <v>0.04</v>
      </c>
      <c r="N48" s="81" t="e">
        <f t="shared" si="2"/>
        <v>#NUM!</v>
      </c>
      <c r="O48" s="82" t="e">
        <f>COMPLEX(ROUND(IMREAL(IMDIV(N48,8*F6)),4),ROUND(IMAGINARY(IMDIV(N48,8*F6)),4))</f>
        <v>#NUM!</v>
      </c>
      <c r="P48" s="80" t="s">
        <v>111</v>
      </c>
      <c r="Q48" s="80" t="s">
        <v>178</v>
      </c>
      <c r="R48" s="80" t="s">
        <v>148</v>
      </c>
      <c r="S48" s="80" t="s">
        <v>149</v>
      </c>
      <c r="T48" s="80" t="s">
        <v>150</v>
      </c>
      <c r="U48" s="80" t="s">
        <v>151</v>
      </c>
      <c r="V48" s="80" t="s">
        <v>110</v>
      </c>
      <c r="W48" s="81"/>
      <c r="X48" s="81"/>
      <c r="AA48" s="1" t="str">
        <f>COMPLEX(ROUND((D48*(C48^2/B48)/F10),2),ROUND(SQRT(((C48^2/B48)/F10)^2-(D48*(C48^2/B48)/F10)^2),2))</f>
        <v>195,07+114,72i</v>
      </c>
    </row>
    <row r="49" spans="1:24" ht="12.75">
      <c r="A49" s="59">
        <f t="shared" si="0"/>
        <v>186806</v>
      </c>
      <c r="B49" s="86">
        <f>SUM(B37,B38)</f>
        <v>203050</v>
      </c>
      <c r="C49" s="59">
        <v>220</v>
      </c>
      <c r="D49" s="87">
        <v>0.92</v>
      </c>
      <c r="E49" s="87">
        <f>E37+E38</f>
        <v>579.20440789996803</v>
      </c>
      <c r="F49" s="61">
        <v>70</v>
      </c>
      <c r="G49" s="59">
        <v>0.54</v>
      </c>
      <c r="H49" s="59">
        <v>700</v>
      </c>
      <c r="I49" s="88" t="s">
        <v>84</v>
      </c>
      <c r="J49" s="62">
        <f t="shared" si="1"/>
        <v>2.8433670933271159E-2</v>
      </c>
      <c r="K49" s="63">
        <f>H67/(SQRT(1/0.1*LOG10((234+D10)/(234+D11)))*340.1)</f>
        <v>31.982100473198539</v>
      </c>
      <c r="L49" s="61" t="s">
        <v>83</v>
      </c>
      <c r="M49" s="61">
        <v>0.02</v>
      </c>
      <c r="N49" s="64" t="e">
        <f t="shared" si="2"/>
        <v>#NUM!</v>
      </c>
      <c r="O49" s="65" t="e">
        <f>COMPLEX(ROUND(IMREAL(IMDIV(N49,4*F6)),4),ROUND(IMAGINARY(IMDIV(N49,4*F6)),4))</f>
        <v>#NUM!</v>
      </c>
      <c r="P49" s="61" t="s">
        <v>179</v>
      </c>
      <c r="Q49" s="61" t="s">
        <v>180</v>
      </c>
      <c r="R49" s="59" t="s">
        <v>148</v>
      </c>
      <c r="S49" s="59" t="s">
        <v>149</v>
      </c>
      <c r="T49" s="61" t="s">
        <v>150</v>
      </c>
      <c r="U49" s="61" t="s">
        <v>151</v>
      </c>
      <c r="V49" s="83" t="s">
        <v>85</v>
      </c>
      <c r="W49" s="64"/>
      <c r="X49" s="64"/>
    </row>
    <row r="50" spans="1:24" ht="12.75">
      <c r="A50">
        <f>SUM(A37:A49)</f>
        <v>2820757.3099999996</v>
      </c>
      <c r="B50">
        <f>SUM(B37:B49)</f>
        <v>3186230</v>
      </c>
      <c r="I50" s="3"/>
      <c r="J50" s="3"/>
      <c r="K50" s="3"/>
      <c r="L50" s="3"/>
      <c r="M50" s="3"/>
      <c r="N50" s="3"/>
      <c r="O50" s="3"/>
      <c r="P50" s="3"/>
      <c r="Q50" s="3"/>
    </row>
    <row r="51" spans="1:24" ht="12.75">
      <c r="C51" s="6"/>
      <c r="D51" s="6"/>
      <c r="E51" s="3"/>
      <c r="F51" s="5"/>
      <c r="G51" s="3"/>
      <c r="J51" s="6"/>
      <c r="K51" s="3"/>
      <c r="L51" s="5"/>
      <c r="M51" s="3"/>
      <c r="P51" s="6"/>
      <c r="Q51" s="3"/>
      <c r="R51" s="5"/>
      <c r="S51" s="3"/>
    </row>
    <row r="52" spans="1:24" ht="12.75">
      <c r="C52" s="6" t="s">
        <v>181</v>
      </c>
      <c r="D52" s="6" t="s">
        <v>182</v>
      </c>
      <c r="E52" s="3"/>
      <c r="F52" s="5" t="s">
        <v>183</v>
      </c>
      <c r="G52" s="3"/>
      <c r="J52" s="6" t="s">
        <v>184</v>
      </c>
      <c r="K52" s="3"/>
      <c r="L52" s="5" t="s">
        <v>183</v>
      </c>
      <c r="M52" s="3"/>
      <c r="P52" s="6" t="s">
        <v>185</v>
      </c>
      <c r="Q52" s="3"/>
      <c r="R52" s="5" t="s">
        <v>183</v>
      </c>
      <c r="S52" s="3"/>
    </row>
    <row r="53" spans="1:24" ht="12.75">
      <c r="D53" s="46" t="s">
        <v>186</v>
      </c>
      <c r="E53" s="89">
        <f>D48</f>
        <v>0.86199999999999999</v>
      </c>
      <c r="F53">
        <f>ACOS(E53)</f>
        <v>0.53159430495608362</v>
      </c>
      <c r="G53" s="1" t="s">
        <v>187</v>
      </c>
      <c r="H53" s="47">
        <f>(SIN(F53)*B48-TAN(F54)*B48*E53)/1000</f>
        <v>184.17061231840546</v>
      </c>
      <c r="J53" s="46" t="s">
        <v>186</v>
      </c>
      <c r="K53" s="89">
        <f>D47</f>
        <v>0.88200000000000001</v>
      </c>
      <c r="L53">
        <f>ACOS(K53)</f>
        <v>0.49070679972034514</v>
      </c>
      <c r="M53" s="1" t="s">
        <v>187</v>
      </c>
      <c r="N53" s="47">
        <f>(SIN(L53)*B47-TAN(L54)*B47*K53)/1000</f>
        <v>19.737086124632594</v>
      </c>
      <c r="P53" s="46" t="s">
        <v>186</v>
      </c>
      <c r="Q53" s="89">
        <f>D43</f>
        <v>0.88700000000000001</v>
      </c>
      <c r="R53">
        <f>ACOS(Q53)</f>
        <v>0.47998900497337349</v>
      </c>
      <c r="S53" s="1" t="s">
        <v>187</v>
      </c>
      <c r="T53" s="47">
        <f>(SIN(R53)*B43-TAN(R55)*B43*Q53)/1000</f>
        <v>66.044778046414194</v>
      </c>
    </row>
    <row r="54" spans="1:24" ht="12.75">
      <c r="D54" s="46" t="s">
        <v>188</v>
      </c>
      <c r="E54" s="90">
        <v>0.92</v>
      </c>
      <c r="F54">
        <f>ACOS(E54)</f>
        <v>0.40271584158066132</v>
      </c>
      <c r="G54" s="1" t="s">
        <v>189</v>
      </c>
      <c r="H54" s="1">
        <v>17.5</v>
      </c>
      <c r="J54" s="46" t="s">
        <v>188</v>
      </c>
      <c r="K54" s="90">
        <v>0.92</v>
      </c>
      <c r="L54">
        <f>ACOS(K54)</f>
        <v>0.40271584158066132</v>
      </c>
      <c r="M54" s="1" t="s">
        <v>189</v>
      </c>
      <c r="N54" s="1">
        <v>5</v>
      </c>
      <c r="P54" s="46" t="s">
        <v>188</v>
      </c>
      <c r="Q54" s="90">
        <v>0.92</v>
      </c>
      <c r="R54">
        <f>ACOS(Q56)</f>
        <v>0.47589502512396864</v>
      </c>
      <c r="S54" s="1" t="s">
        <v>189</v>
      </c>
      <c r="T54" s="1">
        <v>7.5</v>
      </c>
    </row>
    <row r="55" spans="1:24" ht="12.75">
      <c r="D55" s="46" t="s">
        <v>190</v>
      </c>
      <c r="E55" s="91">
        <f>COS(F55)</f>
        <v>0.93008022124545897</v>
      </c>
      <c r="F55">
        <f>ASIN((H54*H55+TAN(F54)*B48*E53)/B48)</f>
        <v>0.37616516826428209</v>
      </c>
      <c r="G55" s="1" t="s">
        <v>191</v>
      </c>
      <c r="H55">
        <v>11</v>
      </c>
      <c r="J55" s="46" t="s">
        <v>190</v>
      </c>
      <c r="K55" s="91">
        <f>COS(L55)</f>
        <v>0.92668975510233531</v>
      </c>
      <c r="L55">
        <f>ASIN((N54*N55+TAN(L54)*B47*K53)/B47)</f>
        <v>0.38528927214183523</v>
      </c>
      <c r="M55" s="1" t="s">
        <v>191</v>
      </c>
      <c r="N55">
        <v>4</v>
      </c>
      <c r="P55" s="46" t="s">
        <v>190</v>
      </c>
      <c r="Q55" s="91">
        <f>COS(R56)</f>
        <v>0.92549969785365427</v>
      </c>
      <c r="R55">
        <f>ACOS(Q54)</f>
        <v>0.40271584158066132</v>
      </c>
      <c r="S55" s="1" t="s">
        <v>191</v>
      </c>
      <c r="T55">
        <v>9</v>
      </c>
    </row>
    <row r="56" spans="1:24" ht="12.75">
      <c r="D56" s="1" t="s">
        <v>192</v>
      </c>
      <c r="E56">
        <f>B48/(SQRT(3)*380*E53)</f>
        <v>2323.6955897733028</v>
      </c>
      <c r="G56" s="1" t="s">
        <v>193</v>
      </c>
      <c r="H56">
        <f>H54*H55</f>
        <v>192.5</v>
      </c>
      <c r="J56" s="1" t="s">
        <v>192</v>
      </c>
      <c r="K56" s="92">
        <f>B47/(SQRT(3)*380*K53)</f>
        <v>355.94309023347768</v>
      </c>
      <c r="M56" s="1" t="s">
        <v>193</v>
      </c>
      <c r="N56">
        <f>N54*N55</f>
        <v>20</v>
      </c>
      <c r="P56" s="46" t="s">
        <v>194</v>
      </c>
      <c r="Q56" s="93">
        <f>(B43*D43+B44*D44)/(B43+B44)</f>
        <v>0.88888303608461217</v>
      </c>
      <c r="R56">
        <f>ASIN((T54*T55+TAN(R55)*B43*Q56)/B43)</f>
        <v>0.38844351227219959</v>
      </c>
      <c r="S56" s="1" t="s">
        <v>193</v>
      </c>
      <c r="T56">
        <f>T54*T55</f>
        <v>67.5</v>
      </c>
    </row>
    <row r="57" spans="1:24" ht="12.75">
      <c r="D57" s="1" t="s">
        <v>195</v>
      </c>
      <c r="E57" s="92">
        <f>B48/(SQRT(3)*380*E55)</f>
        <v>2153.6051973047661</v>
      </c>
      <c r="G57" s="1" t="s">
        <v>196</v>
      </c>
      <c r="H57" s="1" t="s">
        <v>197</v>
      </c>
      <c r="J57" s="1" t="s">
        <v>195</v>
      </c>
      <c r="K57" s="92">
        <f>B47/(SQRT(3)*380*K55)</f>
        <v>338.77768029415455</v>
      </c>
      <c r="M57" s="1" t="s">
        <v>196</v>
      </c>
      <c r="N57" s="1" t="s">
        <v>198</v>
      </c>
      <c r="P57" s="46" t="s">
        <v>199</v>
      </c>
      <c r="Q57" s="93">
        <f>(B43*Q55+B44*D44)/(B43+B44)</f>
        <v>0.92479357964165587</v>
      </c>
      <c r="S57" s="1" t="s">
        <v>196</v>
      </c>
      <c r="T57" s="1" t="s">
        <v>200</v>
      </c>
    </row>
    <row r="58" spans="1:24" ht="14.25">
      <c r="E58" s="94"/>
      <c r="G58" s="1" t="s">
        <v>201</v>
      </c>
      <c r="H58" s="1" t="s">
        <v>202</v>
      </c>
      <c r="M58" s="1" t="s">
        <v>201</v>
      </c>
      <c r="N58" s="1" t="s">
        <v>150</v>
      </c>
      <c r="P58" s="1" t="s">
        <v>192</v>
      </c>
      <c r="Q58">
        <f>B43/(SQRT(3)*380*Q53)</f>
        <v>1348.2240458053595</v>
      </c>
      <c r="S58" s="1" t="s">
        <v>201</v>
      </c>
      <c r="T58" s="1" t="s">
        <v>202</v>
      </c>
    </row>
    <row r="59" spans="1:24" ht="12.75">
      <c r="G59" s="1" t="s">
        <v>203</v>
      </c>
      <c r="H59" s="1">
        <v>400</v>
      </c>
      <c r="J59" s="1" t="s">
        <v>204</v>
      </c>
      <c r="K59" s="95">
        <f>(B45*D45+B46*D46+B47*D47+B48*D48)/(B45+B46+B47+B48)</f>
        <v>0.87417919386130316</v>
      </c>
      <c r="M59" s="1" t="s">
        <v>203</v>
      </c>
      <c r="N59" s="1">
        <v>40</v>
      </c>
      <c r="P59" s="1" t="s">
        <v>195</v>
      </c>
      <c r="Q59" s="92">
        <f>B43/(SQRT(3)*380*Q55)</f>
        <v>1292.1395127440148</v>
      </c>
      <c r="S59" s="1" t="s">
        <v>203</v>
      </c>
      <c r="T59" s="1">
        <v>125</v>
      </c>
    </row>
    <row r="60" spans="1:24" ht="12.75">
      <c r="A60" s="6"/>
      <c r="B60" s="6" t="s">
        <v>205</v>
      </c>
      <c r="J60" s="1" t="s">
        <v>206</v>
      </c>
      <c r="K60" s="95">
        <f>(B45*D45+B46*D46+B47*E55+B48*K55)/(B45+B46+B47+B48)</f>
        <v>0.92592475246591976</v>
      </c>
      <c r="P60" s="1" t="s">
        <v>207</v>
      </c>
      <c r="Q60" s="92">
        <f>(B43+B44)/(SQRT(3)*380*Q56)</f>
        <v>1442.3691096095365</v>
      </c>
    </row>
    <row r="61" spans="1:24" ht="12.75">
      <c r="A61" s="1"/>
      <c r="B61" s="1" t="s">
        <v>208</v>
      </c>
      <c r="C61" s="1" t="s">
        <v>136</v>
      </c>
      <c r="D61" s="1" t="s">
        <v>209</v>
      </c>
      <c r="P61" s="1" t="s">
        <v>210</v>
      </c>
      <c r="Q61" s="92">
        <f>(B43+B44)/(SQRT(3)*380*Q57)</f>
        <v>1386.3606555326407</v>
      </c>
      <c r="S61" s="1" t="s">
        <v>211</v>
      </c>
    </row>
    <row r="62" spans="1:24" ht="12.75">
      <c r="B62">
        <f>B37+B38</f>
        <v>203050</v>
      </c>
      <c r="D62">
        <f>ROUND(B62*COS(C63),4)</f>
        <v>186806</v>
      </c>
    </row>
    <row r="63" spans="1:24" ht="12.75">
      <c r="A63" s="1"/>
      <c r="B63" s="1">
        <v>0.92</v>
      </c>
      <c r="C63" s="96">
        <f>ACOS(B63)</f>
        <v>0.40271584158066132</v>
      </c>
    </row>
    <row r="64" spans="1:24" ht="12.75">
      <c r="A64" s="1"/>
      <c r="B64" s="1" t="s">
        <v>212</v>
      </c>
      <c r="G64" s="1" t="s">
        <v>213</v>
      </c>
      <c r="H64" s="1" t="s">
        <v>214</v>
      </c>
      <c r="J64" s="97" t="s">
        <v>213</v>
      </c>
      <c r="K64" s="97" t="s">
        <v>214</v>
      </c>
    </row>
    <row r="65" spans="1:16" ht="12.75">
      <c r="A65" s="1"/>
      <c r="B65" s="1" t="s">
        <v>215</v>
      </c>
      <c r="C65" s="1">
        <v>320000</v>
      </c>
      <c r="D65" s="1" t="s">
        <v>216</v>
      </c>
      <c r="E65" s="1" t="str">
        <f>COMPLEX(0,(2.903*(100000000/299000)))</f>
        <v>970,903010033445i</v>
      </c>
      <c r="F65" s="1" t="s">
        <v>217</v>
      </c>
      <c r="G65" s="98">
        <f>IMABS(IMPRODUCT(IMDIV(1,E65),C69))</f>
        <v>270.29676273400202</v>
      </c>
      <c r="H65" s="98">
        <f>IMABS(IMPRODUCT(C69,IMDIV(3,IMSUM(E65,E65,E68))))</f>
        <v>403.70682672790701</v>
      </c>
      <c r="I65" s="1" t="s">
        <v>218</v>
      </c>
      <c r="J65" t="e">
        <f>IMABS(IMSUM(COMPLEX(1,G65),IMDIV(IMPRODUCT(IMPRODUCT(D5,IMDIV(1,I8)),D4),C67)))</f>
        <v>#NUM!</v>
      </c>
      <c r="K65" t="e">
        <f>IMABS(IMSUM(COMPLEX(1,H65),IMDIV(IMPRODUCT(IMDIV(1,IMSUM(I8,I8,J8)),3,D5,D4),C67)))</f>
        <v>#NUM!</v>
      </c>
    </row>
    <row r="66" spans="1:16" ht="12.75">
      <c r="A66" s="1"/>
      <c r="B66" s="1" t="s">
        <v>219</v>
      </c>
      <c r="C66" s="1">
        <v>256000</v>
      </c>
      <c r="D66" s="1" t="s">
        <v>220</v>
      </c>
      <c r="E66" s="1" t="str">
        <f>COMPLEX(0,(0.136*100000000/299000))</f>
        <v>45,4849498327759i</v>
      </c>
      <c r="F66" s="1" t="s">
        <v>221</v>
      </c>
      <c r="G66" s="98">
        <f>IMABS(IMPRODUCT(IMDIV(1,E66),C69))</f>
        <v>5769.6433986530201</v>
      </c>
      <c r="H66" s="98">
        <f>IMABS(IMPRODUCT(C69,IMDIV(3,IMSUM(E66,E66,E68))))</f>
        <v>7925.9747698667597</v>
      </c>
    </row>
    <row r="67" spans="1:16" ht="14.25">
      <c r="A67" s="1"/>
      <c r="B67" s="1" t="s">
        <v>222</v>
      </c>
      <c r="C67" s="1">
        <v>220</v>
      </c>
      <c r="D67" s="1" t="s">
        <v>223</v>
      </c>
      <c r="E67" s="1" t="str">
        <f>COMPLEX(0,(0.089*100000000/299000))</f>
        <v>29,7658862876254i</v>
      </c>
      <c r="F67" s="1" t="s">
        <v>224</v>
      </c>
      <c r="G67" s="98">
        <f>IMABS(IMPRODUCT(IMDIV(1,E67),C69))</f>
        <v>8816.5337327731304</v>
      </c>
      <c r="H67" s="98">
        <f>IMABS(IMPRODUCT(C69,IMDIV(3,IMSUM(E67,E67,E68))))</f>
        <v>11596.1305746327</v>
      </c>
      <c r="I67" s="99"/>
    </row>
    <row r="68" spans="1:16" ht="14.25">
      <c r="A68" s="1"/>
      <c r="B68" s="1" t="s">
        <v>225</v>
      </c>
      <c r="C68" s="100">
        <v>100000000</v>
      </c>
      <c r="D68" s="1" t="s">
        <v>226</v>
      </c>
      <c r="E68" t="str">
        <f>COMPLEX(0,(0.025*100000000/299000))</f>
        <v>8,36120401337793i</v>
      </c>
      <c r="G68" s="101"/>
    </row>
    <row r="69" spans="1:16" ht="14.25">
      <c r="A69" s="1"/>
      <c r="B69" s="1" t="s">
        <v>227</v>
      </c>
      <c r="C69" s="56">
        <f>C68/(SQRT(3)*C67)</f>
        <v>262431.94054073899</v>
      </c>
      <c r="H69" s="102"/>
      <c r="J69" s="103"/>
      <c r="M69" s="1" t="s">
        <v>57</v>
      </c>
      <c r="P69" s="1" t="s">
        <v>57</v>
      </c>
    </row>
    <row r="70" spans="1:16" ht="12.75">
      <c r="L70" s="1" t="s">
        <v>228</v>
      </c>
      <c r="M70">
        <f>T56*1000/(SQRT(3)*380)</f>
        <v>102.55563992184143</v>
      </c>
      <c r="O70" s="1" t="s">
        <v>228</v>
      </c>
      <c r="P70" s="1">
        <v>125</v>
      </c>
    </row>
    <row r="71" spans="1:16" ht="12.75">
      <c r="A71" s="6"/>
      <c r="B71" s="6" t="s">
        <v>229</v>
      </c>
      <c r="L71" s="1" t="s">
        <v>230</v>
      </c>
      <c r="M71">
        <f>N56*1000/(SQRT(3)*380)</f>
        <v>30.3868562731382</v>
      </c>
      <c r="O71" s="1" t="s">
        <v>230</v>
      </c>
      <c r="P71" s="1">
        <v>40</v>
      </c>
    </row>
    <row r="72" spans="1:16" ht="12.75">
      <c r="B72" s="34" t="s">
        <v>231</v>
      </c>
      <c r="C72" s="34" t="s">
        <v>232</v>
      </c>
      <c r="D72" s="34" t="s">
        <v>233</v>
      </c>
      <c r="E72" s="34" t="s">
        <v>234</v>
      </c>
      <c r="F72" s="34" t="s">
        <v>235</v>
      </c>
      <c r="L72" s="1" t="s">
        <v>236</v>
      </c>
      <c r="M72">
        <f>H56*1000/(SQRT(3)*380)</f>
        <v>292.47349162895517</v>
      </c>
      <c r="O72" s="1" t="s">
        <v>236</v>
      </c>
      <c r="P72" s="1">
        <v>400</v>
      </c>
    </row>
    <row r="73" spans="1:16" ht="12.75">
      <c r="A73" s="5"/>
      <c r="B73" s="35" t="s">
        <v>34</v>
      </c>
      <c r="C73" s="34">
        <v>700</v>
      </c>
      <c r="D73" s="34" t="s">
        <v>237</v>
      </c>
      <c r="E73" s="34" t="s">
        <v>238</v>
      </c>
      <c r="F73" s="34" t="s">
        <v>239</v>
      </c>
    </row>
    <row r="74" spans="1:16" ht="12.75">
      <c r="A74" s="5"/>
      <c r="B74" s="35" t="s">
        <v>38</v>
      </c>
      <c r="C74" s="34">
        <v>350</v>
      </c>
      <c r="D74" s="34" t="s">
        <v>237</v>
      </c>
      <c r="E74" s="34" t="s">
        <v>240</v>
      </c>
      <c r="F74" s="34" t="s">
        <v>239</v>
      </c>
    </row>
    <row r="75" spans="1:16" ht="12.75">
      <c r="A75" s="5"/>
      <c r="B75" s="35" t="s">
        <v>42</v>
      </c>
      <c r="C75" s="34">
        <v>2000</v>
      </c>
      <c r="D75" s="34" t="s">
        <v>241</v>
      </c>
      <c r="E75" s="34" t="s">
        <v>242</v>
      </c>
      <c r="F75" s="34" t="s">
        <v>243</v>
      </c>
    </row>
    <row r="76" spans="1:16" ht="12.75">
      <c r="A76" s="5"/>
      <c r="B76" s="35" t="s">
        <v>44</v>
      </c>
      <c r="C76" s="34">
        <v>4000</v>
      </c>
      <c r="D76" s="34" t="s">
        <v>241</v>
      </c>
      <c r="E76" s="34" t="s">
        <v>244</v>
      </c>
      <c r="F76" s="34" t="s">
        <v>243</v>
      </c>
    </row>
    <row r="77" spans="1:16" ht="12.75">
      <c r="A77" s="1"/>
      <c r="B77" s="34" t="s">
        <v>14</v>
      </c>
      <c r="C77" s="35">
        <v>200</v>
      </c>
      <c r="D77" s="34" t="s">
        <v>237</v>
      </c>
      <c r="E77" s="34" t="s">
        <v>245</v>
      </c>
      <c r="F77" s="34" t="s">
        <v>239</v>
      </c>
      <c r="I77" s="104" t="s">
        <v>63</v>
      </c>
      <c r="J77" s="105" t="s">
        <v>246</v>
      </c>
      <c r="K77" s="105" t="s">
        <v>247</v>
      </c>
      <c r="L77" s="105" t="s">
        <v>248</v>
      </c>
    </row>
    <row r="78" spans="1:16" ht="12.75">
      <c r="A78" s="1"/>
      <c r="B78" s="34" t="s">
        <v>20</v>
      </c>
      <c r="C78" s="35">
        <v>400</v>
      </c>
      <c r="D78" s="34" t="s">
        <v>237</v>
      </c>
      <c r="E78" s="34" t="s">
        <v>240</v>
      </c>
      <c r="F78" s="34" t="s">
        <v>239</v>
      </c>
      <c r="H78" s="105" t="s">
        <v>14</v>
      </c>
      <c r="I78" s="106">
        <v>120</v>
      </c>
      <c r="J78" s="107">
        <f>340.1*I78*SQRT((1/0.01)*LOG10((234+D9)/(234+D10)))</f>
        <v>136962.20091187558</v>
      </c>
      <c r="K78" s="107">
        <v>3429.2221602429495</v>
      </c>
      <c r="L78" s="107">
        <v>3452.7887680500644</v>
      </c>
    </row>
    <row r="79" spans="1:16" ht="12.75">
      <c r="A79" s="1"/>
      <c r="B79" s="34" t="s">
        <v>24</v>
      </c>
      <c r="C79" s="108">
        <v>100</v>
      </c>
      <c r="D79" s="34" t="s">
        <v>237</v>
      </c>
      <c r="E79" s="34" t="s">
        <v>249</v>
      </c>
      <c r="F79" s="34" t="s">
        <v>239</v>
      </c>
      <c r="H79" s="105" t="s">
        <v>20</v>
      </c>
      <c r="I79" s="106">
        <v>120</v>
      </c>
      <c r="J79" s="107">
        <f>340.1*I79*SQRT((1/0.01)*LOG10((234+D9)/(234+D10)))</f>
        <v>136962.20091187558</v>
      </c>
      <c r="K79" s="107">
        <v>10465.109624327675</v>
      </c>
      <c r="L79" s="107">
        <v>10768.590202082638</v>
      </c>
    </row>
    <row r="80" spans="1:16" ht="12.75">
      <c r="A80" s="1"/>
      <c r="B80" s="34" t="s">
        <v>28</v>
      </c>
      <c r="C80" s="108">
        <v>63</v>
      </c>
      <c r="D80" s="34" t="s">
        <v>237</v>
      </c>
      <c r="E80" s="34" t="s">
        <v>249</v>
      </c>
      <c r="F80" s="34" t="s">
        <v>239</v>
      </c>
      <c r="H80" s="105" t="s">
        <v>24</v>
      </c>
      <c r="I80" s="109">
        <v>35</v>
      </c>
      <c r="J80" s="107">
        <f>340.1*I80*SQRT((1/0.01)*LOG10((234+D9)/(234+D10)))</f>
        <v>39947.308599297037</v>
      </c>
      <c r="K80" s="107">
        <v>1583.0424307984151</v>
      </c>
      <c r="L80" s="107">
        <v>1587.1346785719386</v>
      </c>
    </row>
    <row r="81" spans="1:12" ht="12.75">
      <c r="A81" s="1"/>
      <c r="B81" s="34" t="s">
        <v>31</v>
      </c>
      <c r="C81" s="108">
        <v>80</v>
      </c>
      <c r="D81" s="34" t="s">
        <v>237</v>
      </c>
      <c r="E81" s="34" t="s">
        <v>249</v>
      </c>
      <c r="F81" s="34" t="s">
        <v>239</v>
      </c>
      <c r="H81" s="105" t="s">
        <v>28</v>
      </c>
      <c r="I81" s="109">
        <v>16</v>
      </c>
      <c r="J81" s="107">
        <f>340.1*I81*SQRT((1/0.01)*LOG10((234+D9)/(234+D10)))</f>
        <v>18261.626788250076</v>
      </c>
      <c r="K81" s="107">
        <v>1725.2548588021095</v>
      </c>
      <c r="L81" s="107">
        <v>1730.0554368554974</v>
      </c>
    </row>
    <row r="82" spans="1:12" ht="12.75">
      <c r="A82" s="1"/>
      <c r="B82" s="34" t="s">
        <v>35</v>
      </c>
      <c r="C82" s="108">
        <v>63</v>
      </c>
      <c r="D82" s="34" t="s">
        <v>237</v>
      </c>
      <c r="E82" s="34" t="s">
        <v>249</v>
      </c>
      <c r="F82" s="34" t="s">
        <v>239</v>
      </c>
      <c r="H82" s="105" t="s">
        <v>31</v>
      </c>
      <c r="I82" s="106">
        <v>25</v>
      </c>
      <c r="J82" s="107">
        <f>340.1*I82*SQRT((1/0.01)*LOG10((234+D9)/(234+D10)))</f>
        <v>28533.791856640742</v>
      </c>
      <c r="K82" s="107">
        <v>1400.0819064734646</v>
      </c>
      <c r="L82" s="107">
        <v>1403.1437555906216</v>
      </c>
    </row>
    <row r="83" spans="1:12" ht="12.75">
      <c r="A83" s="1"/>
      <c r="B83" s="34" t="s">
        <v>39</v>
      </c>
      <c r="C83" s="35">
        <v>1600</v>
      </c>
      <c r="D83" s="34" t="s">
        <v>241</v>
      </c>
      <c r="E83" s="34" t="s">
        <v>250</v>
      </c>
      <c r="F83" s="34" t="s">
        <v>243</v>
      </c>
      <c r="H83" s="105" t="s">
        <v>35</v>
      </c>
      <c r="I83" s="106">
        <v>16</v>
      </c>
      <c r="J83" s="107">
        <f>340.1*I83*SQRT((1/0.01)*LOG10((234+D9)/(234+D10)))</f>
        <v>18261.626788250076</v>
      </c>
      <c r="K83" s="107">
        <v>714.89665325951376</v>
      </c>
      <c r="L83" s="107">
        <v>715.58294481436928</v>
      </c>
    </row>
    <row r="84" spans="1:12" ht="12.75">
      <c r="A84" s="1"/>
      <c r="B84" s="34" t="s">
        <v>43</v>
      </c>
      <c r="C84" s="35">
        <v>100</v>
      </c>
      <c r="D84" s="34" t="s">
        <v>237</v>
      </c>
      <c r="E84" s="34" t="s">
        <v>249</v>
      </c>
      <c r="F84" s="34" t="s">
        <v>239</v>
      </c>
      <c r="H84" s="105" t="s">
        <v>39</v>
      </c>
      <c r="I84" s="106">
        <v>300</v>
      </c>
      <c r="J84" s="107">
        <f>340.1*I84*SQRT((1/0.01)*LOG10((234+D9)/(234+D10)))</f>
        <v>342405.5022796889</v>
      </c>
      <c r="K84" s="107">
        <v>21004.172967070783</v>
      </c>
      <c r="L84" s="107">
        <v>23284.498425414953</v>
      </c>
    </row>
    <row r="85" spans="1:12" ht="12.75">
      <c r="A85" s="1"/>
      <c r="B85" s="34" t="s">
        <v>45</v>
      </c>
      <c r="C85" s="35">
        <v>125</v>
      </c>
      <c r="D85" s="34" t="s">
        <v>237</v>
      </c>
      <c r="E85" s="34" t="s">
        <v>249</v>
      </c>
      <c r="F85" s="34" t="s">
        <v>239</v>
      </c>
      <c r="H85" s="105" t="s">
        <v>43</v>
      </c>
      <c r="I85" s="106">
        <v>70</v>
      </c>
      <c r="J85" s="107">
        <f>340.1*I85*SQRT((1/0.01)*LOG10((234+D9)/(234+D10)))</f>
        <v>79894.617198594075</v>
      </c>
      <c r="K85" s="107">
        <v>13047.05486614744</v>
      </c>
      <c r="L85" s="107">
        <v>13764.840937845045</v>
      </c>
    </row>
    <row r="86" spans="1:12" ht="12.75">
      <c r="A86" s="1"/>
      <c r="B86" s="34" t="s">
        <v>46</v>
      </c>
      <c r="C86" s="35">
        <v>450</v>
      </c>
      <c r="D86" s="34" t="s">
        <v>237</v>
      </c>
      <c r="E86" s="34" t="s">
        <v>238</v>
      </c>
      <c r="F86" s="34" t="s">
        <v>239</v>
      </c>
      <c r="H86" s="105" t="s">
        <v>45</v>
      </c>
      <c r="I86" s="106">
        <v>70</v>
      </c>
      <c r="J86" s="107">
        <f>340.1*I86*SQRT((1/0.01)*LOG10((234+D9)/(234+D10)))</f>
        <v>79894.617198594075</v>
      </c>
      <c r="K86" s="107">
        <v>4417.6004989451585</v>
      </c>
      <c r="L86" s="107">
        <v>4467.8867643041503</v>
      </c>
    </row>
    <row r="87" spans="1:12" ht="12.75">
      <c r="A87" s="1"/>
      <c r="B87" s="34" t="s">
        <v>49</v>
      </c>
      <c r="C87" s="35">
        <v>400</v>
      </c>
      <c r="D87" s="34" t="s">
        <v>237</v>
      </c>
      <c r="E87" s="34" t="s">
        <v>240</v>
      </c>
      <c r="F87" s="34" t="s">
        <v>239</v>
      </c>
      <c r="H87" s="105" t="s">
        <v>46</v>
      </c>
      <c r="I87" s="106">
        <v>150</v>
      </c>
      <c r="J87" s="107">
        <f>340.1*I87*SQRT((1/0.01)*LOG10((234+D9)/(234+D10)))</f>
        <v>171202.75113984445</v>
      </c>
      <c r="K87" s="107">
        <v>15320.920625717847</v>
      </c>
      <c r="L87" s="107">
        <v>16340.857767738124</v>
      </c>
    </row>
    <row r="88" spans="1:12" ht="12.75">
      <c r="A88" s="1"/>
      <c r="B88" s="34" t="s">
        <v>51</v>
      </c>
      <c r="C88" s="110">
        <v>2500</v>
      </c>
      <c r="D88" s="34" t="s">
        <v>241</v>
      </c>
      <c r="E88" s="34" t="s">
        <v>251</v>
      </c>
      <c r="F88" s="34" t="s">
        <v>243</v>
      </c>
      <c r="H88" s="105" t="s">
        <v>49</v>
      </c>
      <c r="I88" s="106">
        <v>120</v>
      </c>
      <c r="J88" s="107">
        <f>340.1*I88*SQRT((1/0.01)*LOG10((234+D9)/(234+D10)))</f>
        <v>136962.20091187558</v>
      </c>
      <c r="K88" s="107">
        <v>13304.115117908996</v>
      </c>
      <c r="L88" s="107">
        <v>14018.02004599978</v>
      </c>
    </row>
    <row r="89" spans="1:12" ht="12.75">
      <c r="A89" s="1"/>
      <c r="B89" s="34" t="s">
        <v>252</v>
      </c>
      <c r="C89" s="34">
        <v>125</v>
      </c>
      <c r="D89" s="34" t="s">
        <v>237</v>
      </c>
      <c r="E89" s="34" t="s">
        <v>249</v>
      </c>
      <c r="F89" s="34" t="s">
        <v>239</v>
      </c>
      <c r="H89" s="105" t="s">
        <v>51</v>
      </c>
      <c r="I89" s="106">
        <v>300</v>
      </c>
      <c r="J89" s="107">
        <f>340.1*I89*SQRT((1/0.01)*LOG10((234+D9)/(234+D10)))</f>
        <v>342405.5022796889</v>
      </c>
      <c r="K89" s="107">
        <v>28677.276425971024</v>
      </c>
      <c r="L89" s="107">
        <v>33110.52138699207</v>
      </c>
    </row>
    <row r="90" spans="1:12" ht="12.75">
      <c r="A90" s="1"/>
      <c r="B90" s="34" t="s">
        <v>253</v>
      </c>
      <c r="C90" s="34">
        <v>40</v>
      </c>
      <c r="D90" s="34" t="s">
        <v>237</v>
      </c>
      <c r="E90" s="34" t="s">
        <v>249</v>
      </c>
      <c r="F90" s="34" t="s">
        <v>239</v>
      </c>
      <c r="H90" s="105" t="s">
        <v>179</v>
      </c>
      <c r="I90" s="106">
        <v>70</v>
      </c>
      <c r="J90" s="107">
        <f>340.1*I90*SQRT((1/0.01)*LOG10((234+D9)/(234+D10)))</f>
        <v>79894.617198594075</v>
      </c>
      <c r="K90" s="107">
        <v>11609.544075100608</v>
      </c>
      <c r="L90" s="107">
        <v>11871.143284162443</v>
      </c>
    </row>
    <row r="91" spans="1:12" ht="12.75">
      <c r="A91" s="1"/>
      <c r="B91" s="34" t="s">
        <v>254</v>
      </c>
      <c r="C91" s="34">
        <v>400</v>
      </c>
      <c r="D91" s="34" t="s">
        <v>237</v>
      </c>
      <c r="E91" s="34" t="s">
        <v>240</v>
      </c>
      <c r="F91" s="34" t="s">
        <v>239</v>
      </c>
    </row>
    <row r="92" spans="1:12" ht="12.75">
      <c r="A92" s="1"/>
      <c r="B92" s="34" t="s">
        <v>205</v>
      </c>
      <c r="C92" s="111">
        <v>700</v>
      </c>
      <c r="D92" s="34" t="s">
        <v>237</v>
      </c>
      <c r="E92" s="34" t="s">
        <v>238</v>
      </c>
      <c r="F92" s="34" t="s">
        <v>239</v>
      </c>
    </row>
  </sheetData>
  <mergeCells count="2">
    <mergeCell ref="I1:J1"/>
    <mergeCell ref="O1:P1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194"/>
  <sheetViews>
    <sheetView topLeftCell="I54" zoomScale="85" zoomScaleNormal="85" workbookViewId="0">
      <selection activeCell="K49" sqref="K49"/>
    </sheetView>
  </sheetViews>
  <sheetFormatPr defaultRowHeight="12.75"/>
  <cols>
    <col min="2" max="2" width="15" customWidth="1"/>
    <col min="3" max="3" width="18.140625" customWidth="1"/>
    <col min="5" max="5" width="11.5703125" bestFit="1" customWidth="1"/>
    <col min="6" max="6" width="9.85546875" bestFit="1" customWidth="1"/>
    <col min="7" max="7" width="9.28515625" customWidth="1"/>
    <col min="8" max="8" width="8.42578125" customWidth="1"/>
    <col min="9" max="9" width="11.42578125" customWidth="1"/>
    <col min="10" max="10" width="15.28515625" bestFit="1" customWidth="1"/>
    <col min="11" max="11" width="11.7109375" bestFit="1" customWidth="1"/>
    <col min="12" max="12" width="11.42578125" customWidth="1"/>
    <col min="13" max="13" width="13.7109375" style="112" customWidth="1"/>
    <col min="14" max="14" width="17.7109375" bestFit="1" customWidth="1"/>
    <col min="15" max="15" width="13.5703125" style="112" customWidth="1"/>
    <col min="16" max="16" width="16.42578125" customWidth="1"/>
    <col min="17" max="17" width="12.140625" bestFit="1" customWidth="1"/>
    <col min="18" max="18" width="16.85546875" customWidth="1"/>
    <col min="19" max="19" width="16.85546875" style="193" customWidth="1"/>
    <col min="20" max="20" width="13.85546875" bestFit="1" customWidth="1"/>
    <col min="21" max="21" width="10.7109375" style="112" hidden="1" customWidth="1"/>
    <col min="22" max="22" width="18" bestFit="1" customWidth="1"/>
    <col min="23" max="23" width="25.7109375" bestFit="1" customWidth="1"/>
    <col min="24" max="24" width="19.28515625" style="170" customWidth="1"/>
    <col min="25" max="25" width="19.85546875" customWidth="1"/>
    <col min="26" max="26" width="16.85546875" customWidth="1"/>
    <col min="27" max="27" width="8.7109375" customWidth="1"/>
    <col min="28" max="28" width="11.28515625" customWidth="1"/>
    <col min="29" max="29" width="8.5703125" bestFit="1" customWidth="1"/>
    <col min="30" max="30" width="9.7109375" customWidth="1"/>
    <col min="31" max="31" width="9.85546875" bestFit="1" customWidth="1"/>
    <col min="32" max="32" width="9.5703125" customWidth="1"/>
    <col min="33" max="33" width="9.85546875" bestFit="1" customWidth="1"/>
    <col min="34" max="34" width="9" customWidth="1"/>
    <col min="35" max="35" width="13.28515625" customWidth="1"/>
    <col min="36" max="36" width="11.42578125" customWidth="1"/>
    <col min="37" max="37" width="13.7109375" customWidth="1"/>
    <col min="38" max="38" width="15.7109375" customWidth="1"/>
    <col min="39" max="39" width="13.5703125" customWidth="1"/>
    <col min="40" max="40" width="13.28515625" customWidth="1"/>
    <col min="41" max="41" width="13.140625" customWidth="1"/>
    <col min="42" max="42" width="14.28515625" customWidth="1"/>
    <col min="43" max="43" width="13.85546875" customWidth="1"/>
    <col min="44" max="44" width="14.28515625" customWidth="1"/>
    <col min="45" max="45" width="13.28515625" customWidth="1"/>
    <col min="46" max="46" width="9.7109375" customWidth="1"/>
    <col min="47" max="47" width="9.5703125" customWidth="1"/>
    <col min="48" max="48" width="10" customWidth="1"/>
    <col min="49" max="49" width="9.28515625" customWidth="1"/>
    <col min="50" max="50" width="9.140625" customWidth="1"/>
    <col min="51" max="51" width="10.85546875" customWidth="1"/>
    <col min="52" max="52" width="18" bestFit="1" customWidth="1"/>
    <col min="53" max="53" width="19.7109375" customWidth="1"/>
    <col min="54" max="54" width="18.140625" style="274" hidden="1" customWidth="1"/>
    <col min="55" max="55" width="10.7109375" customWidth="1"/>
    <col min="57" max="57" width="10.7109375" bestFit="1" customWidth="1"/>
    <col min="60" max="60" width="13.85546875" bestFit="1" customWidth="1"/>
    <col min="61" max="61" width="20.28515625" bestFit="1" customWidth="1"/>
    <col min="62" max="62" width="20.140625" bestFit="1" customWidth="1"/>
    <col min="63" max="63" width="19" bestFit="1" customWidth="1"/>
    <col min="64" max="64" width="20" hidden="1" customWidth="1"/>
    <col min="65" max="65" width="9.85546875" customWidth="1"/>
    <col min="66" max="66" width="8.140625" bestFit="1" customWidth="1"/>
    <col min="67" max="67" width="11.28515625" customWidth="1"/>
    <col min="68" max="68" width="9.7109375" customWidth="1"/>
    <col min="69" max="69" width="10.85546875" customWidth="1"/>
    <col min="70" max="70" width="9.7109375" customWidth="1"/>
    <col min="71" max="71" width="10.85546875" customWidth="1"/>
    <col min="72" max="72" width="10.7109375" bestFit="1" customWidth="1"/>
    <col min="73" max="73" width="10.42578125" customWidth="1"/>
    <col min="74" max="75" width="10.140625" customWidth="1"/>
    <col min="76" max="76" width="10.42578125" customWidth="1"/>
    <col min="82" max="82" width="10.85546875" customWidth="1"/>
    <col min="83" max="83" width="22.5703125" bestFit="1" customWidth="1"/>
    <col min="84" max="84" width="9" bestFit="1" customWidth="1"/>
    <col min="85" max="85" width="12.5703125" customWidth="1"/>
    <col min="86" max="86" width="9.7109375" bestFit="1" customWidth="1"/>
  </cols>
  <sheetData>
    <row r="2" spans="2:73">
      <c r="J2" s="108" t="s">
        <v>11</v>
      </c>
      <c r="K2" s="7">
        <v>100000000</v>
      </c>
      <c r="L2" s="108" t="s">
        <v>11</v>
      </c>
      <c r="M2" s="7">
        <v>100000000</v>
      </c>
      <c r="P2" s="108" t="s">
        <v>11</v>
      </c>
      <c r="Q2" s="7">
        <v>100000000</v>
      </c>
    </row>
    <row r="3" spans="2:73">
      <c r="J3" s="108" t="s">
        <v>17</v>
      </c>
      <c r="K3" s="7">
        <v>13800</v>
      </c>
      <c r="L3" s="108" t="s">
        <v>18</v>
      </c>
      <c r="M3" s="7">
        <v>380</v>
      </c>
      <c r="P3" s="108" t="s">
        <v>33</v>
      </c>
      <c r="Q3" s="7">
        <v>220</v>
      </c>
    </row>
    <row r="4" spans="2:73">
      <c r="J4" s="108" t="s">
        <v>21</v>
      </c>
      <c r="K4" s="53">
        <f>K2/(SQRT(3)*K3)</f>
        <v>4183.6976028233748</v>
      </c>
      <c r="L4" s="108" t="s">
        <v>22</v>
      </c>
      <c r="M4" s="53">
        <f>M2/(SQRT(3)*M3)</f>
        <v>151934.28136569101</v>
      </c>
      <c r="P4" s="108" t="s">
        <v>37</v>
      </c>
      <c r="Q4" s="53">
        <f>Q2/(SQRT(3)*Q3)</f>
        <v>262431.94054073899</v>
      </c>
    </row>
    <row r="5" spans="2:73">
      <c r="J5" s="108" t="s">
        <v>25</v>
      </c>
      <c r="K5" s="40">
        <f>K3^2/K2</f>
        <v>1.9044000000000001</v>
      </c>
      <c r="L5" s="108" t="s">
        <v>26</v>
      </c>
      <c r="M5" s="40">
        <f>M3^2/M2</f>
        <v>1.444E-3</v>
      </c>
      <c r="P5" s="108" t="s">
        <v>41</v>
      </c>
      <c r="Q5" s="40">
        <f>Q3^2/Q2</f>
        <v>4.84E-4</v>
      </c>
    </row>
    <row r="6" spans="2:73" ht="12.75" customHeight="1">
      <c r="I6" s="478" t="s">
        <v>301</v>
      </c>
      <c r="J6" s="108" t="s">
        <v>29</v>
      </c>
      <c r="K6" s="108">
        <v>90</v>
      </c>
      <c r="L6" s="478" t="s">
        <v>300</v>
      </c>
      <c r="M6" s="34" t="s">
        <v>36</v>
      </c>
      <c r="P6" s="34">
        <v>160</v>
      </c>
      <c r="Q6" s="112"/>
    </row>
    <row r="7" spans="2:73" s="112" customFormat="1">
      <c r="I7" s="478"/>
      <c r="J7" s="108" t="s">
        <v>32</v>
      </c>
      <c r="K7" s="108">
        <v>250</v>
      </c>
      <c r="L7" s="478"/>
      <c r="M7" s="34" t="s">
        <v>40</v>
      </c>
      <c r="P7" s="34">
        <v>70</v>
      </c>
      <c r="S7" s="193"/>
      <c r="X7" s="170"/>
      <c r="BB7" s="274"/>
    </row>
    <row r="8" spans="2:73" s="112" customFormat="1">
      <c r="S8" s="193"/>
      <c r="X8" s="170"/>
      <c r="BB8" s="274"/>
    </row>
    <row r="9" spans="2:73" s="112" customFormat="1">
      <c r="S9" s="193"/>
      <c r="X9" s="170"/>
      <c r="BB9" s="274"/>
    </row>
    <row r="10" spans="2:73" s="112" customFormat="1">
      <c r="S10" s="193"/>
      <c r="X10" s="170"/>
      <c r="BB10" s="274"/>
    </row>
    <row r="11" spans="2:73" s="112" customFormat="1" ht="12.75" customHeight="1">
      <c r="I11" s="467" t="s">
        <v>350</v>
      </c>
      <c r="J11" s="468"/>
      <c r="K11" s="468"/>
      <c r="L11" s="468"/>
      <c r="M11" s="468"/>
      <c r="N11" s="468"/>
      <c r="O11" s="469"/>
      <c r="P11" s="456" t="s">
        <v>308</v>
      </c>
      <c r="Q11" s="457"/>
      <c r="R11" s="457"/>
      <c r="S11" s="457"/>
      <c r="T11" s="470" t="s">
        <v>312</v>
      </c>
      <c r="U11" s="471"/>
      <c r="V11" s="471"/>
      <c r="W11" s="471"/>
      <c r="X11" s="471"/>
      <c r="Y11" s="471"/>
      <c r="Z11" s="471"/>
      <c r="AA11" s="471"/>
      <c r="AB11" s="471"/>
      <c r="AC11" s="472"/>
      <c r="BB11" s="274"/>
    </row>
    <row r="12" spans="2:73" s="112" customFormat="1" ht="12.75" customHeight="1">
      <c r="I12" s="456" t="s">
        <v>339</v>
      </c>
      <c r="J12" s="457"/>
      <c r="K12" s="457"/>
      <c r="L12" s="457"/>
      <c r="M12" s="457"/>
      <c r="N12" s="457"/>
      <c r="O12" s="465"/>
      <c r="P12" s="458"/>
      <c r="Q12" s="459"/>
      <c r="R12" s="459"/>
      <c r="S12" s="459"/>
      <c r="T12" s="473"/>
      <c r="U12" s="474"/>
      <c r="V12" s="474"/>
      <c r="W12" s="474"/>
      <c r="X12" s="474"/>
      <c r="Y12" s="474"/>
      <c r="Z12" s="474"/>
      <c r="AA12" s="474"/>
      <c r="AB12" s="474"/>
      <c r="AC12" s="475"/>
      <c r="BB12" s="274"/>
    </row>
    <row r="13" spans="2:73" ht="28.5" customHeight="1">
      <c r="B13" s="114" t="s">
        <v>320</v>
      </c>
      <c r="C13" s="114"/>
      <c r="D13" s="112"/>
      <c r="E13" s="112"/>
      <c r="F13" s="112"/>
      <c r="G13" s="112"/>
      <c r="H13" s="112"/>
      <c r="I13" s="460"/>
      <c r="J13" s="461"/>
      <c r="K13" s="461"/>
      <c r="L13" s="461"/>
      <c r="M13" s="461"/>
      <c r="N13" s="461"/>
      <c r="O13" s="466"/>
      <c r="P13" s="460"/>
      <c r="Q13" s="461"/>
      <c r="R13" s="461"/>
      <c r="S13" s="461"/>
      <c r="T13" s="159"/>
      <c r="U13" s="160"/>
      <c r="V13" s="160"/>
      <c r="W13" s="160"/>
      <c r="X13" s="160"/>
      <c r="Y13" s="160"/>
      <c r="Z13" s="462" t="s">
        <v>326</v>
      </c>
      <c r="AA13" s="462"/>
      <c r="AB13" s="476" t="s">
        <v>387</v>
      </c>
      <c r="AC13" s="477"/>
      <c r="BA13" s="411" t="s">
        <v>436</v>
      </c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</row>
    <row r="14" spans="2:73" ht="38.25">
      <c r="B14" s="118" t="s">
        <v>294</v>
      </c>
      <c r="C14" s="118" t="s">
        <v>295</v>
      </c>
      <c r="D14" s="119" t="s">
        <v>296</v>
      </c>
      <c r="E14" s="120" t="s">
        <v>297</v>
      </c>
      <c r="F14" s="118" t="s">
        <v>298</v>
      </c>
      <c r="G14" s="131" t="s">
        <v>305</v>
      </c>
      <c r="H14" s="132" t="s">
        <v>299</v>
      </c>
      <c r="I14" s="131" t="s">
        <v>306</v>
      </c>
      <c r="J14" s="131" t="s">
        <v>302</v>
      </c>
      <c r="K14" s="131" t="s">
        <v>303</v>
      </c>
      <c r="L14" s="131" t="s">
        <v>304</v>
      </c>
      <c r="M14" s="133" t="s">
        <v>334</v>
      </c>
      <c r="N14" s="463" t="s">
        <v>307</v>
      </c>
      <c r="O14" s="464"/>
      <c r="P14" s="131" t="s">
        <v>309</v>
      </c>
      <c r="Q14" s="131" t="s">
        <v>233</v>
      </c>
      <c r="R14" s="131" t="s">
        <v>234</v>
      </c>
      <c r="S14" s="121" t="s">
        <v>388</v>
      </c>
      <c r="T14" s="139" t="s">
        <v>313</v>
      </c>
      <c r="U14" s="139"/>
      <c r="V14" s="121" t="s">
        <v>325</v>
      </c>
      <c r="W14" s="121" t="s">
        <v>315</v>
      </c>
      <c r="X14" s="121" t="s">
        <v>348</v>
      </c>
      <c r="Y14" s="121" t="s">
        <v>314</v>
      </c>
      <c r="Z14" s="119" t="s">
        <v>341</v>
      </c>
      <c r="AA14" s="119" t="s">
        <v>340</v>
      </c>
      <c r="AB14" s="119" t="s">
        <v>342</v>
      </c>
      <c r="AC14" s="119" t="s">
        <v>343</v>
      </c>
      <c r="BA14" s="377" t="s">
        <v>294</v>
      </c>
      <c r="BB14" s="377"/>
      <c r="BC14" s="377" t="s">
        <v>295</v>
      </c>
      <c r="BD14" s="372" t="s">
        <v>415</v>
      </c>
      <c r="BE14" s="373" t="s">
        <v>234</v>
      </c>
      <c r="BF14" s="373" t="s">
        <v>309</v>
      </c>
      <c r="BG14" s="120" t="s">
        <v>414</v>
      </c>
      <c r="BH14" s="120" t="s">
        <v>315</v>
      </c>
      <c r="BI14" s="120" t="s">
        <v>416</v>
      </c>
      <c r="BJ14" s="381" t="s">
        <v>420</v>
      </c>
      <c r="BK14" s="381" t="s">
        <v>421</v>
      </c>
      <c r="BL14" s="120" t="s">
        <v>417</v>
      </c>
      <c r="BM14" s="120" t="s">
        <v>419</v>
      </c>
      <c r="BN14" s="120" t="s">
        <v>418</v>
      </c>
      <c r="BO14" s="382" t="s">
        <v>449</v>
      </c>
      <c r="BQ14" s="411" t="s">
        <v>437</v>
      </c>
      <c r="BR14" s="411"/>
      <c r="BS14" s="411"/>
      <c r="BT14" s="411"/>
      <c r="BU14" s="411"/>
    </row>
    <row r="15" spans="2:73">
      <c r="B15" s="437" t="s">
        <v>256</v>
      </c>
      <c r="C15" s="113" t="s">
        <v>257</v>
      </c>
      <c r="D15" s="446">
        <v>380</v>
      </c>
      <c r="E15" s="117">
        <v>12.509</v>
      </c>
      <c r="F15" s="446">
        <v>0.89</v>
      </c>
      <c r="G15" s="140">
        <f t="shared" ref="G15:G20" si="0">(E15/(SQRT(3)*$D$15*$F$15))*1000</f>
        <v>21.354448602285718</v>
      </c>
      <c r="H15" s="127">
        <v>6</v>
      </c>
      <c r="I15" s="127">
        <v>59</v>
      </c>
      <c r="J15" s="127">
        <v>0.79</v>
      </c>
      <c r="K15" s="127">
        <v>1</v>
      </c>
      <c r="L15" s="127">
        <f>I15*J15*K15</f>
        <v>46.61</v>
      </c>
      <c r="M15" s="129" t="s">
        <v>332</v>
      </c>
      <c r="N15" s="449" t="s">
        <v>335</v>
      </c>
      <c r="O15" s="450"/>
      <c r="P15" s="129">
        <v>40</v>
      </c>
      <c r="Q15" s="129" t="str">
        <f>IF(OR(P15=25,P15=40,P15=150,P15=600,P15=300,P15=200,P15=800,P15=100,P15=50,P15=16,P15=450,P15=70,P15=400,P15=160,P15=125),"Fixo","Eletrônico")</f>
        <v>Fixo</v>
      </c>
      <c r="R15" s="129" t="s">
        <v>249</v>
      </c>
      <c r="S15" s="129">
        <v>25</v>
      </c>
      <c r="T15" s="140">
        <f>ROUND((((U15*4727.0819)/10000000)+0.008),3)</f>
        <v>3.2000000000000001E-2</v>
      </c>
      <c r="U15" s="257">
        <v>51</v>
      </c>
      <c r="V15" s="129" t="str">
        <f t="shared" ref="V15:V44" si="1">IF(AND(H15=2.5, C15&lt;&gt;"QD_2", C15&lt;&gt;"QDG_2", C15&lt;&gt;"QD_7", C15&lt;&gt;"QD_8", C15&lt;&gt;"QDG_4"),"3#2,5(2,5)T2,5",
IF(AND(H15=6, C15&lt;&gt;"QD_2", C15&lt;&gt;"QDG_2", C15&lt;&gt;"QD_7", C15&lt;&gt;"QD_8", C15&lt;&gt;"QDG_4"),"3#6(6)T6",
IF(AND(H15=50, C15&lt;&gt;"QD_2", C15&lt;&gt;"QDG_2", C15&lt;&gt;"QD_7", C15&lt;&gt;"QD_8", C15&lt;&gt;"QDG_4"),"3#50(50)T25",
IF(AND(H15=25, C15&lt;&gt;"QD_2", C15&lt;&gt;"QDG_2", C15&lt;&gt;"QD_7", C15&lt;&gt;"QD_8", C15&lt;&gt;"QDG_4"),"3#25(25)T16",
IF(AND(H15=70, C15&lt;&gt;"QD_2", C15&lt;&gt;"QDG_2", C15&lt;&gt;"QD_7", C15&lt;&gt;"QD_8", C15&lt;&gt;"QDG_4"),"3#70(70)T35",
IF(AND(H15=120, C15&lt;&gt;"QD_2", C15&lt;&gt;"QDG_2", C15&lt;&gt;"QD_7", C15&lt;&gt;"QD_8", C15&lt;&gt;"QDG_4"),"3#120(120)T70",
IF(AND(H15="2 x 120", C15&lt;&gt;"QD_2", C15&lt;&gt;"QDG_2", C15&lt;&gt;"QD_7", C15&lt;&gt;"QD_8", C15&lt;&gt;"QDG_4"), "2x3#120(120)T70",
IF(AND(H15="2 x 240", C15&lt;&gt;"QD_2", C15&lt;&gt;"QDG_2", C15&lt;&gt;"QD_7", C15&lt;&gt;"QD_8", C15&lt;&gt;"QDG_4"),"2x3#240(240)T120",
IF(AND(H15="2 x 185", C15&lt;&gt;"QD_2", C15&lt;&gt;"QDG_2", C15&lt;&gt;"QD_7", C15&lt;&gt;"QD_8", C15&lt;&gt;"QDG_4"),"2x3#185(185)T95",
IF(AND(H15=10, C15&lt;&gt;"QD_2", C15&lt;&gt;"QDG_2", C15&lt;&gt;"QD_7", C15&lt;&gt;"QD_8", C15&lt;&gt;"QDG_4"),"3#10(10)T10",
IF(AND(H15=240, C15&lt;&gt;"QD_2", C15&lt;&gt;"QDG_2", C15&lt;&gt;"QD_7", C15&lt;&gt;"QD_8", C15&lt;&gt;"QDG_4"),"3#240(240)T120",
IF(AND(H15=16, C15&lt;&gt;"QD_2", C15&lt;&gt;"QDG_2", C15&lt;&gt;"QD_7", C15&lt;&gt;"QD_8", C15&lt;&gt;"QDG_4"),"3#16(16)T16",
IF(AND(H15=35, C15&lt;&gt;"QD_2", C15&lt;&gt;"QDG_2", C15&lt;&gt;"QD_7", C15&lt;&gt;"QD_8", C15&lt;&gt;"QDG_4"),"3#35(35)T16",
IF(AND(H15=185, C15&lt;&gt;"QD_2", C15&lt;&gt;"QDG_2", C15&lt;&gt;"QD_7", C15&lt;&gt;"QD_8", C15&lt;&gt;"QDG_4"),"3#185(185)T95",
IF(H15=2.5*OR(C15="QD_2",C15="QDG_2",C15="QD_7",C15="QD_8",C15="QDG_4"),"2#2,5(2,5)T2,5",
IF(H15=6*OR(C15="QD_2",C15="QDG_2",C15="QD_7",C15="QD_8",C15="QDG_4"),"2#6(6)T6",
IF(H15=50*OR(C15="QD_2", C15="QDG_2", C15="QD_7", C15="QD_8", C15="QDG_4"),"2#50(50)T25",
IF(H15=25*OR(C15="QD_2", C15="QDG_2", C15="QD_7", C15="QD_8", C15="QDG_4"),"2#25(25)T16",
IF(H15=70*OR(C15="QD_2", C15="QDG_2", C15="QD_7", C15="QD_8", C15="QDG_4"),"2#70(70)T35",
IF(H15=120*OR(C15="QD_2", C15="QDG_2", C15="QD_7", C15="QD_8", C15="QDG_4"),"2#120(120)T70",
IF(H15=10*OR(C15="QD_2", C15="QDG_2", C15="QD_7", C15="QD_8", C15="QDG_4"),"2#10(10)T10",
IF(H15=240*OR(C15="QD_2", C15="QDG_2", C15="QD_7", C15="QD_8", C15="QDG_4"),"2#240(240)T120",
IF(H15=16*OR(C15="QD_2", C15="QDG_2", C15="QD_7", C15="QD_8", C15="QDG_4"),"2#16(16)T16",
IF(H15=35*OR(C15="QD_2", C15="QDG_2", C15="QD_7", C15="QD_8", C15="QDG_4"),"2#35(35)T16",
IF(H15=185*OR(C15="QD_2", C15="QDG_2", C15="QD_7", C15="QD_8", C15="QDG_4"),"3#185(185)T95",0)))))))))))))))))))))))))</f>
        <v>3#6(6)T6</v>
      </c>
      <c r="W15" s="127" t="str">
        <f t="shared" ref="W15:W16" si="2">COMPLEX(3.69,0.2581)</f>
        <v>3,69+0,2581i</v>
      </c>
      <c r="X15" s="127" t="str">
        <f>COMPLEX(14.76,1.4248)</f>
        <v>14,76+1,4248i</v>
      </c>
      <c r="Y15" s="127" t="str">
        <f>IMPRODUCT(W15,T15)</f>
        <v>0,11808+0,0082592i</v>
      </c>
      <c r="Z15" s="127">
        <f>ROUND(((G15*IMABS(Y15)*SQRT(3))/$D$15)*100,4)</f>
        <v>1.1520999999999999</v>
      </c>
      <c r="AA15" s="127">
        <f>Z15+$Z$21</f>
        <v>1.5221</v>
      </c>
      <c r="AB15" s="127">
        <f>ROUND(((R74*IMABS(Y15)*SQRT(3))/$D$15)*100,4)</f>
        <v>0.97209999999999996</v>
      </c>
      <c r="AC15" s="127">
        <f>AB15+$AB$21</f>
        <v>2.6992000000000003</v>
      </c>
      <c r="BA15" s="437" t="s">
        <v>256</v>
      </c>
      <c r="BB15" s="365"/>
      <c r="BC15" s="166" t="s">
        <v>257</v>
      </c>
      <c r="BD15" s="492">
        <v>220</v>
      </c>
      <c r="BE15" s="117" t="s">
        <v>249</v>
      </c>
      <c r="BF15" s="117">
        <v>40</v>
      </c>
      <c r="BG15" s="117">
        <v>12</v>
      </c>
      <c r="BH15" s="117" t="str">
        <f t="shared" ref="BH15:BH16" si="3">COMPLEX(3.69,0.2581)</f>
        <v>3,69+0,2581i</v>
      </c>
      <c r="BI15" s="117" t="str">
        <f>COMPLEX(3.69,0.647)</f>
        <v>3,69+0,647i</v>
      </c>
      <c r="BJ15" s="117" t="str">
        <f t="shared" ref="BJ15:BJ37" si="4">IMPRODUCT(BH15,T15)</f>
        <v>0,11808+0,0082592i</v>
      </c>
      <c r="BK15" s="117" t="str">
        <f t="shared" ref="BK15:BK37" si="5">IMPRODUCT(BI15,T15)</f>
        <v>0,11808+0,020704i</v>
      </c>
      <c r="BL15" s="117" t="str">
        <f>IMSUM(BJ15,BK15,BJ21,BK21)</f>
        <v>0,237645+0,03190625i</v>
      </c>
      <c r="BM15" s="383">
        <f>IMABS(BL15)</f>
        <v>0.23977730254146762</v>
      </c>
      <c r="BN15" s="117">
        <f>BG15*BF15</f>
        <v>480</v>
      </c>
      <c r="BO15" s="384" t="str">
        <f>IF((BM15*BN15)&lt;=$BD$15,"Sim","Não")</f>
        <v>Sim</v>
      </c>
      <c r="BQ15" s="432" t="s">
        <v>285</v>
      </c>
      <c r="BR15" s="369" t="s">
        <v>376</v>
      </c>
      <c r="BS15" s="380">
        <f>BA88</f>
        <v>5.3350453606319037E-3</v>
      </c>
      <c r="BT15" s="250">
        <f>AG88</f>
        <v>392.69836393290302</v>
      </c>
      <c r="BU15" s="137" t="str">
        <f>IF((BT15*BS15)&lt;=50,"Sim","Não")</f>
        <v>Sim</v>
      </c>
    </row>
    <row r="16" spans="2:73">
      <c r="B16" s="438"/>
      <c r="C16" s="113" t="s">
        <v>258</v>
      </c>
      <c r="D16" s="447"/>
      <c r="E16" s="117">
        <v>12.509</v>
      </c>
      <c r="F16" s="447"/>
      <c r="G16" s="140">
        <f t="shared" si="0"/>
        <v>21.354448602285718</v>
      </c>
      <c r="H16" s="127">
        <v>0</v>
      </c>
      <c r="I16" s="127">
        <v>59</v>
      </c>
      <c r="J16" s="127">
        <v>0.79</v>
      </c>
      <c r="K16" s="127">
        <v>1</v>
      </c>
      <c r="L16" s="127">
        <f>I16*J16*K16</f>
        <v>46.61</v>
      </c>
      <c r="M16" s="129" t="s">
        <v>332</v>
      </c>
      <c r="N16" s="449" t="s">
        <v>335</v>
      </c>
      <c r="O16" s="450"/>
      <c r="P16" s="129">
        <v>40</v>
      </c>
      <c r="Q16" s="129" t="str">
        <f t="shared" ref="Q16:Q44" si="6">IF(OR(P16=25,P16=40,P16=150,P16=600,P16=300,P16=200,P16=800,P16=100,P16=50,P16=16,P16=450,P16=70,P16=400,P16=160,P16=125),"Fixo","Eletrônico")</f>
        <v>Fixo</v>
      </c>
      <c r="R16" s="129" t="s">
        <v>249</v>
      </c>
      <c r="S16" s="129">
        <v>25</v>
      </c>
      <c r="T16" s="140">
        <f t="shared" ref="T16:T44" si="7">ROUND((((U16*4727.0819)/10000000)+0.008),3)</f>
        <v>4.8000000000000001E-2</v>
      </c>
      <c r="U16" s="257">
        <v>85</v>
      </c>
      <c r="V16" s="129" t="str">
        <f t="shared" si="1"/>
        <v>2#2,5(2,5)T2,5</v>
      </c>
      <c r="W16" s="127" t="str">
        <f t="shared" si="2"/>
        <v>3,69+0,2581i</v>
      </c>
      <c r="X16" s="127" t="str">
        <f>COMPLEX(14.76,1.4248)</f>
        <v>14,76+1,4248i</v>
      </c>
      <c r="Y16" s="127" t="str">
        <f t="shared" ref="Y16:Y44" si="8">IMPRODUCT(W16,T16)</f>
        <v>0,17712+0,0123888i</v>
      </c>
      <c r="Z16" s="127">
        <f t="shared" ref="Z16:Z44" si="9">ROUND(((G16*IMABS(Y16)*SQRT(3))/$D$15)*100,4)</f>
        <v>1.7282</v>
      </c>
      <c r="AA16" s="127">
        <f t="shared" ref="AA16:AA20" si="10">Z16+$Z$21</f>
        <v>2.0981999999999998</v>
      </c>
      <c r="AB16" s="127">
        <f>ROUND(((R74*IMABS(Y15)*SQRT(3))/$D$15)*100,4)</f>
        <v>0.97209999999999996</v>
      </c>
      <c r="AC16" s="127">
        <f t="shared" ref="AC16:AC17" si="11">AB16+$AB$21</f>
        <v>2.6992000000000003</v>
      </c>
      <c r="BA16" s="438"/>
      <c r="BB16" s="360"/>
      <c r="BC16" s="166" t="s">
        <v>258</v>
      </c>
      <c r="BD16" s="493"/>
      <c r="BE16" s="117" t="s">
        <v>249</v>
      </c>
      <c r="BF16" s="117">
        <v>40</v>
      </c>
      <c r="BG16" s="117">
        <v>12</v>
      </c>
      <c r="BH16" s="117" t="str">
        <f t="shared" si="3"/>
        <v>3,69+0,2581i</v>
      </c>
      <c r="BI16" s="117" t="str">
        <f>COMPLEX(3.69,0.647)</f>
        <v>3,69+0,647i</v>
      </c>
      <c r="BJ16" s="117" t="str">
        <f t="shared" si="4"/>
        <v>0,17712+0,0123888i</v>
      </c>
      <c r="BK16" s="117" t="str">
        <f t="shared" si="5"/>
        <v>0,17712+0,031056i</v>
      </c>
      <c r="BL16" s="117" t="str">
        <f>IMSUM(BJ16,$BJ$21,BK16,$BK$21)</f>
        <v>0,355725+0,04638785i</v>
      </c>
      <c r="BM16" s="383">
        <f t="shared" ref="BM16:BM37" si="12">IMABS(BL16)</f>
        <v>0.35873682310660904</v>
      </c>
      <c r="BN16" s="117">
        <f t="shared" ref="BN16:BN37" si="13">BG16*BF16</f>
        <v>480</v>
      </c>
      <c r="BO16" s="384" t="str">
        <f t="shared" ref="BO16:BO21" si="14">IF((BM16*BN16)&lt;=$BD$15,"Sim","Não")</f>
        <v>Sim</v>
      </c>
      <c r="BQ16" s="432"/>
      <c r="BR16" s="252" t="s">
        <v>377</v>
      </c>
      <c r="BS16" s="380">
        <f t="shared" ref="BS16:BS18" si="15">BA89</f>
        <v>2.9681660937353218E-2</v>
      </c>
      <c r="BT16" s="234">
        <f>AG89</f>
        <v>367.16822190996902</v>
      </c>
      <c r="BU16" s="358" t="str">
        <f>IF((BT16*BS16)&lt;=50,"Sim","Não")</f>
        <v>Sim</v>
      </c>
    </row>
    <row r="17" spans="2:73">
      <c r="B17" s="438"/>
      <c r="C17" s="113" t="s">
        <v>259</v>
      </c>
      <c r="D17" s="447"/>
      <c r="E17" s="117">
        <v>12.509</v>
      </c>
      <c r="F17" s="447"/>
      <c r="G17" s="140">
        <f t="shared" si="0"/>
        <v>21.354448602285718</v>
      </c>
      <c r="H17" s="127">
        <v>6</v>
      </c>
      <c r="I17" s="127">
        <v>59</v>
      </c>
      <c r="J17" s="127">
        <v>0.79</v>
      </c>
      <c r="K17" s="127">
        <v>1</v>
      </c>
      <c r="L17" s="127">
        <f t="shared" ref="L17:L44" si="16">I17*J17*K17</f>
        <v>46.61</v>
      </c>
      <c r="M17" s="129" t="s">
        <v>332</v>
      </c>
      <c r="N17" s="449" t="s">
        <v>335</v>
      </c>
      <c r="O17" s="450"/>
      <c r="P17" s="129">
        <v>40</v>
      </c>
      <c r="Q17" s="129" t="str">
        <f t="shared" si="6"/>
        <v>Fixo</v>
      </c>
      <c r="R17" s="129" t="s">
        <v>249</v>
      </c>
      <c r="S17" s="129">
        <v>25</v>
      </c>
      <c r="T17" s="140">
        <f t="shared" si="7"/>
        <v>5.6000000000000001E-2</v>
      </c>
      <c r="U17" s="257">
        <v>101</v>
      </c>
      <c r="V17" s="129" t="str">
        <f t="shared" si="1"/>
        <v>3#6(6)T6</v>
      </c>
      <c r="W17" s="127" t="str">
        <f>COMPLEX(3.69,0.2581)</f>
        <v>3,69+0,2581i</v>
      </c>
      <c r="X17" s="127" t="str">
        <f>COMPLEX(14.76,1.4248)</f>
        <v>14,76+1,4248i</v>
      </c>
      <c r="Y17" s="127" t="str">
        <f t="shared" si="8"/>
        <v>0,20664+0,0144536i</v>
      </c>
      <c r="Z17" s="127">
        <f t="shared" si="9"/>
        <v>2.0162</v>
      </c>
      <c r="AA17" s="127">
        <f t="shared" si="10"/>
        <v>2.3862000000000001</v>
      </c>
      <c r="AB17" s="127">
        <f>ROUND(((R74*IMABS(Y15)*SQRT(3))/$D$15)*100,4)</f>
        <v>0.97209999999999996</v>
      </c>
      <c r="AC17" s="127">
        <f t="shared" si="11"/>
        <v>2.6992000000000003</v>
      </c>
      <c r="BA17" s="438"/>
      <c r="BB17" s="360"/>
      <c r="BC17" s="166" t="s">
        <v>259</v>
      </c>
      <c r="BD17" s="493"/>
      <c r="BE17" s="117" t="s">
        <v>249</v>
      </c>
      <c r="BF17" s="117">
        <v>40</v>
      </c>
      <c r="BG17" s="117">
        <v>12</v>
      </c>
      <c r="BH17" s="117" t="str">
        <f>COMPLEX(3.69,0.2581)</f>
        <v>3,69+0,2581i</v>
      </c>
      <c r="BI17" s="117" t="str">
        <f>COMPLEX(3.69,0.647)</f>
        <v>3,69+0,647i</v>
      </c>
      <c r="BJ17" s="117" t="str">
        <f t="shared" si="4"/>
        <v>0,20664+0,0144536i</v>
      </c>
      <c r="BK17" s="117" t="str">
        <f t="shared" si="5"/>
        <v>0,20664+0,036232i</v>
      </c>
      <c r="BL17" s="117" t="str">
        <f>IMSUM(BJ17,$BJ$21,BK17,$BK$21)</f>
        <v>0,414765+0,05362865i</v>
      </c>
      <c r="BM17" s="383">
        <f t="shared" si="12"/>
        <v>0.41821769131138209</v>
      </c>
      <c r="BN17" s="117">
        <f t="shared" si="13"/>
        <v>480</v>
      </c>
      <c r="BO17" s="384" t="str">
        <f t="shared" si="14"/>
        <v>Sim</v>
      </c>
      <c r="BQ17" s="432"/>
      <c r="BR17" s="252" t="s">
        <v>287</v>
      </c>
      <c r="BS17" s="380">
        <f t="shared" si="15"/>
        <v>2.5381483900670583E-2</v>
      </c>
      <c r="BT17" s="234">
        <f>AG90</f>
        <v>366.99647946338501</v>
      </c>
      <c r="BU17" s="358" t="str">
        <f>IF((BT17*BS17)&lt;=50,"Sim","Não")</f>
        <v>Sim</v>
      </c>
    </row>
    <row r="18" spans="2:73" ht="13.5" thickBot="1">
      <c r="B18" s="438"/>
      <c r="C18" s="113" t="s">
        <v>260</v>
      </c>
      <c r="D18" s="447"/>
      <c r="E18" s="117">
        <v>316.08600000000001</v>
      </c>
      <c r="F18" s="447"/>
      <c r="G18" s="140">
        <f t="shared" si="0"/>
        <v>539.59886808714396</v>
      </c>
      <c r="H18" s="129" t="s">
        <v>425</v>
      </c>
      <c r="I18" s="127">
        <v>396</v>
      </c>
      <c r="J18" s="127">
        <v>0.79</v>
      </c>
      <c r="K18" s="127">
        <v>1</v>
      </c>
      <c r="L18" s="127">
        <f>(I18*J18*K18)*3</f>
        <v>938.5200000000001</v>
      </c>
      <c r="M18" s="129" t="s">
        <v>332</v>
      </c>
      <c r="N18" s="449" t="s">
        <v>335</v>
      </c>
      <c r="O18" s="450"/>
      <c r="P18" s="127">
        <v>600</v>
      </c>
      <c r="Q18" s="129" t="str">
        <f t="shared" si="6"/>
        <v>Fixo</v>
      </c>
      <c r="R18" s="129" t="s">
        <v>238</v>
      </c>
      <c r="S18" s="129">
        <v>50</v>
      </c>
      <c r="T18" s="140">
        <f t="shared" si="7"/>
        <v>2.5000000000000001E-2</v>
      </c>
      <c r="U18" s="257">
        <v>36</v>
      </c>
      <c r="V18" s="129" t="s">
        <v>426</v>
      </c>
      <c r="W18" s="127" t="str">
        <f>COMPLEX(0.18/3,0.0494)</f>
        <v>0,06+0,0494i</v>
      </c>
      <c r="X18" s="127" t="str">
        <f>COMPLEX(1.14/3,0.358)</f>
        <v>0,38+0,358i</v>
      </c>
      <c r="Y18" s="127" t="str">
        <f>IMPRODUCT(W18,T18)</f>
        <v>0,0015+0,001235i</v>
      </c>
      <c r="Z18" s="127">
        <f>ROUND(((G18*IMABS(Y18)*SQRT(3))/$D$15)*100,4)</f>
        <v>0.47789999999999999</v>
      </c>
      <c r="AA18" s="127">
        <f>Z18+$Z$21</f>
        <v>0.84789999999999999</v>
      </c>
      <c r="AB18" s="127">
        <f>ROUND(((R78*IMABS(Y18)*SQRT(3))/$D$15)*100,4)</f>
        <v>3.8973</v>
      </c>
      <c r="AC18" s="127">
        <f>AB18+AB21</f>
        <v>5.6243999999999996</v>
      </c>
      <c r="BA18" s="438"/>
      <c r="BB18" s="360"/>
      <c r="BC18" s="166" t="s">
        <v>260</v>
      </c>
      <c r="BD18" s="493"/>
      <c r="BE18" s="117" t="s">
        <v>238</v>
      </c>
      <c r="BF18" s="117">
        <v>600</v>
      </c>
      <c r="BG18" s="117">
        <v>12</v>
      </c>
      <c r="BH18" s="117" t="str">
        <f>COMPLEX(0.18/3,0.0494)</f>
        <v>0,06+0,0494i</v>
      </c>
      <c r="BI18" s="117" t="str">
        <f>COMPLEX((0.11),(0.152))</f>
        <v>0,11+0,152i</v>
      </c>
      <c r="BJ18" s="117" t="str">
        <f t="shared" si="4"/>
        <v>0,0015+0,001235i</v>
      </c>
      <c r="BK18" s="117" t="str">
        <f t="shared" si="5"/>
        <v>0,00275+0,0038i</v>
      </c>
      <c r="BL18" s="117" t="str">
        <f>IMSUM(BJ18,$BJ$21,BK18,$BK$21)</f>
        <v>0,005735+0,00797805i</v>
      </c>
      <c r="BM18" s="383">
        <f t="shared" si="12"/>
        <v>9.8254519897305482E-3</v>
      </c>
      <c r="BN18" s="117">
        <f t="shared" si="13"/>
        <v>7200</v>
      </c>
      <c r="BO18" s="384" t="str">
        <f t="shared" si="14"/>
        <v>Sim</v>
      </c>
      <c r="BQ18" s="433"/>
      <c r="BR18" s="255" t="s">
        <v>378</v>
      </c>
      <c r="BS18" s="380">
        <f t="shared" si="15"/>
        <v>2.6830143421159712E-2</v>
      </c>
      <c r="BT18" s="234">
        <f>AG91</f>
        <v>374.836375055102</v>
      </c>
      <c r="BU18" s="358" t="str">
        <f>IF((BT18*BS18)&lt;=50,"Sim","Não")</f>
        <v>Sim</v>
      </c>
    </row>
    <row r="19" spans="2:73" ht="12.75" customHeight="1">
      <c r="B19" s="438"/>
      <c r="C19" s="113" t="s">
        <v>261</v>
      </c>
      <c r="D19" s="447"/>
      <c r="E19" s="117">
        <v>19.927</v>
      </c>
      <c r="F19" s="447"/>
      <c r="G19" s="122">
        <f t="shared" si="0"/>
        <v>34.01791488510252</v>
      </c>
      <c r="H19" s="127">
        <v>6</v>
      </c>
      <c r="I19" s="126">
        <v>59</v>
      </c>
      <c r="J19" s="126">
        <v>0.79</v>
      </c>
      <c r="K19" s="126">
        <v>1</v>
      </c>
      <c r="L19" s="126">
        <f t="shared" si="16"/>
        <v>46.61</v>
      </c>
      <c r="M19" s="129" t="s">
        <v>332</v>
      </c>
      <c r="N19" s="449" t="s">
        <v>335</v>
      </c>
      <c r="O19" s="450"/>
      <c r="P19" s="129">
        <v>40</v>
      </c>
      <c r="Q19" s="115" t="str">
        <f t="shared" si="6"/>
        <v>Fixo</v>
      </c>
      <c r="R19" s="115" t="s">
        <v>249</v>
      </c>
      <c r="S19" s="115">
        <v>25</v>
      </c>
      <c r="T19" s="122">
        <f t="shared" si="7"/>
        <v>2.1000000000000001E-2</v>
      </c>
      <c r="U19" s="169">
        <v>27</v>
      </c>
      <c r="V19" s="115" t="str">
        <f t="shared" si="1"/>
        <v>3#6(6)T6</v>
      </c>
      <c r="W19" s="126" t="str">
        <f>COMPLEX(3.69,0.2581)</f>
        <v>3,69+0,2581i</v>
      </c>
      <c r="X19" s="126" t="str">
        <f>COMPLEX(14.76,1.4248)</f>
        <v>14,76+1,4248i</v>
      </c>
      <c r="Y19" s="126" t="str">
        <f t="shared" si="8"/>
        <v>0,07749+0,0054201i</v>
      </c>
      <c r="Z19" s="126">
        <f t="shared" si="9"/>
        <v>1.2044999999999999</v>
      </c>
      <c r="AA19" s="126">
        <f t="shared" si="10"/>
        <v>1.5745</v>
      </c>
      <c r="AB19" s="161" t="s">
        <v>108</v>
      </c>
      <c r="AC19" s="161" t="s">
        <v>108</v>
      </c>
      <c r="BA19" s="438"/>
      <c r="BB19" s="360"/>
      <c r="BC19" s="166" t="s">
        <v>261</v>
      </c>
      <c r="BD19" s="493"/>
      <c r="BE19" s="117" t="s">
        <v>249</v>
      </c>
      <c r="BF19" s="117">
        <v>40</v>
      </c>
      <c r="BG19" s="117">
        <v>12</v>
      </c>
      <c r="BH19" s="378" t="str">
        <f>COMPLEX(3.69,0.2581)</f>
        <v>3,69+0,2581i</v>
      </c>
      <c r="BI19" s="117" t="str">
        <f>COMPLEX(3.69,0.647)</f>
        <v>3,69+0,647i</v>
      </c>
      <c r="BJ19" s="117" t="str">
        <f t="shared" si="4"/>
        <v>0,07749+0,0054201i</v>
      </c>
      <c r="BK19" s="117" t="str">
        <f t="shared" si="5"/>
        <v>0,07749+0,013587i</v>
      </c>
      <c r="BL19" s="117" t="str">
        <f>IMSUM(BJ19,$BJ$21,BK19,$BK$21)</f>
        <v>0,156465+0,02195015i</v>
      </c>
      <c r="BM19" s="383">
        <f t="shared" si="12"/>
        <v>0.15799716867723451</v>
      </c>
      <c r="BN19" s="117">
        <f t="shared" si="13"/>
        <v>480</v>
      </c>
      <c r="BO19" s="384" t="str">
        <f t="shared" si="14"/>
        <v>Sim</v>
      </c>
    </row>
    <row r="20" spans="2:73">
      <c r="B20" s="438"/>
      <c r="C20" s="166" t="s">
        <v>262</v>
      </c>
      <c r="D20" s="447"/>
      <c r="E20" s="117">
        <v>178.67500000000001</v>
      </c>
      <c r="F20" s="447"/>
      <c r="G20" s="140">
        <f t="shared" si="0"/>
        <v>305.02087329230159</v>
      </c>
      <c r="H20" s="127">
        <v>120</v>
      </c>
      <c r="I20" s="126">
        <v>396</v>
      </c>
      <c r="J20" s="126">
        <v>0.79</v>
      </c>
      <c r="K20" s="126">
        <v>1</v>
      </c>
      <c r="L20" s="126">
        <f t="shared" si="16"/>
        <v>312.84000000000003</v>
      </c>
      <c r="M20" s="129" t="s">
        <v>332</v>
      </c>
      <c r="N20" s="449" t="s">
        <v>335</v>
      </c>
      <c r="O20" s="450"/>
      <c r="P20" s="126">
        <v>310</v>
      </c>
      <c r="Q20" s="115" t="str">
        <f t="shared" si="6"/>
        <v>Eletrônico</v>
      </c>
      <c r="R20" s="115" t="s">
        <v>317</v>
      </c>
      <c r="S20" s="115">
        <v>50</v>
      </c>
      <c r="T20" s="122">
        <f t="shared" si="7"/>
        <v>1.4E-2</v>
      </c>
      <c r="U20" s="169">
        <v>13</v>
      </c>
      <c r="V20" s="115" t="str">
        <f t="shared" si="1"/>
        <v>3#120(120)T70</v>
      </c>
      <c r="W20" s="126" t="str">
        <f>COMPLEX(0.18,0.1481)</f>
        <v>0,18+0,1481i</v>
      </c>
      <c r="X20" s="126" t="str">
        <f>COMPLEX(1.14,1.0748)</f>
        <v>1,14+1,0748i</v>
      </c>
      <c r="Y20" s="126" t="str">
        <f t="shared" si="8"/>
        <v>0,00252+0,0020734i</v>
      </c>
      <c r="Z20" s="126">
        <f t="shared" si="9"/>
        <v>0.45369999999999999</v>
      </c>
      <c r="AA20" s="126">
        <f t="shared" si="10"/>
        <v>0.82369999999999999</v>
      </c>
      <c r="AB20" s="161" t="s">
        <v>108</v>
      </c>
      <c r="AC20" s="161" t="s">
        <v>108</v>
      </c>
      <c r="BA20" s="438"/>
      <c r="BB20" s="360"/>
      <c r="BC20" s="166" t="s">
        <v>262</v>
      </c>
      <c r="BD20" s="493"/>
      <c r="BE20" s="117" t="s">
        <v>317</v>
      </c>
      <c r="BF20" s="117">
        <v>310</v>
      </c>
      <c r="BG20" s="117">
        <v>12</v>
      </c>
      <c r="BH20" s="378" t="str">
        <f>COMPLEX(0.18,0.1481)</f>
        <v>0,18+0,1481i</v>
      </c>
      <c r="BI20" s="117" t="str">
        <f>COMPLEX(0.32,0.457)</f>
        <v>0,32+0,457i</v>
      </c>
      <c r="BJ20" s="117" t="str">
        <f t="shared" si="4"/>
        <v>0,00252+0,0020734i</v>
      </c>
      <c r="BK20" s="117" t="str">
        <f t="shared" si="5"/>
        <v>0,00448+0,006398i</v>
      </c>
      <c r="BL20" s="117" t="str">
        <f>IMSUM(BJ20,$BJ$21,BK20,$BK$21)</f>
        <v>0,008485+0,01141445i</v>
      </c>
      <c r="BM20" s="383">
        <f t="shared" si="12"/>
        <v>1.4222689401182183E-2</v>
      </c>
      <c r="BN20" s="117">
        <f t="shared" si="13"/>
        <v>3720</v>
      </c>
      <c r="BO20" s="384" t="str">
        <f t="shared" si="14"/>
        <v>Sim</v>
      </c>
    </row>
    <row r="21" spans="2:73" ht="13.5" thickBot="1">
      <c r="B21" s="439"/>
      <c r="C21" s="167" t="s">
        <v>263</v>
      </c>
      <c r="D21" s="448"/>
      <c r="E21" s="141">
        <f>SUM(E15:E20)</f>
        <v>552.21500000000003</v>
      </c>
      <c r="F21" s="448"/>
      <c r="G21" s="142">
        <f>SUM(G15:G20)</f>
        <v>942.70100207140513</v>
      </c>
      <c r="H21" s="143" t="s">
        <v>316</v>
      </c>
      <c r="I21" s="144">
        <v>615</v>
      </c>
      <c r="J21" s="144">
        <v>0.79</v>
      </c>
      <c r="K21" s="144">
        <v>1</v>
      </c>
      <c r="L21" s="144">
        <f>(I21*J21*K21)*2</f>
        <v>971.7</v>
      </c>
      <c r="M21" s="152" t="s">
        <v>332</v>
      </c>
      <c r="N21" s="451" t="s">
        <v>336</v>
      </c>
      <c r="O21" s="452"/>
      <c r="P21" s="144">
        <v>950</v>
      </c>
      <c r="Q21" s="145" t="str">
        <f t="shared" si="6"/>
        <v>Eletrônico</v>
      </c>
      <c r="R21" s="146" t="s">
        <v>318</v>
      </c>
      <c r="S21" s="216">
        <v>50</v>
      </c>
      <c r="T21" s="156">
        <f t="shared" si="7"/>
        <v>1.0999999999999999E-2</v>
      </c>
      <c r="U21" s="138">
        <v>7</v>
      </c>
      <c r="V21" s="145" t="str">
        <f t="shared" si="1"/>
        <v>2x3#240(240)T120</v>
      </c>
      <c r="W21" s="144" t="str">
        <f>COMPLEX(0.09/2,0.1281/2)</f>
        <v>0,045+0,06405i</v>
      </c>
      <c r="X21" s="144" t="str">
        <f>COMPLEX(0.63/2,0.9648/2)</f>
        <v>0,315+0,4824i</v>
      </c>
      <c r="Y21" s="144" t="str">
        <f t="shared" si="8"/>
        <v>0,000495+0,00070455i</v>
      </c>
      <c r="Z21" s="144">
        <f t="shared" si="9"/>
        <v>0.37</v>
      </c>
      <c r="AA21" s="157" t="s">
        <v>108</v>
      </c>
      <c r="AB21" s="214">
        <f>ROUND(((R78*IMABS(Y21)*SQRT(3))/$D$15)*100,4)</f>
        <v>1.7271000000000001</v>
      </c>
      <c r="AC21" s="214" t="s">
        <v>108</v>
      </c>
      <c r="BA21" s="439"/>
      <c r="BB21" s="361"/>
      <c r="BC21" s="167" t="s">
        <v>263</v>
      </c>
      <c r="BD21" s="494"/>
      <c r="BE21" s="385" t="s">
        <v>318</v>
      </c>
      <c r="BF21" s="376">
        <v>950</v>
      </c>
      <c r="BG21" s="376">
        <v>12</v>
      </c>
      <c r="BH21" s="379" t="str">
        <f>COMPLEX(0.09/2,0.1281/2)</f>
        <v>0,045+0,06405i</v>
      </c>
      <c r="BI21" s="376" t="str">
        <f>COMPLEX((0.18/2),(0.407/2))</f>
        <v>0,09+0,2035i</v>
      </c>
      <c r="BJ21" s="376" t="str">
        <f t="shared" si="4"/>
        <v>0,000495+0,00070455i</v>
      </c>
      <c r="BK21" s="376" t="str">
        <f t="shared" si="5"/>
        <v>0,00099+0,0022385i</v>
      </c>
      <c r="BL21" s="376" t="str">
        <f>IMSUM(BJ21,BK21)</f>
        <v>0,001485+0,00294305i</v>
      </c>
      <c r="BM21" s="386">
        <f>IMABS(BL21)</f>
        <v>3.2964781665438042E-3</v>
      </c>
      <c r="BN21" s="376">
        <f t="shared" si="13"/>
        <v>11400</v>
      </c>
      <c r="BO21" s="387" t="str">
        <f t="shared" si="14"/>
        <v>Sim</v>
      </c>
    </row>
    <row r="22" spans="2:73" ht="12.75" customHeight="1">
      <c r="B22" s="440" t="s">
        <v>264</v>
      </c>
      <c r="C22" s="168" t="s">
        <v>265</v>
      </c>
      <c r="D22" s="453">
        <v>220</v>
      </c>
      <c r="E22" s="147">
        <v>45.777999999999999</v>
      </c>
      <c r="F22" s="453">
        <v>0.9</v>
      </c>
      <c r="G22" s="148">
        <f>(E22/(SQRT(3)*$D$22*$F$22))*1000</f>
        <v>133.48454860082165</v>
      </c>
      <c r="H22" s="149">
        <v>50</v>
      </c>
      <c r="I22" s="149">
        <v>196</v>
      </c>
      <c r="J22" s="149">
        <v>0.79</v>
      </c>
      <c r="K22" s="149">
        <v>1</v>
      </c>
      <c r="L22" s="149">
        <f t="shared" si="16"/>
        <v>154.84</v>
      </c>
      <c r="M22" s="151" t="s">
        <v>333</v>
      </c>
      <c r="N22" s="454" t="s">
        <v>337</v>
      </c>
      <c r="O22" s="455"/>
      <c r="P22" s="151">
        <v>150</v>
      </c>
      <c r="Q22" s="136" t="str">
        <f t="shared" si="6"/>
        <v>Fixo</v>
      </c>
      <c r="R22" s="151" t="s">
        <v>249</v>
      </c>
      <c r="S22" s="137">
        <v>25</v>
      </c>
      <c r="T22" s="135">
        <f t="shared" si="7"/>
        <v>1.2E-2</v>
      </c>
      <c r="U22" s="134">
        <v>8</v>
      </c>
      <c r="V22" s="136" t="str">
        <f t="shared" si="1"/>
        <v>2#50(50)T25</v>
      </c>
      <c r="W22" s="134" t="str">
        <f>COMPLEX(0.46,0.1881)</f>
        <v>0,46+0,1881i</v>
      </c>
      <c r="X22" s="171" t="str">
        <f>COMPLEX(3.07,1.2048)</f>
        <v>3,07+1,2048i</v>
      </c>
      <c r="Y22" s="134" t="str">
        <f t="shared" si="8"/>
        <v>0,00552+0,0022572i</v>
      </c>
      <c r="Z22" s="248">
        <f>ROUND(((G22*IMABS(Y22))/$D$15)*100,4)</f>
        <v>0.20949999999999999</v>
      </c>
      <c r="AA22" s="134">
        <f>Z22</f>
        <v>0.20949999999999999</v>
      </c>
      <c r="AB22" s="161" t="s">
        <v>108</v>
      </c>
      <c r="AC22" s="161" t="s">
        <v>108</v>
      </c>
      <c r="BA22" s="440" t="s">
        <v>264</v>
      </c>
      <c r="BB22" s="366"/>
      <c r="BC22" s="168" t="s">
        <v>265</v>
      </c>
      <c r="BD22" s="495">
        <v>127</v>
      </c>
      <c r="BE22" s="147" t="s">
        <v>249</v>
      </c>
      <c r="BF22" s="147">
        <v>150</v>
      </c>
      <c r="BG22" s="388">
        <v>12</v>
      </c>
      <c r="BH22" s="388" t="str">
        <f>COMPLEX(0.46,0.1881)</f>
        <v>0,46+0,1881i</v>
      </c>
      <c r="BI22" s="374" t="str">
        <f>COMPLEX(0.87,0.527)</f>
        <v>0,87+0,527i</v>
      </c>
      <c r="BJ22" s="388" t="str">
        <f t="shared" si="4"/>
        <v>0,00552+0,0022572i</v>
      </c>
      <c r="BK22" s="388" t="str">
        <f t="shared" si="5"/>
        <v>0,01044+0,006324i</v>
      </c>
      <c r="BL22" s="374" t="str">
        <f>IMSUM(BJ22,BJ23,BK22,BK23)</f>
        <v>0,03192+0,0171624i</v>
      </c>
      <c r="BM22" s="389">
        <f t="shared" si="12"/>
        <v>3.6241335154213065E-2</v>
      </c>
      <c r="BN22" s="388">
        <f t="shared" si="13"/>
        <v>1800</v>
      </c>
      <c r="BO22" s="390" t="str">
        <f>IF((BM22*BN22)&lt;=$BD$22,"Sim","Não")</f>
        <v>Sim</v>
      </c>
    </row>
    <row r="23" spans="2:73" ht="13.5" thickBot="1">
      <c r="B23" s="441"/>
      <c r="C23" s="167" t="s">
        <v>266</v>
      </c>
      <c r="D23" s="448"/>
      <c r="E23" s="141">
        <f>SUM(E22)</f>
        <v>45.777999999999999</v>
      </c>
      <c r="F23" s="448"/>
      <c r="G23" s="142">
        <f>G22</f>
        <v>133.48454860082165</v>
      </c>
      <c r="H23" s="144">
        <v>50</v>
      </c>
      <c r="I23" s="144">
        <v>196</v>
      </c>
      <c r="J23" s="144">
        <v>0.79</v>
      </c>
      <c r="K23" s="144">
        <v>1</v>
      </c>
      <c r="L23" s="144">
        <f t="shared" si="16"/>
        <v>154.84</v>
      </c>
      <c r="M23" s="152" t="s">
        <v>333</v>
      </c>
      <c r="N23" s="451" t="s">
        <v>338</v>
      </c>
      <c r="O23" s="452"/>
      <c r="P23" s="152">
        <v>150</v>
      </c>
      <c r="Q23" s="145" t="str">
        <f t="shared" si="6"/>
        <v>Fixo</v>
      </c>
      <c r="R23" s="152" t="s">
        <v>249</v>
      </c>
      <c r="S23" s="152">
        <v>25</v>
      </c>
      <c r="T23" s="156">
        <f t="shared" si="7"/>
        <v>1.2E-2</v>
      </c>
      <c r="U23" s="138">
        <v>8</v>
      </c>
      <c r="V23" s="145" t="str">
        <f t="shared" si="1"/>
        <v>2#50(50)T25</v>
      </c>
      <c r="W23" s="134" t="str">
        <f>COMPLEX(0.46,0.1881)</f>
        <v>0,46+0,1881i</v>
      </c>
      <c r="X23" s="144" t="str">
        <f>COMPLEX(3.07,1.2048)</f>
        <v>3,07+1,2048i</v>
      </c>
      <c r="Y23" s="144" t="str">
        <f t="shared" si="8"/>
        <v>0,00552+0,0022572i</v>
      </c>
      <c r="Z23" s="144">
        <f>ROUND(((G23*IMABS(Y23))/$D$15)*100,4)</f>
        <v>0.20949999999999999</v>
      </c>
      <c r="AA23" s="144" t="str">
        <f>AA21</f>
        <v>-</v>
      </c>
      <c r="AB23" s="214" t="s">
        <v>108</v>
      </c>
      <c r="AC23" s="214" t="s">
        <v>108</v>
      </c>
      <c r="BA23" s="441"/>
      <c r="BB23" s="367"/>
      <c r="BC23" s="167" t="s">
        <v>266</v>
      </c>
      <c r="BD23" s="496"/>
      <c r="BE23" s="376" t="s">
        <v>249</v>
      </c>
      <c r="BF23" s="376">
        <v>150</v>
      </c>
      <c r="BG23" s="379">
        <v>12</v>
      </c>
      <c r="BH23" s="379" t="str">
        <f>COMPLEX(0.46,0.1881)</f>
        <v>0,46+0,1881i</v>
      </c>
      <c r="BI23" s="376" t="str">
        <f t="shared" ref="BI23:BI24" si="17">COMPLEX(0.87,0.527)</f>
        <v>0,87+0,527i</v>
      </c>
      <c r="BJ23" s="379" t="str">
        <f t="shared" si="4"/>
        <v>0,00552+0,0022572i</v>
      </c>
      <c r="BK23" s="379" t="str">
        <f t="shared" si="5"/>
        <v>0,01044+0,006324i</v>
      </c>
      <c r="BL23" s="376" t="str">
        <f t="shared" ref="BL23:BL37" si="18">IMSUM(BJ23,BK23)</f>
        <v>0,01596+0,0085812i</v>
      </c>
      <c r="BM23" s="391">
        <f t="shared" si="12"/>
        <v>1.8120667577106533E-2</v>
      </c>
      <c r="BN23" s="379">
        <f t="shared" si="13"/>
        <v>1800</v>
      </c>
      <c r="BO23" s="387" t="str">
        <f>IF((BM23*BN23)&lt;=$BD$22,"Sim","Não")</f>
        <v>Sim</v>
      </c>
    </row>
    <row r="24" spans="2:73">
      <c r="B24" s="442" t="s">
        <v>267</v>
      </c>
      <c r="C24" s="168" t="s">
        <v>268</v>
      </c>
      <c r="D24" s="453">
        <v>380</v>
      </c>
      <c r="E24" s="147">
        <v>89.372600000000006</v>
      </c>
      <c r="F24" s="453">
        <v>0.93</v>
      </c>
      <c r="G24" s="148">
        <f>(E24/(SQRT(3)*$D$15*$F$24))*1000</f>
        <v>146.008190911649</v>
      </c>
      <c r="H24" s="149">
        <v>50</v>
      </c>
      <c r="I24" s="149">
        <v>219</v>
      </c>
      <c r="J24" s="149">
        <v>0.79</v>
      </c>
      <c r="K24" s="149">
        <v>1</v>
      </c>
      <c r="L24" s="149">
        <f t="shared" si="16"/>
        <v>173.01000000000002</v>
      </c>
      <c r="M24" s="151" t="s">
        <v>332</v>
      </c>
      <c r="N24" s="454" t="s">
        <v>335</v>
      </c>
      <c r="O24" s="455"/>
      <c r="P24" s="151">
        <v>150</v>
      </c>
      <c r="Q24" s="136" t="str">
        <f t="shared" si="6"/>
        <v>Fixo</v>
      </c>
      <c r="R24" s="150" t="s">
        <v>249</v>
      </c>
      <c r="S24" s="136">
        <v>25</v>
      </c>
      <c r="T24" s="135">
        <f t="shared" si="7"/>
        <v>2.8000000000000001E-2</v>
      </c>
      <c r="U24" s="134">
        <v>43</v>
      </c>
      <c r="V24" s="136" t="str">
        <f t="shared" si="1"/>
        <v>3#50(50)T25</v>
      </c>
      <c r="W24" s="149" t="str">
        <f>COMPLEX(0.46,0.1881)</f>
        <v>0,46+0,1881i</v>
      </c>
      <c r="X24" s="230" t="str">
        <f>COMPLEX(3.07,1.2048)</f>
        <v>3,07+1,2048i</v>
      </c>
      <c r="Y24" s="134" t="str">
        <f t="shared" si="8"/>
        <v>0,01288+0,0052668i</v>
      </c>
      <c r="Z24" s="248">
        <f t="shared" si="9"/>
        <v>0.92610000000000003</v>
      </c>
      <c r="AA24" s="134">
        <f>Z24+$Z$28</f>
        <v>1.258</v>
      </c>
      <c r="AB24" s="161" t="s">
        <v>108</v>
      </c>
      <c r="AC24" s="161" t="s">
        <v>108</v>
      </c>
      <c r="BA24" s="442" t="s">
        <v>267</v>
      </c>
      <c r="BB24" s="359"/>
      <c r="BC24" s="168" t="s">
        <v>268</v>
      </c>
      <c r="BD24" s="495">
        <v>220</v>
      </c>
      <c r="BE24" s="392" t="s">
        <v>249</v>
      </c>
      <c r="BF24" s="147">
        <v>150</v>
      </c>
      <c r="BG24" s="388">
        <v>12</v>
      </c>
      <c r="BH24" s="388" t="str">
        <f>COMPLEX(0.46,0.1881)</f>
        <v>0,46+0,1881i</v>
      </c>
      <c r="BI24" s="374" t="str">
        <f t="shared" si="17"/>
        <v>0,87+0,527i</v>
      </c>
      <c r="BJ24" s="388" t="str">
        <f t="shared" si="4"/>
        <v>0,01288+0,0052668i</v>
      </c>
      <c r="BK24" s="388" t="str">
        <f t="shared" si="5"/>
        <v>0,02436+0,014756i</v>
      </c>
      <c r="BL24" s="374" t="str">
        <f>IMSUM(BJ24,$BJ$28,BK24,$BK$28)</f>
        <v>0,039165+0,02313085i</v>
      </c>
      <c r="BM24" s="389">
        <f t="shared" si="12"/>
        <v>4.5485530080702594E-2</v>
      </c>
      <c r="BN24" s="388">
        <f t="shared" si="13"/>
        <v>1800</v>
      </c>
      <c r="BO24" s="390" t="str">
        <f>IF((BM24*BN24)&lt;=$BD$24,"Sim","Não")</f>
        <v>Sim</v>
      </c>
    </row>
    <row r="25" spans="2:73">
      <c r="B25" s="438"/>
      <c r="C25" s="166" t="s">
        <v>269</v>
      </c>
      <c r="D25" s="447"/>
      <c r="E25" s="117">
        <v>65.613</v>
      </c>
      <c r="F25" s="447"/>
      <c r="G25" s="122">
        <f>(E25/(SQRT(3)*$D$15*$F$24))*1000</f>
        <v>107.19208605642025</v>
      </c>
      <c r="H25" s="126">
        <v>25</v>
      </c>
      <c r="I25" s="126">
        <v>146</v>
      </c>
      <c r="J25" s="126">
        <v>0.79</v>
      </c>
      <c r="K25" s="126">
        <v>1</v>
      </c>
      <c r="L25" s="126">
        <f t="shared" si="16"/>
        <v>115.34</v>
      </c>
      <c r="M25" s="129" t="s">
        <v>332</v>
      </c>
      <c r="N25" s="449" t="s">
        <v>335</v>
      </c>
      <c r="O25" s="450"/>
      <c r="P25" s="129">
        <v>110</v>
      </c>
      <c r="Q25" s="115" t="str">
        <f t="shared" si="6"/>
        <v>Eletrônico</v>
      </c>
      <c r="R25" s="115" t="s">
        <v>311</v>
      </c>
      <c r="S25" s="115">
        <v>50</v>
      </c>
      <c r="T25" s="122">
        <f t="shared" si="7"/>
        <v>1.2999999999999999E-2</v>
      </c>
      <c r="U25" s="126">
        <v>11</v>
      </c>
      <c r="V25" s="115" t="str">
        <f t="shared" si="1"/>
        <v>3#25(25)T16</v>
      </c>
      <c r="W25" s="126" t="str">
        <f>COMPLEX(0.87,0.2081)</f>
        <v>0,87+0,2081i</v>
      </c>
      <c r="X25" s="126" t="str">
        <f>COMPLEX(5.01,1.2848)</f>
        <v>5,01+1,2848i</v>
      </c>
      <c r="Y25" s="126" t="str">
        <f t="shared" si="8"/>
        <v>0,01131+0,0027053i</v>
      </c>
      <c r="Z25" s="126">
        <f t="shared" si="9"/>
        <v>0.56820000000000004</v>
      </c>
      <c r="AA25" s="134">
        <f>Z25+$Z$28</f>
        <v>0.90010000000000001</v>
      </c>
      <c r="AB25" s="161">
        <f>ROUND(((R77*IMABS(Y25)*SQRT(3))/$D$15)*100,4)</f>
        <v>2.4700000000000002</v>
      </c>
      <c r="AC25" s="127">
        <f>AB25+AB28</f>
        <v>2.6837</v>
      </c>
      <c r="BA25" s="438"/>
      <c r="BB25" s="360"/>
      <c r="BC25" s="166" t="s">
        <v>269</v>
      </c>
      <c r="BD25" s="497"/>
      <c r="BE25" s="117" t="s">
        <v>311</v>
      </c>
      <c r="BF25" s="117">
        <v>110</v>
      </c>
      <c r="BG25" s="117">
        <v>12</v>
      </c>
      <c r="BH25" s="378" t="str">
        <f>COMPLEX(0.87,0.2081)</f>
        <v>0,87+0,2081i</v>
      </c>
      <c r="BI25" s="117" t="str">
        <f>COMPLEX(1.38,0.567)</f>
        <v>1,38+0,567i</v>
      </c>
      <c r="BJ25" s="378" t="str">
        <f t="shared" si="4"/>
        <v>0,01131+0,0027053i</v>
      </c>
      <c r="BK25" s="378" t="str">
        <f t="shared" si="5"/>
        <v>0,01794+0,007371i</v>
      </c>
      <c r="BL25" s="374" t="str">
        <f>IMSUM(BJ25,$BJ$28,BK25,$BK$28)</f>
        <v>0,031175+0,01318435i</v>
      </c>
      <c r="BM25" s="393">
        <f t="shared" si="12"/>
        <v>3.384830438770161E-2</v>
      </c>
      <c r="BN25" s="378">
        <f t="shared" si="13"/>
        <v>1320</v>
      </c>
      <c r="BO25" s="384" t="str">
        <f t="shared" ref="BO25:BO28" si="19">IF((BM25*BN25)&lt;=$BD$24,"Sim","Não")</f>
        <v>Sim</v>
      </c>
    </row>
    <row r="26" spans="2:73">
      <c r="B26" s="438"/>
      <c r="C26" s="166" t="s">
        <v>270</v>
      </c>
      <c r="D26" s="447"/>
      <c r="E26" s="117">
        <v>182.04669999999999</v>
      </c>
      <c r="F26" s="447"/>
      <c r="G26" s="140">
        <f>(E26/(SQRT(3)*$D$15*$F$24))*1000</f>
        <v>297.41004881177997</v>
      </c>
      <c r="H26" s="127">
        <v>120</v>
      </c>
      <c r="I26" s="126">
        <v>396</v>
      </c>
      <c r="J26" s="126">
        <v>0.79</v>
      </c>
      <c r="K26" s="126">
        <v>1</v>
      </c>
      <c r="L26" s="126">
        <f t="shared" si="16"/>
        <v>312.84000000000003</v>
      </c>
      <c r="M26" s="129" t="s">
        <v>332</v>
      </c>
      <c r="N26" s="449" t="s">
        <v>335</v>
      </c>
      <c r="O26" s="450"/>
      <c r="P26" s="126">
        <v>300</v>
      </c>
      <c r="Q26" s="115" t="str">
        <f t="shared" si="6"/>
        <v>Fixo</v>
      </c>
      <c r="R26" s="115" t="s">
        <v>240</v>
      </c>
      <c r="S26" s="115">
        <v>50</v>
      </c>
      <c r="T26" s="122">
        <f t="shared" si="7"/>
        <v>2.1999999999999999E-2</v>
      </c>
      <c r="U26" s="126">
        <v>30</v>
      </c>
      <c r="V26" s="115" t="str">
        <f t="shared" si="1"/>
        <v>3#120(120)T70</v>
      </c>
      <c r="W26" s="126" t="str">
        <f>COMPLEX(0.18,0.1481)</f>
        <v>0,18+0,1481i</v>
      </c>
      <c r="X26" s="126" t="str">
        <f>COMPLEX(1.14,1.0748)</f>
        <v>1,14+1,0748i</v>
      </c>
      <c r="Y26" s="126" t="str">
        <f t="shared" si="8"/>
        <v>0,00396+0,0032582i</v>
      </c>
      <c r="Z26" s="126">
        <f t="shared" si="9"/>
        <v>0.69520000000000004</v>
      </c>
      <c r="AA26" s="134">
        <f t="shared" ref="AA26:AA27" si="20">Z26+$Z$28</f>
        <v>1.0270999999999999</v>
      </c>
      <c r="AB26" s="161" t="s">
        <v>108</v>
      </c>
      <c r="AC26" s="161" t="s">
        <v>108</v>
      </c>
      <c r="BA26" s="438"/>
      <c r="BB26" s="360"/>
      <c r="BC26" s="166" t="s">
        <v>270</v>
      </c>
      <c r="BD26" s="497"/>
      <c r="BE26" s="378" t="s">
        <v>240</v>
      </c>
      <c r="BF26" s="378">
        <v>300</v>
      </c>
      <c r="BG26" s="378">
        <v>12</v>
      </c>
      <c r="BH26" s="378" t="str">
        <f>COMPLEX(0.18,0.1481)</f>
        <v>0,18+0,1481i</v>
      </c>
      <c r="BI26" s="117" t="str">
        <f>COMPLEX(0.32,0.457)</f>
        <v>0,32+0,457i</v>
      </c>
      <c r="BJ26" s="378" t="str">
        <f t="shared" si="4"/>
        <v>0,00396+0,0032582i</v>
      </c>
      <c r="BK26" s="378" t="str">
        <f t="shared" si="5"/>
        <v>0,00704+0,010054i</v>
      </c>
      <c r="BL26" s="374" t="str">
        <f>IMSUM(BJ26,$BJ$28,BK26,$BK$28)</f>
        <v>0,012925+0,01642025i</v>
      </c>
      <c r="BM26" s="393">
        <f t="shared" si="12"/>
        <v>2.0896895345062626E-2</v>
      </c>
      <c r="BN26" s="378">
        <f t="shared" si="13"/>
        <v>3600</v>
      </c>
      <c r="BO26" s="384" t="str">
        <f t="shared" si="19"/>
        <v>Sim</v>
      </c>
    </row>
    <row r="27" spans="2:73">
      <c r="B27" s="438"/>
      <c r="C27" s="166" t="s">
        <v>271</v>
      </c>
      <c r="D27" s="447"/>
      <c r="E27" s="117">
        <v>105.908</v>
      </c>
      <c r="F27" s="447"/>
      <c r="G27" s="122">
        <f>(E27/(SQRT(3)*$D$15*$F$24))*1000</f>
        <v>173.02210613846884</v>
      </c>
      <c r="H27" s="126">
        <v>70</v>
      </c>
      <c r="I27" s="126">
        <v>281</v>
      </c>
      <c r="J27" s="126">
        <v>0.79</v>
      </c>
      <c r="K27" s="126">
        <v>1</v>
      </c>
      <c r="L27" s="126">
        <f t="shared" si="16"/>
        <v>221.99</v>
      </c>
      <c r="M27" s="129" t="s">
        <v>332</v>
      </c>
      <c r="N27" s="449" t="s">
        <v>335</v>
      </c>
      <c r="O27" s="450"/>
      <c r="P27" s="129">
        <v>200</v>
      </c>
      <c r="Q27" s="115" t="str">
        <f t="shared" si="6"/>
        <v>Fixo</v>
      </c>
      <c r="R27" s="115" t="s">
        <v>245</v>
      </c>
      <c r="S27" s="115">
        <v>50</v>
      </c>
      <c r="T27" s="122">
        <f t="shared" si="7"/>
        <v>3.4000000000000002E-2</v>
      </c>
      <c r="U27" s="126">
        <v>54</v>
      </c>
      <c r="V27" s="115" t="str">
        <f t="shared" si="1"/>
        <v>3#70(70)T35</v>
      </c>
      <c r="W27" s="126" t="str">
        <f>COMPLEX(0.32,0.1781)</f>
        <v>0,32+0,1781i</v>
      </c>
      <c r="X27" s="126" t="str">
        <f>COMPLEX(2.21,1.1648)</f>
        <v>2,21+1,1648i</v>
      </c>
      <c r="Y27" s="126" t="str">
        <f t="shared" si="8"/>
        <v>0,01088+0,0060554i</v>
      </c>
      <c r="Z27" s="126">
        <f t="shared" si="9"/>
        <v>0.98199999999999998</v>
      </c>
      <c r="AA27" s="134">
        <f t="shared" si="20"/>
        <v>1.3138999999999998</v>
      </c>
      <c r="AB27" s="161" t="s">
        <v>108</v>
      </c>
      <c r="AC27" s="161" t="s">
        <v>108</v>
      </c>
      <c r="BA27" s="438"/>
      <c r="BB27" s="360"/>
      <c r="BC27" s="166" t="s">
        <v>271</v>
      </c>
      <c r="BD27" s="497"/>
      <c r="BE27" s="378" t="s">
        <v>245</v>
      </c>
      <c r="BF27" s="117">
        <v>200</v>
      </c>
      <c r="BG27" s="378">
        <v>12</v>
      </c>
      <c r="BH27" s="378" t="str">
        <f>COMPLEX(0.32,0.1781)</f>
        <v>0,32+0,1781i</v>
      </c>
      <c r="BI27" s="117" t="str">
        <f>COMPLEX(0.63,0.507)</f>
        <v>0,63+0,507i</v>
      </c>
      <c r="BJ27" s="378" t="str">
        <f t="shared" si="4"/>
        <v>0,01088+0,0060554i</v>
      </c>
      <c r="BK27" s="378" t="str">
        <f t="shared" si="5"/>
        <v>0,02142+0,017238i</v>
      </c>
      <c r="BL27" s="374" t="str">
        <f>IMSUM(BJ27,$BJ$28,BK27,$BK$28)</f>
        <v>0,034225+0,02640145i</v>
      </c>
      <c r="BM27" s="393">
        <f t="shared" si="12"/>
        <v>4.3224844558453879E-2</v>
      </c>
      <c r="BN27" s="378">
        <f t="shared" si="13"/>
        <v>2400</v>
      </c>
      <c r="BO27" s="384" t="str">
        <f t="shared" si="19"/>
        <v>Sim</v>
      </c>
    </row>
    <row r="28" spans="2:73" ht="13.5" thickBot="1">
      <c r="B28" s="439"/>
      <c r="C28" s="167" t="s">
        <v>272</v>
      </c>
      <c r="D28" s="448"/>
      <c r="E28" s="141">
        <f>SUM(E24:E27)</f>
        <v>442.94029999999998</v>
      </c>
      <c r="F28" s="448"/>
      <c r="G28" s="153">
        <f>SUM(G24:G27)</f>
        <v>723.63243191831816</v>
      </c>
      <c r="H28" s="129" t="s">
        <v>319</v>
      </c>
      <c r="I28" s="126">
        <v>521</v>
      </c>
      <c r="J28" s="126">
        <v>0.79</v>
      </c>
      <c r="K28" s="126">
        <v>1</v>
      </c>
      <c r="L28" s="126">
        <f>I28*J28*K28*2</f>
        <v>823.18000000000006</v>
      </c>
      <c r="M28" s="129" t="s">
        <v>332</v>
      </c>
      <c r="N28" s="451" t="s">
        <v>336</v>
      </c>
      <c r="O28" s="452"/>
      <c r="P28" s="129">
        <v>800</v>
      </c>
      <c r="Q28" s="145" t="str">
        <f t="shared" si="6"/>
        <v>Fixo</v>
      </c>
      <c r="R28" s="146" t="s">
        <v>238</v>
      </c>
      <c r="S28" s="216">
        <v>50</v>
      </c>
      <c r="T28" s="156">
        <f t="shared" si="7"/>
        <v>1.0999999999999999E-2</v>
      </c>
      <c r="U28" s="138">
        <v>7</v>
      </c>
      <c r="V28" s="145" t="str">
        <f t="shared" si="1"/>
        <v>2x3#185(185)T95</v>
      </c>
      <c r="W28" s="126" t="str">
        <f>COMPLEX(0.12/2,0.1381/2)</f>
        <v>0,06+0,06905i</v>
      </c>
      <c r="X28" s="144" t="str">
        <f>COMPLEX(0.81/2,1.0048/2)</f>
        <v>0,405+0,5024i</v>
      </c>
      <c r="Y28" s="144" t="str">
        <f t="shared" si="8"/>
        <v>0,00066+0,00075955i</v>
      </c>
      <c r="Z28" s="144">
        <f t="shared" si="9"/>
        <v>0.33189999999999997</v>
      </c>
      <c r="AA28" s="157" t="s">
        <v>108</v>
      </c>
      <c r="AB28" s="214">
        <f>ROUND(((R77*IMABS(Y28)*SQRT(3))/$D$15)*100,4)</f>
        <v>0.2137</v>
      </c>
      <c r="AC28" s="214" t="s">
        <v>108</v>
      </c>
      <c r="BA28" s="439"/>
      <c r="BB28" s="361"/>
      <c r="BC28" s="167" t="s">
        <v>272</v>
      </c>
      <c r="BD28" s="496"/>
      <c r="BE28" s="385" t="s">
        <v>238</v>
      </c>
      <c r="BF28" s="117">
        <v>800</v>
      </c>
      <c r="BG28" s="379">
        <v>12</v>
      </c>
      <c r="BH28" s="379" t="str">
        <f>COMPLEX(0.12/2,0.1381/2)</f>
        <v>0,06+0,06905i</v>
      </c>
      <c r="BI28" s="376" t="str">
        <f>COMPLEX((0.23/2),(0.427/2))</f>
        <v>0,115+0,2135i</v>
      </c>
      <c r="BJ28" s="379" t="str">
        <f t="shared" si="4"/>
        <v>0,00066+0,00075955i</v>
      </c>
      <c r="BK28" s="379" t="str">
        <f t="shared" si="5"/>
        <v>0,001265+0,0023485i</v>
      </c>
      <c r="BL28" s="376" t="str">
        <f>IMSUM(BJ28,BK28)</f>
        <v>0,001925+0,00310805i</v>
      </c>
      <c r="BM28" s="391">
        <f t="shared" si="12"/>
        <v>3.655899315148052E-3</v>
      </c>
      <c r="BN28" s="379">
        <f t="shared" si="13"/>
        <v>9600</v>
      </c>
      <c r="BO28" s="387" t="str">
        <f t="shared" si="19"/>
        <v>Sim</v>
      </c>
    </row>
    <row r="29" spans="2:73">
      <c r="B29" s="245" t="s">
        <v>273</v>
      </c>
      <c r="C29" s="173" t="s">
        <v>277</v>
      </c>
      <c r="D29" s="479">
        <v>220</v>
      </c>
      <c r="E29" s="174">
        <v>30</v>
      </c>
      <c r="F29" s="479">
        <v>0.9</v>
      </c>
      <c r="G29" s="196">
        <f>(E29/(SQRT(3)*$D$29*$F$29))*1000</f>
        <v>87.477313513579645</v>
      </c>
      <c r="H29" s="197">
        <v>25</v>
      </c>
      <c r="I29" s="197">
        <v>131</v>
      </c>
      <c r="J29" s="197">
        <v>0.79</v>
      </c>
      <c r="K29" s="197">
        <v>1</v>
      </c>
      <c r="L29" s="197">
        <f t="shared" si="16"/>
        <v>103.49000000000001</v>
      </c>
      <c r="M29" s="177" t="s">
        <v>333</v>
      </c>
      <c r="N29" s="444" t="s">
        <v>338</v>
      </c>
      <c r="O29" s="445"/>
      <c r="P29" s="177">
        <v>100</v>
      </c>
      <c r="Q29" s="178" t="str">
        <f t="shared" si="6"/>
        <v>Fixo</v>
      </c>
      <c r="R29" s="177" t="s">
        <v>249</v>
      </c>
      <c r="S29" s="178">
        <v>25</v>
      </c>
      <c r="T29" s="175">
        <f t="shared" si="7"/>
        <v>0.02</v>
      </c>
      <c r="U29" s="183">
        <v>25</v>
      </c>
      <c r="V29" s="178" t="str">
        <f t="shared" si="1"/>
        <v>2#25(25)T16</v>
      </c>
      <c r="W29" s="197" t="str">
        <f>COMPLEX(0.87,0.2081)</f>
        <v>0,87+0,2081i</v>
      </c>
      <c r="X29" s="230" t="str">
        <f>COMPLEX(5.01,1.2848)</f>
        <v>5,01+1,2848i</v>
      </c>
      <c r="Y29" s="176" t="str">
        <f t="shared" si="8"/>
        <v>0,0174+0,004162i</v>
      </c>
      <c r="Z29" s="248">
        <f>ROUND(((G29*IMABS(Y29))/$D$15)*100,4)</f>
        <v>0.41189999999999999</v>
      </c>
      <c r="AA29" s="176">
        <f>Z29+$Z$31</f>
        <v>0.66480000000000006</v>
      </c>
      <c r="AB29" s="161" t="s">
        <v>108</v>
      </c>
      <c r="AC29" s="161" t="s">
        <v>108</v>
      </c>
      <c r="BA29" s="245" t="s">
        <v>273</v>
      </c>
      <c r="BB29" s="245"/>
      <c r="BC29" s="173" t="s">
        <v>277</v>
      </c>
      <c r="BD29" s="489">
        <v>127</v>
      </c>
      <c r="BE29" s="174" t="s">
        <v>249</v>
      </c>
      <c r="BF29" s="174">
        <v>100</v>
      </c>
      <c r="BG29" s="388">
        <v>12</v>
      </c>
      <c r="BH29" s="394" t="str">
        <f>COMPLEX(0.87,0.2081)</f>
        <v>0,87+0,2081i</v>
      </c>
      <c r="BI29" s="374" t="str">
        <f>COMPLEX(1.38,0.567)</f>
        <v>1,38+0,567i</v>
      </c>
      <c r="BJ29" s="388" t="str">
        <f t="shared" si="4"/>
        <v>0,0174+0,004162i</v>
      </c>
      <c r="BK29" s="388" t="str">
        <f t="shared" si="5"/>
        <v>0,0276+0,01134i</v>
      </c>
      <c r="BL29" s="374" t="str">
        <f>IMSUM(BJ29,$BJ$31,$BK$31,BK29)</f>
        <v>0,05925+0,0257785i</v>
      </c>
      <c r="BM29" s="389">
        <f t="shared" si="12"/>
        <v>6.4614963918971591E-2</v>
      </c>
      <c r="BN29" s="388">
        <f t="shared" si="13"/>
        <v>1200</v>
      </c>
      <c r="BO29" s="390" t="str">
        <f>IF((BM29*BN29)&lt;=$BD$29,"Sim","Não")</f>
        <v>Sim</v>
      </c>
    </row>
    <row r="30" spans="2:73">
      <c r="B30" s="443" t="s">
        <v>274</v>
      </c>
      <c r="C30" s="180" t="s">
        <v>276</v>
      </c>
      <c r="D30" s="480"/>
      <c r="E30" s="181">
        <v>30</v>
      </c>
      <c r="F30" s="480"/>
      <c r="G30" s="182">
        <f>(E30/(SQRT(3)*$D$29*$F$29))*1000</f>
        <v>87.477313513579645</v>
      </c>
      <c r="H30" s="183">
        <v>25</v>
      </c>
      <c r="I30" s="183">
        <v>131</v>
      </c>
      <c r="J30" s="183">
        <v>0.79</v>
      </c>
      <c r="K30" s="183">
        <v>1</v>
      </c>
      <c r="L30" s="183">
        <f t="shared" si="16"/>
        <v>103.49000000000001</v>
      </c>
      <c r="M30" s="184" t="s">
        <v>333</v>
      </c>
      <c r="N30" s="484" t="s">
        <v>337</v>
      </c>
      <c r="O30" s="485"/>
      <c r="P30" s="184">
        <v>100</v>
      </c>
      <c r="Q30" s="184" t="str">
        <f t="shared" si="6"/>
        <v>Fixo</v>
      </c>
      <c r="R30" s="184" t="s">
        <v>249</v>
      </c>
      <c r="S30" s="184">
        <v>25</v>
      </c>
      <c r="T30" s="182">
        <f t="shared" si="7"/>
        <v>1.2999999999999999E-2</v>
      </c>
      <c r="U30" s="183">
        <v>10</v>
      </c>
      <c r="V30" s="184" t="str">
        <f t="shared" si="1"/>
        <v>2#25(25)T16</v>
      </c>
      <c r="W30" s="183" t="str">
        <f>COMPLEX(0.87,0.2081)</f>
        <v>0,87+0,2081i</v>
      </c>
      <c r="X30" s="126" t="str">
        <f>COMPLEX(5.01,1.2848)</f>
        <v>5,01+1,2848i</v>
      </c>
      <c r="Y30" s="183" t="str">
        <f t="shared" si="8"/>
        <v>0,01131+0,0027053i</v>
      </c>
      <c r="Z30" s="126">
        <f t="shared" ref="Z30:Z31" si="21">ROUND(((G30*IMABS(Y30))/$D$15)*100,4)</f>
        <v>0.26769999999999999</v>
      </c>
      <c r="AA30" s="176">
        <f>Z30+$Z$31</f>
        <v>0.52059999999999995</v>
      </c>
      <c r="AB30" s="161" t="s">
        <v>108</v>
      </c>
      <c r="AC30" s="161" t="s">
        <v>108</v>
      </c>
      <c r="BA30" s="443" t="s">
        <v>274</v>
      </c>
      <c r="BB30" s="368"/>
      <c r="BC30" s="180" t="s">
        <v>276</v>
      </c>
      <c r="BD30" s="490"/>
      <c r="BE30" s="181" t="s">
        <v>249</v>
      </c>
      <c r="BF30" s="181">
        <v>100</v>
      </c>
      <c r="BG30" s="378">
        <v>12</v>
      </c>
      <c r="BH30" s="181" t="str">
        <f>COMPLEX(0.87,0.2081)</f>
        <v>0,87+0,2081i</v>
      </c>
      <c r="BI30" s="117" t="str">
        <f>COMPLEX(1.38,0.567)</f>
        <v>1,38+0,567i</v>
      </c>
      <c r="BJ30" s="378" t="str">
        <f t="shared" si="4"/>
        <v>0,01131+0,0027053i</v>
      </c>
      <c r="BK30" s="378" t="str">
        <f t="shared" si="5"/>
        <v>0,01794+0,007371i</v>
      </c>
      <c r="BL30" s="374" t="str">
        <f>IMSUM(BJ30,$BJ$31,$BK$31,BK30)</f>
        <v>0,0435+0,0203528i</v>
      </c>
      <c r="BM30" s="393">
        <f t="shared" si="12"/>
        <v>4.8025893722449343E-2</v>
      </c>
      <c r="BN30" s="378">
        <f t="shared" si="13"/>
        <v>1200</v>
      </c>
      <c r="BO30" s="384" t="str">
        <f t="shared" ref="BO30:BO31" si="22">IF((BM30*BN30)&lt;=$BD$29,"Sim","Não")</f>
        <v>Sim</v>
      </c>
    </row>
    <row r="31" spans="2:73" ht="13.5" thickBot="1">
      <c r="B31" s="436"/>
      <c r="C31" s="186" t="s">
        <v>275</v>
      </c>
      <c r="D31" s="481"/>
      <c r="E31" s="187">
        <f>SUM(E29:E30)</f>
        <v>60</v>
      </c>
      <c r="F31" s="481"/>
      <c r="G31" s="188">
        <f>SUM(G29:G30)</f>
        <v>174.95462702715929</v>
      </c>
      <c r="H31" s="189">
        <v>70</v>
      </c>
      <c r="I31" s="189">
        <v>281</v>
      </c>
      <c r="J31" s="190">
        <v>0.79</v>
      </c>
      <c r="K31" s="190">
        <v>1</v>
      </c>
      <c r="L31" s="190">
        <f t="shared" si="16"/>
        <v>221.99</v>
      </c>
      <c r="M31" s="191" t="s">
        <v>333</v>
      </c>
      <c r="N31" s="482" t="s">
        <v>338</v>
      </c>
      <c r="O31" s="483"/>
      <c r="P31" s="189">
        <v>200</v>
      </c>
      <c r="Q31" s="191" t="str">
        <f t="shared" si="6"/>
        <v>Fixo</v>
      </c>
      <c r="R31" s="191" t="s">
        <v>245</v>
      </c>
      <c r="S31" s="191">
        <v>50</v>
      </c>
      <c r="T31" s="188">
        <f t="shared" si="7"/>
        <v>1.4999999999999999E-2</v>
      </c>
      <c r="U31" s="198">
        <v>15</v>
      </c>
      <c r="V31" s="191" t="str">
        <f t="shared" si="1"/>
        <v>2#70(70)T35</v>
      </c>
      <c r="W31" s="190" t="str">
        <f>COMPLEX(0.32,0.1781)</f>
        <v>0,32+0,1781i</v>
      </c>
      <c r="X31" s="144" t="str">
        <f>COMPLEX(2.21,1.1648)</f>
        <v>2,21+1,1648i</v>
      </c>
      <c r="Y31" s="190" t="str">
        <f t="shared" si="8"/>
        <v>0,0048+0,0026715i</v>
      </c>
      <c r="Z31" s="246">
        <f t="shared" si="21"/>
        <v>0.25290000000000001</v>
      </c>
      <c r="AA31" s="192" t="s">
        <v>108</v>
      </c>
      <c r="AB31" s="162" t="s">
        <v>108</v>
      </c>
      <c r="AC31" s="162" t="s">
        <v>108</v>
      </c>
      <c r="BA31" s="436"/>
      <c r="BB31" s="364"/>
      <c r="BC31" s="186" t="s">
        <v>275</v>
      </c>
      <c r="BD31" s="491"/>
      <c r="BE31" s="395" t="s">
        <v>245</v>
      </c>
      <c r="BF31" s="396">
        <v>200</v>
      </c>
      <c r="BG31" s="379">
        <v>12</v>
      </c>
      <c r="BH31" s="395" t="str">
        <f>COMPLEX(0.32,0.1781)</f>
        <v>0,32+0,1781i</v>
      </c>
      <c r="BI31" s="376" t="str">
        <f>COMPLEX(0.63,0.507)</f>
        <v>0,63+0,507i</v>
      </c>
      <c r="BJ31" s="379" t="str">
        <f t="shared" si="4"/>
        <v>0,0048+0,0026715i</v>
      </c>
      <c r="BK31" s="379" t="str">
        <f t="shared" si="5"/>
        <v>0,00945+0,007605i</v>
      </c>
      <c r="BL31" s="376" t="str">
        <f>IMSUM(BJ31,BK31)</f>
        <v>0,01425+0,0102765i</v>
      </c>
      <c r="BM31" s="391">
        <f t="shared" si="12"/>
        <v>1.7568976983592412E-2</v>
      </c>
      <c r="BN31" s="379">
        <f t="shared" si="13"/>
        <v>2400</v>
      </c>
      <c r="BO31" s="387" t="str">
        <f t="shared" si="22"/>
        <v>Sim</v>
      </c>
    </row>
    <row r="32" spans="2:73">
      <c r="B32" s="442" t="s">
        <v>278</v>
      </c>
      <c r="C32" s="168" t="s">
        <v>279</v>
      </c>
      <c r="D32" s="453">
        <v>380</v>
      </c>
      <c r="E32" s="147">
        <v>20</v>
      </c>
      <c r="F32" s="453">
        <v>0.90500000000000003</v>
      </c>
      <c r="G32" s="135">
        <f>(E32/(SQRT(3)*$D$15*$F$32))*1000</f>
        <v>33.576636765898563</v>
      </c>
      <c r="H32" s="134">
        <v>6</v>
      </c>
      <c r="I32" s="134">
        <v>59</v>
      </c>
      <c r="J32" s="134">
        <v>0.79</v>
      </c>
      <c r="K32" s="134">
        <v>1</v>
      </c>
      <c r="L32" s="134">
        <f t="shared" si="16"/>
        <v>46.61</v>
      </c>
      <c r="M32" s="129" t="s">
        <v>332</v>
      </c>
      <c r="N32" s="454" t="s">
        <v>335</v>
      </c>
      <c r="O32" s="455"/>
      <c r="P32" s="137">
        <v>40</v>
      </c>
      <c r="Q32" s="136" t="str">
        <f t="shared" si="6"/>
        <v>Fixo</v>
      </c>
      <c r="R32" s="136" t="s">
        <v>310</v>
      </c>
      <c r="S32" s="136">
        <v>20</v>
      </c>
      <c r="T32" s="135">
        <f t="shared" si="7"/>
        <v>2.1999999999999999E-2</v>
      </c>
      <c r="U32" s="134">
        <v>29</v>
      </c>
      <c r="V32" s="136" t="str">
        <f t="shared" si="1"/>
        <v>3#6(6)T6</v>
      </c>
      <c r="W32" s="134" t="str">
        <f>COMPLEX(3.69,0.2581)</f>
        <v>3,69+0,2581i</v>
      </c>
      <c r="X32" s="230" t="str">
        <f>COMPLEX(14.76,1.4248)</f>
        <v>14,76+1,4248i</v>
      </c>
      <c r="Y32" s="134" t="str">
        <f t="shared" si="8"/>
        <v>0,08118+0,0056782i</v>
      </c>
      <c r="Z32" s="248">
        <f t="shared" si="9"/>
        <v>1.2454000000000001</v>
      </c>
      <c r="AA32" s="134">
        <f>Z32+$Z$37</f>
        <v>1.5651999999999999</v>
      </c>
      <c r="AB32" s="163" t="s">
        <v>108</v>
      </c>
      <c r="AC32" s="163" t="s">
        <v>108</v>
      </c>
      <c r="BA32" s="442" t="s">
        <v>278</v>
      </c>
      <c r="BB32" s="359"/>
      <c r="BC32" s="168" t="s">
        <v>279</v>
      </c>
      <c r="BD32" s="495">
        <v>220</v>
      </c>
      <c r="BE32" s="388" t="s">
        <v>310</v>
      </c>
      <c r="BF32" s="374">
        <v>40</v>
      </c>
      <c r="BG32" s="388">
        <v>12</v>
      </c>
      <c r="BH32" s="388" t="str">
        <f>COMPLEX(3.69,0.2581)</f>
        <v>3,69+0,2581i</v>
      </c>
      <c r="BI32" s="374" t="str">
        <f>COMPLEX(3.69,0.647)</f>
        <v>3,69+0,647i</v>
      </c>
      <c r="BJ32" s="388" t="str">
        <f t="shared" si="4"/>
        <v>0,08118+0,0056782i</v>
      </c>
      <c r="BK32" s="388" t="str">
        <f t="shared" si="5"/>
        <v>0,08118+0,014234i</v>
      </c>
      <c r="BL32" s="374" t="str">
        <f>IMSUM(BJ32,$BJ$37,$BK$37,BK32)</f>
        <v>0,16533+0,0257983i</v>
      </c>
      <c r="BM32" s="389">
        <f t="shared" si="12"/>
        <v>0.16733069408476739</v>
      </c>
      <c r="BN32" s="388">
        <f t="shared" si="13"/>
        <v>480</v>
      </c>
      <c r="BO32" s="390" t="str">
        <f>IF((BM32*BN32)&lt;=$BD$32,"Sim","Não")</f>
        <v>Sim</v>
      </c>
    </row>
    <row r="33" spans="2:67">
      <c r="B33" s="438"/>
      <c r="C33" s="166" t="s">
        <v>280</v>
      </c>
      <c r="D33" s="447"/>
      <c r="E33" s="117">
        <v>28.07</v>
      </c>
      <c r="F33" s="447"/>
      <c r="G33" s="122">
        <f>(E33/(SQRT(3)*$D$15*$F$32))*1000</f>
        <v>47.124809700938627</v>
      </c>
      <c r="H33" s="126">
        <v>10</v>
      </c>
      <c r="I33" s="126">
        <v>81</v>
      </c>
      <c r="J33" s="126">
        <v>0.79</v>
      </c>
      <c r="K33" s="126">
        <v>1</v>
      </c>
      <c r="L33" s="126">
        <f t="shared" si="16"/>
        <v>63.99</v>
      </c>
      <c r="M33" s="129" t="s">
        <v>332</v>
      </c>
      <c r="N33" s="449" t="s">
        <v>335</v>
      </c>
      <c r="O33" s="450"/>
      <c r="P33" s="129">
        <v>50</v>
      </c>
      <c r="Q33" s="115" t="str">
        <f t="shared" si="6"/>
        <v>Fixo</v>
      </c>
      <c r="R33" s="115" t="s">
        <v>310</v>
      </c>
      <c r="S33" s="115">
        <v>20</v>
      </c>
      <c r="T33" s="122">
        <f t="shared" si="7"/>
        <v>1.4E-2</v>
      </c>
      <c r="U33" s="126">
        <v>12</v>
      </c>
      <c r="V33" s="115" t="str">
        <f t="shared" si="1"/>
        <v>3#10(10)T10</v>
      </c>
      <c r="W33" s="126" t="str">
        <f>COMPLEX(2.19,0.2481)</f>
        <v>2,19+0,2481i</v>
      </c>
      <c r="X33" s="126" t="str">
        <f>COMPLEX(8.76,1.3848)</f>
        <v>8,76+1,3848i</v>
      </c>
      <c r="Y33" s="126" t="str">
        <f t="shared" si="8"/>
        <v>0,03066+0,0034734i</v>
      </c>
      <c r="Z33" s="126">
        <f t="shared" si="9"/>
        <v>0.66279999999999994</v>
      </c>
      <c r="AA33" s="134">
        <f>Z33+$Z$37</f>
        <v>0.98259999999999992</v>
      </c>
      <c r="AB33" s="161" t="s">
        <v>108</v>
      </c>
      <c r="AC33" s="161" t="s">
        <v>108</v>
      </c>
      <c r="BA33" s="438"/>
      <c r="BB33" s="360"/>
      <c r="BC33" s="166" t="s">
        <v>280</v>
      </c>
      <c r="BD33" s="497"/>
      <c r="BE33" s="378" t="s">
        <v>310</v>
      </c>
      <c r="BF33" s="117">
        <v>50</v>
      </c>
      <c r="BG33" s="378">
        <v>12</v>
      </c>
      <c r="BH33" s="378" t="str">
        <f>COMPLEX(2.19,0.2481)</f>
        <v>2,19+0,2481i</v>
      </c>
      <c r="BI33" s="117" t="str">
        <f>COMPLEX(2.19,0.627)</f>
        <v>2,19+0,627i</v>
      </c>
      <c r="BJ33" s="378" t="str">
        <f t="shared" si="4"/>
        <v>0,03066+0,0034734i</v>
      </c>
      <c r="BK33" s="378" t="str">
        <f t="shared" si="5"/>
        <v>0,03066+0,008778i</v>
      </c>
      <c r="BL33" s="374" t="str">
        <f t="shared" ref="BL33:BL36" si="23">IMSUM(BJ33,$BJ$37,$BK$37,BK33)</f>
        <v>0,06429+0,0181375i</v>
      </c>
      <c r="BM33" s="393">
        <f t="shared" si="12"/>
        <v>6.6799498547893299E-2</v>
      </c>
      <c r="BN33" s="378">
        <f t="shared" si="13"/>
        <v>600</v>
      </c>
      <c r="BO33" s="384" t="str">
        <f t="shared" ref="BO33:BO37" si="24">IF((BM33*BN33)&lt;=$BD$32,"Sim","Não")</f>
        <v>Sim</v>
      </c>
    </row>
    <row r="34" spans="2:67">
      <c r="B34" s="438"/>
      <c r="C34" s="166" t="s">
        <v>281</v>
      </c>
      <c r="D34" s="447"/>
      <c r="E34" s="117">
        <v>21.053000000000001</v>
      </c>
      <c r="F34" s="447"/>
      <c r="G34" s="140">
        <f>(E34/(SQRT(3)*$D$15*$F$32))*1000</f>
        <v>35.344446691623119</v>
      </c>
      <c r="H34" s="127">
        <v>6</v>
      </c>
      <c r="I34" s="127">
        <v>59</v>
      </c>
      <c r="J34" s="127">
        <v>0.79</v>
      </c>
      <c r="K34" s="127">
        <v>1</v>
      </c>
      <c r="L34" s="127">
        <f t="shared" si="16"/>
        <v>46.61</v>
      </c>
      <c r="M34" s="129" t="s">
        <v>332</v>
      </c>
      <c r="N34" s="449" t="s">
        <v>335</v>
      </c>
      <c r="O34" s="450"/>
      <c r="P34" s="129">
        <v>40</v>
      </c>
      <c r="Q34" s="129" t="str">
        <f t="shared" si="6"/>
        <v>Fixo</v>
      </c>
      <c r="R34" s="129" t="s">
        <v>310</v>
      </c>
      <c r="S34" s="129">
        <v>20</v>
      </c>
      <c r="T34" s="140">
        <f t="shared" si="7"/>
        <v>2.5000000000000001E-2</v>
      </c>
      <c r="U34" s="127">
        <v>37</v>
      </c>
      <c r="V34" s="129" t="str">
        <f t="shared" si="1"/>
        <v>3#6(6)T6</v>
      </c>
      <c r="W34" s="127" t="str">
        <f>COMPLEX(3.69,0.2581)</f>
        <v>3,69+0,2581i</v>
      </c>
      <c r="X34" s="127" t="str">
        <f>COMPLEX(14.76,1.4248)</f>
        <v>14,76+1,4248i</v>
      </c>
      <c r="Y34" s="127" t="str">
        <f t="shared" si="8"/>
        <v>0,09225+0,0064525i</v>
      </c>
      <c r="Z34" s="127">
        <f t="shared" si="9"/>
        <v>1.4898</v>
      </c>
      <c r="AA34" s="247">
        <f t="shared" ref="AA34:AA35" si="25">Z34+$Z$37</f>
        <v>1.8096000000000001</v>
      </c>
      <c r="AB34" s="161" t="s">
        <v>108</v>
      </c>
      <c r="AC34" s="161" t="s">
        <v>108</v>
      </c>
      <c r="BA34" s="438"/>
      <c r="BB34" s="360"/>
      <c r="BC34" s="166" t="s">
        <v>281</v>
      </c>
      <c r="BD34" s="497"/>
      <c r="BE34" s="378" t="s">
        <v>310</v>
      </c>
      <c r="BF34" s="117">
        <v>40</v>
      </c>
      <c r="BG34" s="378">
        <v>12</v>
      </c>
      <c r="BH34" s="378" t="str">
        <f>COMPLEX(3.69,0.2581)</f>
        <v>3,69+0,2581i</v>
      </c>
      <c r="BI34" s="117" t="str">
        <f>COMPLEX(3.69,0.647)</f>
        <v>3,69+0,647i</v>
      </c>
      <c r="BJ34" s="117" t="str">
        <f t="shared" si="4"/>
        <v>0,09225+0,0064525i</v>
      </c>
      <c r="BK34" s="117" t="str">
        <f t="shared" si="5"/>
        <v>0,09225+0,016175i</v>
      </c>
      <c r="BL34" s="374" t="str">
        <f t="shared" si="23"/>
        <v>0,18747+0,0285136i</v>
      </c>
      <c r="BM34" s="383">
        <f t="shared" si="12"/>
        <v>0.18962601689894767</v>
      </c>
      <c r="BN34" s="117">
        <f t="shared" si="13"/>
        <v>480</v>
      </c>
      <c r="BO34" s="384" t="str">
        <f t="shared" si="24"/>
        <v>Sim</v>
      </c>
    </row>
    <row r="35" spans="2:67">
      <c r="B35" s="438"/>
      <c r="C35" s="166" t="s">
        <v>283</v>
      </c>
      <c r="D35" s="447"/>
      <c r="E35" s="117">
        <v>8.7129999999999992</v>
      </c>
      <c r="F35" s="447"/>
      <c r="G35" s="140">
        <f>(E35/(SQRT(3)*$D$15*$F$32))*1000</f>
        <v>14.627661807063706</v>
      </c>
      <c r="H35" s="127">
        <v>6</v>
      </c>
      <c r="I35" s="127">
        <v>59</v>
      </c>
      <c r="J35" s="127">
        <v>0.79</v>
      </c>
      <c r="K35" s="127">
        <v>1</v>
      </c>
      <c r="L35" s="127">
        <f t="shared" si="16"/>
        <v>46.61</v>
      </c>
      <c r="M35" s="129" t="s">
        <v>332</v>
      </c>
      <c r="N35" s="449" t="s">
        <v>335</v>
      </c>
      <c r="O35" s="450"/>
      <c r="P35" s="129">
        <v>40</v>
      </c>
      <c r="Q35" s="129" t="str">
        <f t="shared" si="6"/>
        <v>Fixo</v>
      </c>
      <c r="R35" s="129" t="s">
        <v>249</v>
      </c>
      <c r="S35" s="129">
        <v>25</v>
      </c>
      <c r="T35" s="140">
        <f t="shared" si="7"/>
        <v>1.7999999999999999E-2</v>
      </c>
      <c r="U35" s="127">
        <v>21</v>
      </c>
      <c r="V35" s="129" t="str">
        <f t="shared" si="1"/>
        <v>3#6(6)T6</v>
      </c>
      <c r="W35" s="127" t="str">
        <f>COMPLEX(3.69,0.2581)</f>
        <v>3,69+0,2581i</v>
      </c>
      <c r="X35" s="127" t="str">
        <f>COMPLEX(14.76,1.4248)</f>
        <v>14,76+1,4248i</v>
      </c>
      <c r="Y35" s="127" t="str">
        <f t="shared" si="8"/>
        <v>0,06642+0,0046458i</v>
      </c>
      <c r="Z35" s="127">
        <f t="shared" si="9"/>
        <v>0.44390000000000002</v>
      </c>
      <c r="AA35" s="247">
        <f t="shared" si="25"/>
        <v>0.76370000000000005</v>
      </c>
      <c r="AB35" s="127">
        <f>ROUND(((R75*IMABS(Y35)*SQRT(3))/$D$15)*100,4)</f>
        <v>3.8090000000000002</v>
      </c>
      <c r="AC35" s="127">
        <f>AB35+AB37</f>
        <v>4.1748000000000003</v>
      </c>
      <c r="BA35" s="438"/>
      <c r="BB35" s="360"/>
      <c r="BC35" s="166" t="s">
        <v>283</v>
      </c>
      <c r="BD35" s="497"/>
      <c r="BE35" s="181" t="s">
        <v>249</v>
      </c>
      <c r="BF35" s="117">
        <v>40</v>
      </c>
      <c r="BG35" s="117">
        <v>12</v>
      </c>
      <c r="BH35" s="117" t="str">
        <f t="shared" ref="BH35" si="26">COMPLEX(3.69,0.2581)</f>
        <v>3,69+0,2581i</v>
      </c>
      <c r="BI35" s="117" t="str">
        <f>COMPLEX(3.69,0.647)</f>
        <v>3,69+0,647i</v>
      </c>
      <c r="BJ35" s="117" t="str">
        <f t="shared" si="4"/>
        <v>0,06642+0,0046458i</v>
      </c>
      <c r="BK35" s="117" t="str">
        <f t="shared" si="5"/>
        <v>0,06642+0,011646i</v>
      </c>
      <c r="BL35" s="374" t="str">
        <f t="shared" si="23"/>
        <v>0,13581+0,0221779i</v>
      </c>
      <c r="BM35" s="383">
        <f t="shared" si="12"/>
        <v>0.13760892176167214</v>
      </c>
      <c r="BN35" s="117">
        <f>BG35*BF35</f>
        <v>480</v>
      </c>
      <c r="BO35" s="384" t="str">
        <f t="shared" si="24"/>
        <v>Sim</v>
      </c>
    </row>
    <row r="36" spans="2:67">
      <c r="B36" s="438"/>
      <c r="C36" s="166" t="s">
        <v>282</v>
      </c>
      <c r="D36" s="447"/>
      <c r="E36" s="117">
        <v>164.85499999999999</v>
      </c>
      <c r="F36" s="447"/>
      <c r="G36" s="140">
        <f>(E36/(SQRT(3)*$D$15*$F$32))*1000</f>
        <v>276.76382270211036</v>
      </c>
      <c r="H36" s="127">
        <v>120</v>
      </c>
      <c r="I36" s="126">
        <v>396</v>
      </c>
      <c r="J36" s="126">
        <v>0.79</v>
      </c>
      <c r="K36" s="126">
        <v>1</v>
      </c>
      <c r="L36" s="126">
        <f t="shared" si="16"/>
        <v>312.84000000000003</v>
      </c>
      <c r="M36" s="129" t="s">
        <v>332</v>
      </c>
      <c r="N36" s="449" t="s">
        <v>335</v>
      </c>
      <c r="O36" s="450"/>
      <c r="P36" s="126">
        <v>300</v>
      </c>
      <c r="Q36" s="115" t="str">
        <f t="shared" si="6"/>
        <v>Fixo</v>
      </c>
      <c r="R36" s="115" t="s">
        <v>240</v>
      </c>
      <c r="S36" s="115">
        <v>50</v>
      </c>
      <c r="T36" s="122">
        <f t="shared" si="7"/>
        <v>3.6999999999999998E-2</v>
      </c>
      <c r="U36" s="126">
        <v>61</v>
      </c>
      <c r="V36" s="115" t="str">
        <f t="shared" si="1"/>
        <v>3#120(120)T70</v>
      </c>
      <c r="W36" s="126" t="str">
        <f>COMPLEX(0.18,0.1481)</f>
        <v>0,18+0,1481i</v>
      </c>
      <c r="X36" s="126" t="str">
        <f>COMPLEX(1.14,1.0748)</f>
        <v>1,14+1,0748i</v>
      </c>
      <c r="Y36" s="126" t="str">
        <f t="shared" si="8"/>
        <v>0,00666+0,0054797i</v>
      </c>
      <c r="Z36" s="126">
        <f t="shared" si="9"/>
        <v>1.0880000000000001</v>
      </c>
      <c r="AA36" s="134">
        <f>Z36+$Z$37</f>
        <v>1.4077999999999999</v>
      </c>
      <c r="AB36" s="161" t="s">
        <v>108</v>
      </c>
      <c r="AC36" s="161" t="s">
        <v>108</v>
      </c>
      <c r="BA36" s="438"/>
      <c r="BB36" s="360"/>
      <c r="BC36" s="166" t="s">
        <v>282</v>
      </c>
      <c r="BD36" s="497"/>
      <c r="BE36" s="378" t="s">
        <v>240</v>
      </c>
      <c r="BF36" s="378">
        <v>300</v>
      </c>
      <c r="BG36" s="378">
        <v>12</v>
      </c>
      <c r="BH36" s="378" t="str">
        <f>COMPLEX(0.18,0.1481)</f>
        <v>0,18+0,1481i</v>
      </c>
      <c r="BI36" s="117" t="str">
        <f>COMPLEX(0.32,0.457)</f>
        <v>0,32+0,457i</v>
      </c>
      <c r="BJ36" s="378" t="str">
        <f t="shared" si="4"/>
        <v>0,00666+0,0054797i</v>
      </c>
      <c r="BK36" s="378" t="str">
        <f t="shared" si="5"/>
        <v>0,01184+0,016909i</v>
      </c>
      <c r="BL36" s="374" t="str">
        <f t="shared" si="23"/>
        <v>0,02147+0,0282748i</v>
      </c>
      <c r="BM36" s="393">
        <f t="shared" si="12"/>
        <v>3.5502467731694368E-2</v>
      </c>
      <c r="BN36" s="378">
        <f t="shared" si="13"/>
        <v>3600</v>
      </c>
      <c r="BO36" s="384" t="str">
        <f t="shared" si="24"/>
        <v>Sim</v>
      </c>
    </row>
    <row r="37" spans="2:67" ht="13.5" thickBot="1">
      <c r="B37" s="439"/>
      <c r="C37" s="167" t="s">
        <v>284</v>
      </c>
      <c r="D37" s="448"/>
      <c r="E37" s="141">
        <f>SUM(E32:E36)</f>
        <v>242.69099999999997</v>
      </c>
      <c r="F37" s="448"/>
      <c r="G37" s="153">
        <f>SUM(G32:G36)</f>
        <v>407.43737766763434</v>
      </c>
      <c r="H37" s="154">
        <v>240</v>
      </c>
      <c r="I37" s="154">
        <v>615</v>
      </c>
      <c r="J37" s="144">
        <v>0.79</v>
      </c>
      <c r="K37" s="144">
        <v>1</v>
      </c>
      <c r="L37" s="144">
        <f t="shared" si="16"/>
        <v>485.85</v>
      </c>
      <c r="M37" s="129" t="s">
        <v>332</v>
      </c>
      <c r="N37" s="451" t="s">
        <v>336</v>
      </c>
      <c r="O37" s="452"/>
      <c r="P37" s="154">
        <v>450</v>
      </c>
      <c r="Q37" s="145" t="str">
        <f t="shared" si="6"/>
        <v>Fixo</v>
      </c>
      <c r="R37" s="146" t="s">
        <v>238</v>
      </c>
      <c r="S37" s="216">
        <v>50</v>
      </c>
      <c r="T37" s="156">
        <f t="shared" si="7"/>
        <v>1.0999999999999999E-2</v>
      </c>
      <c r="U37" s="154">
        <v>6</v>
      </c>
      <c r="V37" s="145" t="str">
        <f t="shared" si="1"/>
        <v>3#240(240)T120</v>
      </c>
      <c r="W37" s="144" t="str">
        <f>COMPLEX(0.09,0.1281)</f>
        <v>0,09+0,1281i</v>
      </c>
      <c r="X37" s="144" t="str">
        <f>COMPLEX(0.63,0.9648)</f>
        <v>0,63+0,9648i</v>
      </c>
      <c r="Y37" s="144" t="str">
        <f t="shared" si="8"/>
        <v>0,00099+0,0014091i</v>
      </c>
      <c r="Z37" s="144">
        <f t="shared" si="9"/>
        <v>0.31979999999999997</v>
      </c>
      <c r="AA37" s="157" t="s">
        <v>108</v>
      </c>
      <c r="AB37" s="214">
        <f>ROUND(((R77*IMABS(Y37)*SQRT(3))/$D$15)*100,4)</f>
        <v>0.36580000000000001</v>
      </c>
      <c r="AC37" s="214" t="s">
        <v>108</v>
      </c>
      <c r="BA37" s="439"/>
      <c r="BB37" s="361"/>
      <c r="BC37" s="167" t="s">
        <v>284</v>
      </c>
      <c r="BD37" s="496"/>
      <c r="BE37" s="385" t="s">
        <v>238</v>
      </c>
      <c r="BF37" s="375">
        <v>450</v>
      </c>
      <c r="BG37" s="379">
        <v>12</v>
      </c>
      <c r="BH37" s="379" t="str">
        <f>COMPLEX(0.09,0.1281)</f>
        <v>0,09+0,1281i</v>
      </c>
      <c r="BI37" s="376" t="str">
        <f>COMPLEX(0.18,0.407)</f>
        <v>0,18+0,407i</v>
      </c>
      <c r="BJ37" s="379" t="str">
        <f t="shared" si="4"/>
        <v>0,00099+0,0014091i</v>
      </c>
      <c r="BK37" s="379" t="str">
        <f t="shared" si="5"/>
        <v>0,00198+0,004477i</v>
      </c>
      <c r="BL37" s="376" t="str">
        <f t="shared" si="18"/>
        <v>0,00297+0,0058861i</v>
      </c>
      <c r="BM37" s="391">
        <f t="shared" si="12"/>
        <v>6.5929563330876084E-3</v>
      </c>
      <c r="BN37" s="379">
        <f t="shared" si="13"/>
        <v>5400</v>
      </c>
      <c r="BO37" s="387" t="str">
        <f t="shared" si="24"/>
        <v>Sim</v>
      </c>
    </row>
    <row r="38" spans="2:67">
      <c r="B38" s="442" t="s">
        <v>285</v>
      </c>
      <c r="C38" s="168" t="s">
        <v>286</v>
      </c>
      <c r="D38" s="453">
        <v>380</v>
      </c>
      <c r="E38" s="147">
        <v>63.784999999999997</v>
      </c>
      <c r="F38" s="453">
        <v>0.89</v>
      </c>
      <c r="G38" s="135">
        <f>(E38/(SQRT(3)*$D$15*$F$15))*1000</f>
        <v>108.88908019000675</v>
      </c>
      <c r="H38" s="134">
        <v>25</v>
      </c>
      <c r="I38" s="134">
        <v>146</v>
      </c>
      <c r="J38" s="134">
        <v>0.79</v>
      </c>
      <c r="K38" s="134">
        <v>1</v>
      </c>
      <c r="L38" s="134">
        <f t="shared" si="16"/>
        <v>115.34</v>
      </c>
      <c r="M38" s="151" t="s">
        <v>332</v>
      </c>
      <c r="N38" s="454" t="s">
        <v>335</v>
      </c>
      <c r="O38" s="455"/>
      <c r="P38" s="137">
        <v>110</v>
      </c>
      <c r="Q38" s="136" t="str">
        <f t="shared" si="6"/>
        <v>Eletrônico</v>
      </c>
      <c r="R38" s="136" t="s">
        <v>311</v>
      </c>
      <c r="S38" s="217">
        <v>50</v>
      </c>
      <c r="T38" s="135">
        <f t="shared" si="7"/>
        <v>1.7000000000000001E-2</v>
      </c>
      <c r="U38" s="134">
        <v>18</v>
      </c>
      <c r="V38" s="136" t="str">
        <f t="shared" si="1"/>
        <v>3#25(25)T16</v>
      </c>
      <c r="W38" s="134" t="str">
        <f>COMPLEX(0.87,0.2081)</f>
        <v>0,87+0,2081i</v>
      </c>
      <c r="X38" s="126" t="str">
        <f>COMPLEX(5.01,1.2848)</f>
        <v>5,01+1,2848i</v>
      </c>
      <c r="Y38" s="134" t="str">
        <f t="shared" si="8"/>
        <v>0,01479+0,0035377i</v>
      </c>
      <c r="Z38" s="248">
        <f t="shared" si="9"/>
        <v>0.75480000000000003</v>
      </c>
      <c r="AA38" s="134">
        <f>Z38+$Z$41</f>
        <v>1.0958000000000001</v>
      </c>
      <c r="AB38" s="247">
        <f>ROUND(((R76*IMABS(Y38)*SQRT(3))/$D$15)*100,4)</f>
        <v>1.2122999999999999</v>
      </c>
      <c r="AC38" s="247">
        <f>AB38+AB41</f>
        <v>1.3727</v>
      </c>
      <c r="BA38" s="434" t="s">
        <v>289</v>
      </c>
      <c r="BB38" s="362"/>
      <c r="BC38" s="173" t="s">
        <v>291</v>
      </c>
      <c r="BD38" s="489">
        <v>220</v>
      </c>
      <c r="BE38" s="394" t="s">
        <v>249</v>
      </c>
      <c r="BF38" s="394">
        <v>160</v>
      </c>
      <c r="BG38" s="388">
        <v>12</v>
      </c>
      <c r="BH38" s="394" t="str">
        <f>COMPLEX(0.46,0.1881)</f>
        <v>0,46+0,1881i</v>
      </c>
      <c r="BI38" s="374" t="str">
        <f>COMPLEX(0.87,0.527)</f>
        <v>0,87+0,527i</v>
      </c>
      <c r="BJ38" s="388" t="str">
        <f>IMPRODUCT(BH38,T42)</f>
        <v>0,00598+0,0024453i</v>
      </c>
      <c r="BK38" s="388" t="str">
        <f>IMPRODUCT(BI38,T42)</f>
        <v>0,01131+0,006851i</v>
      </c>
      <c r="BL38" s="374" t="str">
        <f>IMSUM(BJ38,$BJ$40,$BK$40,BK38)</f>
        <v>0,02329+0,0165575i</v>
      </c>
      <c r="BM38" s="389">
        <f>IMABS(BL38)</f>
        <v>2.8575774814517278E-2</v>
      </c>
      <c r="BN38" s="388">
        <f>BG38*BF38</f>
        <v>1920</v>
      </c>
      <c r="BO38" s="390" t="str">
        <f>IF((BM38*BN38)&lt;=$BD$38,"Sim","Não")</f>
        <v>Sim</v>
      </c>
    </row>
    <row r="39" spans="2:67">
      <c r="B39" s="438"/>
      <c r="C39" s="166" t="s">
        <v>287</v>
      </c>
      <c r="D39" s="447"/>
      <c r="E39" s="117">
        <v>40</v>
      </c>
      <c r="F39" s="447"/>
      <c r="G39" s="122">
        <f>(E39/(SQRT(3)*$D$15*$F$15))*1000</f>
        <v>68.285070276715061</v>
      </c>
      <c r="H39" s="126">
        <v>16</v>
      </c>
      <c r="I39" s="126">
        <v>110</v>
      </c>
      <c r="J39" s="126">
        <v>0.79</v>
      </c>
      <c r="K39" s="126">
        <v>1</v>
      </c>
      <c r="L39" s="126">
        <f t="shared" si="16"/>
        <v>86.9</v>
      </c>
      <c r="M39" s="129" t="s">
        <v>332</v>
      </c>
      <c r="N39" s="449" t="s">
        <v>335</v>
      </c>
      <c r="O39" s="450"/>
      <c r="P39" s="129">
        <v>70</v>
      </c>
      <c r="Q39" s="115" t="str">
        <f t="shared" si="6"/>
        <v>Fixo</v>
      </c>
      <c r="R39" s="115" t="s">
        <v>249</v>
      </c>
      <c r="S39" s="115">
        <v>25</v>
      </c>
      <c r="T39" s="122">
        <f t="shared" si="7"/>
        <v>1.4E-2</v>
      </c>
      <c r="U39" s="126">
        <v>12</v>
      </c>
      <c r="V39" s="115" t="str">
        <f t="shared" si="1"/>
        <v>3#16(16)T16</v>
      </c>
      <c r="W39" s="126" t="str">
        <f>COMPLEX(1.38,0.2281)</f>
        <v>1,38+0,2281i</v>
      </c>
      <c r="X39" s="126" t="str">
        <f>COMPLEX(5.52,1.3048)</f>
        <v>5,52+1,3048i</v>
      </c>
      <c r="Y39" s="126" t="str">
        <f t="shared" si="8"/>
        <v>0,01932+0,0031934i</v>
      </c>
      <c r="Z39" s="126">
        <f t="shared" si="9"/>
        <v>0.60950000000000004</v>
      </c>
      <c r="AA39" s="134">
        <f t="shared" ref="AA39:AA40" si="27">Z39+$Z$41</f>
        <v>0.95050000000000012</v>
      </c>
      <c r="AB39" s="161" t="s">
        <v>108</v>
      </c>
      <c r="AC39" s="161" t="s">
        <v>108</v>
      </c>
      <c r="BA39" s="435"/>
      <c r="BB39" s="363"/>
      <c r="BC39" s="180" t="s">
        <v>292</v>
      </c>
      <c r="BD39" s="490"/>
      <c r="BE39" s="181" t="s">
        <v>249</v>
      </c>
      <c r="BF39" s="181">
        <v>125</v>
      </c>
      <c r="BG39" s="378">
        <v>12</v>
      </c>
      <c r="BH39" s="181" t="str">
        <f>COMPLEX(0.63,0.1981)</f>
        <v>0,63+0,1981i</v>
      </c>
      <c r="BI39" s="117" t="str">
        <f>COMPLEX(1.38,0.557)</f>
        <v>1,38+0,557i</v>
      </c>
      <c r="BJ39" s="378" t="str">
        <f>IMPRODUCT(BH39,T43)</f>
        <v>0,00819+0,0025753i</v>
      </c>
      <c r="BK39" s="378" t="str">
        <f>IMPRODUCT(BI39,T43)</f>
        <v>0,01794+0,007241i</v>
      </c>
      <c r="BL39" s="374" t="str">
        <f>IMSUM(BJ39,$BJ$40,$BK$40,BK39)</f>
        <v>0,03213+0,0170775i</v>
      </c>
      <c r="BM39" s="393">
        <f>IMABS(BL39)</f>
        <v>3.6386507200471992E-2</v>
      </c>
      <c r="BN39" s="378">
        <f>BG39*BF39</f>
        <v>1500</v>
      </c>
      <c r="BO39" s="384" t="str">
        <f t="shared" ref="BO39" si="28">IF((BM39*BN39)&lt;=$BD$38,"Sim","Não")</f>
        <v>Sim</v>
      </c>
    </row>
    <row r="40" spans="2:67" ht="13.5" thickBot="1">
      <c r="B40" s="438"/>
      <c r="C40" s="166" t="s">
        <v>288</v>
      </c>
      <c r="D40" s="447"/>
      <c r="E40" s="117">
        <v>114</v>
      </c>
      <c r="F40" s="447"/>
      <c r="G40" s="122">
        <f>(E40/(SQRT(3)*$D$15*$F$15))*1000</f>
        <v>194.61245028863794</v>
      </c>
      <c r="H40" s="126">
        <v>70</v>
      </c>
      <c r="I40" s="126">
        <v>281</v>
      </c>
      <c r="J40" s="126">
        <v>0.79</v>
      </c>
      <c r="K40" s="126">
        <v>1</v>
      </c>
      <c r="L40" s="126">
        <f t="shared" si="16"/>
        <v>221.99</v>
      </c>
      <c r="M40" s="129" t="s">
        <v>332</v>
      </c>
      <c r="N40" s="449" t="s">
        <v>335</v>
      </c>
      <c r="O40" s="450"/>
      <c r="P40" s="129">
        <v>200</v>
      </c>
      <c r="Q40" s="115" t="str">
        <f t="shared" si="6"/>
        <v>Fixo</v>
      </c>
      <c r="R40" s="129" t="s">
        <v>245</v>
      </c>
      <c r="S40" s="129">
        <v>50</v>
      </c>
      <c r="T40" s="122">
        <f t="shared" si="7"/>
        <v>2.7E-2</v>
      </c>
      <c r="U40" s="126">
        <v>40</v>
      </c>
      <c r="V40" s="115" t="str">
        <f t="shared" si="1"/>
        <v>3#70(70)T35</v>
      </c>
      <c r="W40" s="126" t="str">
        <f>COMPLEX(0.32,0.1781)</f>
        <v>0,32+0,1781i</v>
      </c>
      <c r="X40" s="126" t="str">
        <f>COMPLEX(2.21,1.1648)</f>
        <v>2,21+1,1648i</v>
      </c>
      <c r="Y40" s="126" t="str">
        <f t="shared" si="8"/>
        <v>0,00864+0,0048087i</v>
      </c>
      <c r="Z40" s="126">
        <f t="shared" si="9"/>
        <v>0.87709999999999999</v>
      </c>
      <c r="AA40" s="134">
        <f t="shared" si="27"/>
        <v>1.2181</v>
      </c>
      <c r="AB40" s="161" t="s">
        <v>108</v>
      </c>
      <c r="AC40" s="161" t="s">
        <v>108</v>
      </c>
      <c r="BA40" s="436"/>
      <c r="BB40" s="364"/>
      <c r="BC40" s="186" t="s">
        <v>293</v>
      </c>
      <c r="BD40" s="491"/>
      <c r="BE40" s="395" t="s">
        <v>240</v>
      </c>
      <c r="BF40" s="396">
        <v>300</v>
      </c>
      <c r="BG40" s="379">
        <v>12</v>
      </c>
      <c r="BH40" s="395" t="str">
        <f>COMPLEX(0.18,0.1481)</f>
        <v>0,18+0,1481i</v>
      </c>
      <c r="BI40" s="376" t="str">
        <f>COMPLEX(0.32,0.457)</f>
        <v>0,32+0,457i</v>
      </c>
      <c r="BJ40" s="379" t="str">
        <f>IMPRODUCT(BH40,T44)</f>
        <v>0,00216+0,0017772i</v>
      </c>
      <c r="BK40" s="379" t="str">
        <f>IMPRODUCT(BI40,T44)</f>
        <v>0,00384+0,005484i</v>
      </c>
      <c r="BL40" s="379" t="str">
        <f>IMSUM(BJ40,BK40)</f>
        <v>0,006+0,0072612i</v>
      </c>
      <c r="BM40" s="391">
        <f>IMABS(BL40)</f>
        <v>9.4193962354282568E-3</v>
      </c>
      <c r="BN40" s="379">
        <f>BG40*BF40</f>
        <v>3600</v>
      </c>
      <c r="BO40" s="387" t="str">
        <f>IF((BM40*BN40)&lt;=$BD$38,"Sim","Não")</f>
        <v>Sim</v>
      </c>
    </row>
    <row r="41" spans="2:67" ht="13.5" thickBot="1">
      <c r="B41" s="439"/>
      <c r="C41" s="167" t="s">
        <v>290</v>
      </c>
      <c r="D41" s="448"/>
      <c r="E41" s="141">
        <f>SUM(E38:E40)</f>
        <v>217.785</v>
      </c>
      <c r="F41" s="448"/>
      <c r="G41" s="153">
        <f>SUM(G38:G40)</f>
        <v>371.78660075535976</v>
      </c>
      <c r="H41" s="154">
        <v>185</v>
      </c>
      <c r="I41" s="154">
        <v>521</v>
      </c>
      <c r="J41" s="144">
        <v>0.79</v>
      </c>
      <c r="K41" s="144">
        <v>1</v>
      </c>
      <c r="L41" s="144">
        <f t="shared" si="16"/>
        <v>411.59000000000003</v>
      </c>
      <c r="M41" s="152" t="s">
        <v>332</v>
      </c>
      <c r="N41" s="451" t="s">
        <v>336</v>
      </c>
      <c r="O41" s="452"/>
      <c r="P41" s="154">
        <v>380</v>
      </c>
      <c r="Q41" s="145" t="str">
        <f t="shared" si="6"/>
        <v>Eletrônico</v>
      </c>
      <c r="R41" s="145" t="s">
        <v>240</v>
      </c>
      <c r="S41" s="145">
        <v>50</v>
      </c>
      <c r="T41" s="156">
        <f t="shared" si="7"/>
        <v>1.0999999999999999E-2</v>
      </c>
      <c r="U41" s="154">
        <v>6</v>
      </c>
      <c r="V41" s="145" t="str">
        <f t="shared" si="1"/>
        <v>3#185(185)T95</v>
      </c>
      <c r="W41" s="144" t="str">
        <f>COMPLEX(0.12,0.1381)</f>
        <v>0,12+0,1381i</v>
      </c>
      <c r="X41" s="144" t="str">
        <f>COMPLEX(0.81,1.0048)</f>
        <v>0,81+1,0048i</v>
      </c>
      <c r="Y41" s="144" t="str">
        <f t="shared" si="8"/>
        <v>0,00132+0,0015191i</v>
      </c>
      <c r="Z41" s="144">
        <f t="shared" si="9"/>
        <v>0.34100000000000003</v>
      </c>
      <c r="AA41" s="157" t="s">
        <v>108</v>
      </c>
      <c r="AB41" s="214">
        <f>ROUND(((R76*IMABS(Y41)*SQRT(3))/$D$15)*100,4)</f>
        <v>0.16039999999999999</v>
      </c>
      <c r="AC41" s="214" t="s">
        <v>108</v>
      </c>
    </row>
    <row r="42" spans="2:67">
      <c r="B42" s="434" t="s">
        <v>289</v>
      </c>
      <c r="C42" s="173" t="s">
        <v>291</v>
      </c>
      <c r="D42" s="479">
        <v>380</v>
      </c>
      <c r="E42" s="174">
        <v>90.364000000000004</v>
      </c>
      <c r="F42" s="479">
        <v>0.88</v>
      </c>
      <c r="G42" s="175">
        <f>(E42/(SQRT(3)*$D$42*$F$42))*1000</f>
        <v>156.01578865146936</v>
      </c>
      <c r="H42" s="176">
        <v>50</v>
      </c>
      <c r="I42" s="176">
        <v>219</v>
      </c>
      <c r="J42" s="176">
        <v>0.79</v>
      </c>
      <c r="K42" s="176">
        <v>1</v>
      </c>
      <c r="L42" s="176">
        <f t="shared" si="16"/>
        <v>173.01000000000002</v>
      </c>
      <c r="M42" s="177" t="s">
        <v>332</v>
      </c>
      <c r="N42" s="444" t="s">
        <v>335</v>
      </c>
      <c r="O42" s="445"/>
      <c r="P42" s="178">
        <v>160</v>
      </c>
      <c r="Q42" s="178" t="str">
        <f t="shared" si="6"/>
        <v>Fixo</v>
      </c>
      <c r="R42" s="178" t="s">
        <v>249</v>
      </c>
      <c r="S42" s="178">
        <v>25</v>
      </c>
      <c r="T42" s="175">
        <f t="shared" si="7"/>
        <v>1.2999999999999999E-2</v>
      </c>
      <c r="U42" s="179">
        <v>11</v>
      </c>
      <c r="V42" s="178" t="str">
        <f t="shared" si="1"/>
        <v>3#50(50)T25</v>
      </c>
      <c r="W42" s="176" t="str">
        <f>COMPLEX(0.46,0.1881)</f>
        <v>0,46+0,1881i</v>
      </c>
      <c r="X42" s="230" t="str">
        <f>COMPLEX(3.07,1.2048)</f>
        <v>3,07+1,2048i</v>
      </c>
      <c r="Y42" s="176" t="str">
        <f t="shared" si="8"/>
        <v>0,00598+0,0024453i</v>
      </c>
      <c r="Z42" s="248">
        <f t="shared" si="9"/>
        <v>0.45939999999999998</v>
      </c>
      <c r="AA42" s="176">
        <f>Z42+$Z$44</f>
        <v>0.80359999999999998</v>
      </c>
      <c r="AB42" s="161" t="s">
        <v>108</v>
      </c>
      <c r="AC42" s="161" t="s">
        <v>108</v>
      </c>
    </row>
    <row r="43" spans="2:67">
      <c r="B43" s="435"/>
      <c r="C43" s="180" t="s">
        <v>292</v>
      </c>
      <c r="D43" s="480"/>
      <c r="E43" s="181">
        <v>66</v>
      </c>
      <c r="F43" s="480"/>
      <c r="G43" s="182">
        <f>(E43/(SQRT(3)*$D$42*$F$42))*1000</f>
        <v>113.95071102426826</v>
      </c>
      <c r="H43" s="183">
        <v>35</v>
      </c>
      <c r="I43" s="183">
        <v>181</v>
      </c>
      <c r="J43" s="183">
        <v>0.79</v>
      </c>
      <c r="K43" s="183">
        <v>1</v>
      </c>
      <c r="L43" s="183">
        <f t="shared" si="16"/>
        <v>142.99</v>
      </c>
      <c r="M43" s="184" t="s">
        <v>332</v>
      </c>
      <c r="N43" s="484" t="s">
        <v>335</v>
      </c>
      <c r="O43" s="485"/>
      <c r="P43" s="184">
        <v>125</v>
      </c>
      <c r="Q43" s="184" t="str">
        <f t="shared" si="6"/>
        <v>Fixo</v>
      </c>
      <c r="R43" s="184" t="s">
        <v>249</v>
      </c>
      <c r="S43" s="184">
        <v>25</v>
      </c>
      <c r="T43" s="182">
        <f t="shared" si="7"/>
        <v>1.2999999999999999E-2</v>
      </c>
      <c r="U43" s="185">
        <v>10</v>
      </c>
      <c r="V43" s="184" t="str">
        <f t="shared" si="1"/>
        <v>3#35(35)T16</v>
      </c>
      <c r="W43" s="183" t="str">
        <f>COMPLEX(0.63,0.1981)</f>
        <v>0,63+0,1981i</v>
      </c>
      <c r="X43" s="183" t="str">
        <f>COMPLEX(4.77,1.2748)</f>
        <v>4,77+1,2748i</v>
      </c>
      <c r="Y43" s="183" t="str">
        <f>IMPRODUCT(W43,T43)</f>
        <v>0,00819+0,0025753i</v>
      </c>
      <c r="Z43" s="126">
        <f t="shared" si="9"/>
        <v>0.44590000000000002</v>
      </c>
      <c r="AA43" s="176">
        <f>Z43+$Z$44</f>
        <v>0.79010000000000002</v>
      </c>
      <c r="AB43" s="161" t="s">
        <v>108</v>
      </c>
      <c r="AC43" s="161" t="s">
        <v>108</v>
      </c>
    </row>
    <row r="44" spans="2:67" ht="13.5" thickBot="1">
      <c r="B44" s="436"/>
      <c r="C44" s="186" t="s">
        <v>293</v>
      </c>
      <c r="D44" s="481"/>
      <c r="E44" s="187">
        <f>SUM(E42:E43)</f>
        <v>156.364</v>
      </c>
      <c r="F44" s="481"/>
      <c r="G44" s="188">
        <f>SUM(G42:G43)</f>
        <v>269.96649967573762</v>
      </c>
      <c r="H44" s="189">
        <v>120</v>
      </c>
      <c r="I44" s="189">
        <v>396</v>
      </c>
      <c r="J44" s="190">
        <v>0.79</v>
      </c>
      <c r="K44" s="190">
        <v>1</v>
      </c>
      <c r="L44" s="190">
        <f t="shared" si="16"/>
        <v>312.84000000000003</v>
      </c>
      <c r="M44" s="191" t="s">
        <v>332</v>
      </c>
      <c r="N44" s="482" t="s">
        <v>336</v>
      </c>
      <c r="O44" s="483"/>
      <c r="P44" s="189">
        <v>300</v>
      </c>
      <c r="Q44" s="191" t="str">
        <f t="shared" si="6"/>
        <v>Fixo</v>
      </c>
      <c r="R44" s="191" t="s">
        <v>240</v>
      </c>
      <c r="S44" s="191">
        <v>50</v>
      </c>
      <c r="T44" s="188">
        <f t="shared" si="7"/>
        <v>1.2E-2</v>
      </c>
      <c r="U44" s="189">
        <v>9</v>
      </c>
      <c r="V44" s="191" t="str">
        <f t="shared" si="1"/>
        <v>3#120(120)T70</v>
      </c>
      <c r="W44" s="190" t="str">
        <f>COMPLEX(0.18,0.1481)</f>
        <v>0,18+0,1481i</v>
      </c>
      <c r="X44" s="144" t="str">
        <f>COMPLEX(1.14,1.0748)</f>
        <v>1,14+1,0748i</v>
      </c>
      <c r="Y44" s="190" t="str">
        <f t="shared" si="8"/>
        <v>0,00216+0,0017772i</v>
      </c>
      <c r="Z44" s="144">
        <f t="shared" si="9"/>
        <v>0.34420000000000001</v>
      </c>
      <c r="AA44" s="192" t="s">
        <v>108</v>
      </c>
      <c r="AB44" s="162" t="s">
        <v>108</v>
      </c>
      <c r="AC44" s="162" t="s">
        <v>108</v>
      </c>
    </row>
    <row r="45" spans="2:67">
      <c r="C45" s="165"/>
      <c r="M45" s="165"/>
      <c r="N45" s="165"/>
      <c r="O45" s="165"/>
      <c r="W45" s="158"/>
      <c r="X45" s="158"/>
      <c r="Y45" s="125"/>
    </row>
    <row r="49" spans="2:54" ht="12.75" customHeight="1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N49" s="128"/>
      <c r="O49" s="128"/>
      <c r="P49" s="130"/>
      <c r="Q49" s="130"/>
      <c r="R49" s="130"/>
      <c r="S49" s="130"/>
      <c r="T49" s="124"/>
      <c r="U49" s="124"/>
      <c r="V49" s="124"/>
      <c r="W49" s="112"/>
      <c r="Y49" s="112"/>
      <c r="Z49" s="112"/>
      <c r="AI49" s="112"/>
      <c r="AJ49" s="112"/>
      <c r="AK49" s="112"/>
      <c r="AL49" s="112"/>
      <c r="AM49" s="112"/>
      <c r="AN49" s="112"/>
      <c r="AO49" s="467" t="s">
        <v>349</v>
      </c>
      <c r="AP49" s="468"/>
      <c r="AQ49" s="468"/>
      <c r="AR49" s="468"/>
      <c r="AS49" s="468"/>
      <c r="AT49" s="469"/>
      <c r="AU49" s="164"/>
      <c r="AW49" s="470" t="s">
        <v>347</v>
      </c>
      <c r="AX49" s="471"/>
      <c r="AY49" s="472"/>
    </row>
    <row r="50" spans="2:54" ht="12.75" customHeight="1">
      <c r="B50" s="112"/>
      <c r="AI50" s="114" t="s">
        <v>321</v>
      </c>
      <c r="AJ50" s="128"/>
      <c r="AK50" s="128"/>
      <c r="AL50" s="128"/>
      <c r="AM50" s="128"/>
      <c r="AN50" s="128"/>
      <c r="AO50" s="498" t="s">
        <v>385</v>
      </c>
      <c r="AP50" s="499"/>
      <c r="AQ50" s="499"/>
      <c r="AR50" s="499"/>
      <c r="AS50" s="499"/>
      <c r="AT50" s="500"/>
      <c r="AU50" s="164"/>
      <c r="AV50" s="128"/>
      <c r="AW50" s="473"/>
      <c r="AX50" s="474"/>
      <c r="AY50" s="475"/>
    </row>
    <row r="51" spans="2:54" ht="63.75">
      <c r="B51" s="114"/>
      <c r="AI51" s="118" t="s">
        <v>294</v>
      </c>
      <c r="AJ51" s="172" t="s">
        <v>296</v>
      </c>
      <c r="AK51" s="120" t="s">
        <v>297</v>
      </c>
      <c r="AL51" s="118" t="s">
        <v>298</v>
      </c>
      <c r="AM51" s="194" t="s">
        <v>305</v>
      </c>
      <c r="AN51" s="172" t="s">
        <v>63</v>
      </c>
      <c r="AO51" s="194" t="s">
        <v>324</v>
      </c>
      <c r="AP51" s="194" t="s">
        <v>302</v>
      </c>
      <c r="AQ51" s="194" t="s">
        <v>303</v>
      </c>
      <c r="AR51" s="194" t="s">
        <v>304</v>
      </c>
      <c r="AS51" s="194" t="s">
        <v>334</v>
      </c>
      <c r="AT51" s="194" t="s">
        <v>307</v>
      </c>
      <c r="AU51" s="194" t="s">
        <v>325</v>
      </c>
      <c r="AV51" s="194" t="s">
        <v>315</v>
      </c>
      <c r="AW51" s="118" t="s">
        <v>294</v>
      </c>
      <c r="AX51" s="172" t="s">
        <v>345</v>
      </c>
      <c r="AY51" s="172" t="s">
        <v>346</v>
      </c>
      <c r="AZ51" s="194" t="s">
        <v>379</v>
      </c>
      <c r="BA51" s="194" t="s">
        <v>380</v>
      </c>
      <c r="BB51" s="284"/>
    </row>
    <row r="52" spans="2:54" ht="63.75" customHeight="1">
      <c r="W52" s="199"/>
      <c r="X52" s="199"/>
      <c r="Y52" s="199"/>
      <c r="Z52" s="199"/>
      <c r="AA52" s="199"/>
      <c r="AI52" s="116" t="s">
        <v>344</v>
      </c>
      <c r="AJ52" s="446">
        <v>13800</v>
      </c>
      <c r="AK52" s="126">
        <f>E21+E28+E31+E37+E41+E44</f>
        <v>1671.9953</v>
      </c>
      <c r="AL52" s="126">
        <f>F15</f>
        <v>0.89</v>
      </c>
      <c r="AM52" s="126">
        <f>(AK52/(SQRT(3)*$AJ$52))*1000</f>
        <v>69.951227285419492</v>
      </c>
      <c r="AN52" s="126">
        <v>35</v>
      </c>
      <c r="AO52" s="126">
        <v>128</v>
      </c>
      <c r="AP52" s="126">
        <v>0.87</v>
      </c>
      <c r="AQ52" s="126">
        <v>0.7</v>
      </c>
      <c r="AR52" s="126">
        <f>AO52*AP52*AQ52</f>
        <v>77.951999999999998</v>
      </c>
      <c r="AS52" s="126" t="s">
        <v>384</v>
      </c>
      <c r="AT52" s="115" t="s">
        <v>383</v>
      </c>
      <c r="AU52" s="126" t="s">
        <v>381</v>
      </c>
      <c r="AV52" s="126" t="str">
        <f>COMPLEX(0.701,0.149)</f>
        <v>0,701+0,149i</v>
      </c>
      <c r="AW52" s="115" t="s">
        <v>322</v>
      </c>
      <c r="AX52" s="126">
        <v>9.0999999999999998E-2</v>
      </c>
      <c r="AY52" s="126">
        <v>0.39600000000000002</v>
      </c>
      <c r="AZ52" s="126" t="str">
        <f>IMPRODUCT(AV52,AX52)</f>
        <v>0,063791+0,013559i</v>
      </c>
      <c r="BA52" s="126" t="str">
        <f>IMPRODUCT(AV52,AY52)</f>
        <v>0,277596+0,059004i</v>
      </c>
      <c r="BB52" s="158"/>
    </row>
    <row r="53" spans="2:54" ht="38.25">
      <c r="W53" s="199"/>
      <c r="X53" s="199"/>
      <c r="Y53" s="199"/>
      <c r="Z53" s="199"/>
      <c r="AA53" s="199"/>
      <c r="AI53" s="155" t="s">
        <v>264</v>
      </c>
      <c r="AJ53" s="486"/>
      <c r="AK53" s="126">
        <f>E23</f>
        <v>45.777999999999999</v>
      </c>
      <c r="AL53" s="126">
        <f>F22</f>
        <v>0.9</v>
      </c>
      <c r="AM53" s="126">
        <f>(AK53/(SQRT(3)*$AJ$52))*1000</f>
        <v>1.9152130886204848</v>
      </c>
      <c r="AN53" s="126">
        <v>16</v>
      </c>
      <c r="AO53" s="126">
        <v>84</v>
      </c>
      <c r="AP53" s="126">
        <v>0.87</v>
      </c>
      <c r="AQ53" s="126">
        <v>0.7</v>
      </c>
      <c r="AR53" s="126">
        <f>AO53*AP53*AQ53</f>
        <v>51.155999999999999</v>
      </c>
      <c r="AS53" s="126" t="s">
        <v>384</v>
      </c>
      <c r="AT53" s="115" t="s">
        <v>383</v>
      </c>
      <c r="AU53" s="126" t="s">
        <v>382</v>
      </c>
      <c r="AV53" s="126" t="str">
        <f>COMPLEX(1.536,0.174)</f>
        <v>1,536+0,174i</v>
      </c>
      <c r="AW53" s="155" t="s">
        <v>264</v>
      </c>
      <c r="AX53" s="126">
        <v>0.255</v>
      </c>
      <c r="AY53" s="195">
        <v>0</v>
      </c>
      <c r="AZ53" s="126" t="str">
        <f>IMPRODUCT(AV53,AX53)</f>
        <v>0,39168+0,04437i</v>
      </c>
      <c r="BA53" s="126" t="str">
        <f t="shared" ref="BA53" si="29">IMPRODUCT(AV53,AY53)</f>
        <v>0</v>
      </c>
      <c r="BB53" s="158"/>
    </row>
    <row r="54" spans="2:54" ht="38.25" customHeight="1">
      <c r="W54" s="199"/>
      <c r="X54" s="199"/>
      <c r="AW54" s="126" t="s">
        <v>267</v>
      </c>
      <c r="AX54" s="126">
        <v>0.29099999999999998</v>
      </c>
      <c r="AY54" s="126">
        <v>0.19600000000000001</v>
      </c>
      <c r="AZ54" s="126" t="str">
        <f t="shared" ref="AZ54:BA58" si="30">IMPRODUCT($AV$52,AX54)</f>
        <v>0,203991+0,043359i</v>
      </c>
      <c r="BA54" s="126" t="str">
        <f t="shared" si="30"/>
        <v>0,137396+0,029204i</v>
      </c>
      <c r="BB54" s="158"/>
    </row>
    <row r="55" spans="2:54" ht="25.5">
      <c r="T55" s="222"/>
      <c r="V55" s="219"/>
      <c r="AW55" s="116" t="s">
        <v>323</v>
      </c>
      <c r="AX55" s="126">
        <v>0.25800000000000001</v>
      </c>
      <c r="AY55" s="126">
        <v>0.22900000000000001</v>
      </c>
      <c r="AZ55" s="126" t="str">
        <f t="shared" si="30"/>
        <v>0,180858+0,038442i</v>
      </c>
      <c r="BA55" s="126" t="str">
        <f t="shared" si="30"/>
        <v>0,160529+0,034121i</v>
      </c>
      <c r="BB55" s="158"/>
    </row>
    <row r="56" spans="2:54">
      <c r="T56" s="199"/>
      <c r="U56" s="199"/>
      <c r="V56" s="199"/>
      <c r="AW56" s="126" t="s">
        <v>278</v>
      </c>
      <c r="AX56" s="126">
        <v>0.34300000000000003</v>
      </c>
      <c r="AY56" s="126">
        <v>0.14399999999999999</v>
      </c>
      <c r="AZ56" s="126" t="str">
        <f t="shared" si="30"/>
        <v>0,240443+0,051107i</v>
      </c>
      <c r="BA56" s="126" t="str">
        <f t="shared" si="30"/>
        <v>0,100944+0,021456i</v>
      </c>
      <c r="BB56" s="158"/>
    </row>
    <row r="57" spans="2:54">
      <c r="T57" s="199"/>
      <c r="U57" s="199"/>
      <c r="V57" s="199"/>
      <c r="AW57" s="126" t="s">
        <v>285</v>
      </c>
      <c r="AX57" s="126">
        <v>0.377</v>
      </c>
      <c r="AY57" s="126">
        <v>0.11</v>
      </c>
      <c r="AZ57" s="126" t="str">
        <f t="shared" si="30"/>
        <v>0,264277+0,056173i</v>
      </c>
      <c r="BA57" s="126" t="str">
        <f t="shared" si="30"/>
        <v>0,07711+0,01639i</v>
      </c>
      <c r="BB57" s="158"/>
    </row>
    <row r="58" spans="2:54">
      <c r="T58" s="199"/>
      <c r="U58" s="199"/>
      <c r="V58" s="199"/>
      <c r="AW58" s="126" t="s">
        <v>289</v>
      </c>
      <c r="AX58" s="126">
        <v>0.17499999999999999</v>
      </c>
      <c r="AY58" s="126">
        <v>0.312</v>
      </c>
      <c r="AZ58" s="126" t="str">
        <f t="shared" si="30"/>
        <v>0,122675+0,026075i</v>
      </c>
      <c r="BA58" s="126" t="str">
        <f t="shared" si="30"/>
        <v>0,218712+0,046488i</v>
      </c>
      <c r="BB58" s="158"/>
    </row>
    <row r="59" spans="2:54">
      <c r="T59" s="199"/>
      <c r="U59" s="199"/>
      <c r="V59" s="199"/>
    </row>
    <row r="60" spans="2:54">
      <c r="T60" s="199"/>
      <c r="U60" s="199"/>
      <c r="V60" s="199"/>
    </row>
    <row r="61" spans="2:54">
      <c r="T61" s="199"/>
      <c r="U61" s="199"/>
      <c r="V61" s="199"/>
    </row>
    <row r="62" spans="2:54">
      <c r="T62" s="199"/>
      <c r="U62" s="199"/>
      <c r="V62" s="199"/>
      <c r="AX62" s="114"/>
    </row>
    <row r="63" spans="2:54">
      <c r="T63" s="199"/>
      <c r="U63" s="199"/>
      <c r="V63" s="199"/>
      <c r="AX63" s="114"/>
    </row>
    <row r="64" spans="2:54">
      <c r="T64" s="199"/>
      <c r="U64" s="199"/>
      <c r="V64" s="199"/>
    </row>
    <row r="65" spans="2:87">
      <c r="T65" s="199"/>
      <c r="U65" s="199"/>
      <c r="V65" s="199"/>
      <c r="AQ65" s="487" t="s">
        <v>424</v>
      </c>
      <c r="AR65" s="487"/>
      <c r="AS65" s="487"/>
      <c r="AT65" s="487"/>
      <c r="AU65" s="487"/>
      <c r="AV65" s="487"/>
      <c r="AW65" s="488" t="s">
        <v>427</v>
      </c>
      <c r="AX65" s="488"/>
      <c r="AY65" s="488"/>
      <c r="AZ65" s="488"/>
      <c r="BA65" s="488"/>
      <c r="BB65" s="281"/>
    </row>
    <row r="66" spans="2:87">
      <c r="T66" s="199"/>
      <c r="U66" s="199"/>
      <c r="V66" s="199"/>
      <c r="AQ66" s="201"/>
      <c r="AR66" s="201"/>
      <c r="AS66" s="201"/>
      <c r="AT66" s="201"/>
      <c r="AU66" s="201"/>
      <c r="AV66" s="201"/>
      <c r="AW66" s="488" t="s">
        <v>428</v>
      </c>
      <c r="AX66" s="488"/>
      <c r="AY66" s="488"/>
      <c r="AZ66" s="488"/>
      <c r="BA66" s="488"/>
      <c r="BB66" s="281"/>
    </row>
    <row r="67" spans="2:87">
      <c r="T67" s="199"/>
      <c r="U67" s="199"/>
      <c r="V67" s="199"/>
    </row>
    <row r="68" spans="2:87">
      <c r="B68" s="415" t="s">
        <v>448</v>
      </c>
      <c r="C68" s="415"/>
      <c r="D68" s="415"/>
      <c r="E68" s="415"/>
      <c r="F68" s="415"/>
      <c r="G68" s="415"/>
      <c r="T68" s="199"/>
      <c r="U68" s="199"/>
      <c r="V68" s="199"/>
      <c r="AA68" s="199"/>
      <c r="AB68" s="199"/>
      <c r="AC68" s="199"/>
      <c r="AP68" s="415" t="s">
        <v>435</v>
      </c>
      <c r="AQ68" s="415"/>
      <c r="AR68" s="415"/>
      <c r="AS68" s="415"/>
      <c r="AT68" s="415"/>
      <c r="AU68" s="415"/>
      <c r="AV68" s="415"/>
      <c r="AW68" s="415"/>
      <c r="BH68" s="338"/>
      <c r="BI68" s="339"/>
      <c r="BJ68" s="339"/>
      <c r="BK68" s="339"/>
      <c r="BL68" s="339"/>
      <c r="BM68" s="339"/>
      <c r="BN68" s="339"/>
      <c r="BO68" s="340" t="s">
        <v>443</v>
      </c>
      <c r="BP68" s="340"/>
      <c r="BQ68" s="340"/>
      <c r="BR68" s="340"/>
      <c r="BS68" s="340"/>
      <c r="BT68" s="340"/>
      <c r="BU68" s="340"/>
      <c r="BV68" s="341"/>
      <c r="BW68" s="341"/>
      <c r="BX68" s="303"/>
      <c r="BY68" s="415" t="s">
        <v>444</v>
      </c>
      <c r="BZ68" s="415"/>
      <c r="CA68" s="415"/>
      <c r="CB68" s="415"/>
    </row>
    <row r="69" spans="2:87" ht="63.75">
      <c r="B69" s="282" t="s">
        <v>294</v>
      </c>
      <c r="C69" s="282" t="s">
        <v>351</v>
      </c>
      <c r="D69" s="282" t="s">
        <v>352</v>
      </c>
      <c r="E69" s="282" t="s">
        <v>353</v>
      </c>
      <c r="F69" s="282" t="s">
        <v>354</v>
      </c>
      <c r="G69" s="282" t="s">
        <v>355</v>
      </c>
      <c r="H69" s="404" t="s">
        <v>454</v>
      </c>
      <c r="T69" s="199"/>
      <c r="U69" s="199"/>
      <c r="V69" s="199"/>
      <c r="AA69" s="199"/>
      <c r="AB69" s="118" t="s">
        <v>294</v>
      </c>
      <c r="AC69" s="118" t="s">
        <v>351</v>
      </c>
      <c r="AD69" s="118" t="s">
        <v>352</v>
      </c>
      <c r="AE69" s="118" t="s">
        <v>353</v>
      </c>
      <c r="AF69" s="118" t="s">
        <v>354</v>
      </c>
      <c r="AG69" s="118" t="s">
        <v>355</v>
      </c>
      <c r="AH69" s="172" t="s">
        <v>63</v>
      </c>
      <c r="AI69" s="172" t="s">
        <v>413</v>
      </c>
      <c r="AJ69" s="194" t="s">
        <v>309</v>
      </c>
      <c r="AK69" s="252" t="s">
        <v>400</v>
      </c>
      <c r="AL69" s="252" t="s">
        <v>401</v>
      </c>
      <c r="AM69" s="252" t="s">
        <v>402</v>
      </c>
      <c r="AN69" s="252" t="s">
        <v>403</v>
      </c>
      <c r="AO69" s="194" t="s">
        <v>408</v>
      </c>
      <c r="AP69" s="194" t="s">
        <v>404</v>
      </c>
      <c r="AQ69" s="172" t="s">
        <v>405</v>
      </c>
      <c r="AR69" s="172" t="s">
        <v>406</v>
      </c>
      <c r="AS69" s="172" t="s">
        <v>407</v>
      </c>
      <c r="AT69" s="194" t="s">
        <v>409</v>
      </c>
      <c r="AU69" s="194" t="s">
        <v>410</v>
      </c>
      <c r="AV69" s="194" t="s">
        <v>411</v>
      </c>
      <c r="AW69" s="194" t="s">
        <v>412</v>
      </c>
      <c r="AX69" s="252" t="s">
        <v>422</v>
      </c>
      <c r="AY69" s="194" t="s">
        <v>423</v>
      </c>
      <c r="AZ69" s="172" t="s">
        <v>432</v>
      </c>
      <c r="BA69" s="194" t="s">
        <v>434</v>
      </c>
      <c r="BB69" s="194" t="s">
        <v>433</v>
      </c>
      <c r="BC69" s="172" t="s">
        <v>431</v>
      </c>
      <c r="BD69" s="194" t="s">
        <v>445</v>
      </c>
      <c r="BE69" s="194" t="s">
        <v>450</v>
      </c>
      <c r="BH69" s="172" t="s">
        <v>294</v>
      </c>
      <c r="BI69" s="172" t="s">
        <v>351</v>
      </c>
      <c r="BJ69" s="172" t="s">
        <v>352</v>
      </c>
      <c r="BK69" s="172" t="s">
        <v>353</v>
      </c>
      <c r="BL69" s="172" t="s">
        <v>354</v>
      </c>
      <c r="BM69" s="172" t="s">
        <v>355</v>
      </c>
      <c r="BN69" s="228" t="s">
        <v>63</v>
      </c>
      <c r="BO69" s="278" t="s">
        <v>309</v>
      </c>
      <c r="BP69" s="278" t="s">
        <v>400</v>
      </c>
      <c r="BQ69" s="278" t="s">
        <v>401</v>
      </c>
      <c r="BR69" s="278" t="s">
        <v>402</v>
      </c>
      <c r="BS69" s="278" t="s">
        <v>403</v>
      </c>
      <c r="BT69" s="278" t="s">
        <v>408</v>
      </c>
      <c r="BU69" s="278" t="s">
        <v>404</v>
      </c>
      <c r="BV69" s="228" t="s">
        <v>405</v>
      </c>
      <c r="BW69" s="228" t="s">
        <v>406</v>
      </c>
      <c r="BX69" s="228" t="s">
        <v>407</v>
      </c>
      <c r="BY69" s="278" t="s">
        <v>409</v>
      </c>
      <c r="BZ69" s="278" t="s">
        <v>410</v>
      </c>
      <c r="CA69" s="278" t="s">
        <v>411</v>
      </c>
      <c r="CB69" s="278" t="s">
        <v>412</v>
      </c>
      <c r="CC69" s="370" t="s">
        <v>422</v>
      </c>
      <c r="CD69" s="370" t="s">
        <v>423</v>
      </c>
      <c r="CE69" s="370" t="s">
        <v>432</v>
      </c>
      <c r="CF69" s="370" t="s">
        <v>434</v>
      </c>
      <c r="CG69" s="370" t="s">
        <v>431</v>
      </c>
      <c r="CH69" s="370" t="s">
        <v>445</v>
      </c>
      <c r="CI69" s="370" t="s">
        <v>450</v>
      </c>
    </row>
    <row r="70" spans="2:87">
      <c r="B70" s="416" t="s">
        <v>256</v>
      </c>
      <c r="C70" s="252" t="s">
        <v>356</v>
      </c>
      <c r="D70" s="400">
        <v>2002.7862014110799</v>
      </c>
      <c r="E70" s="400">
        <v>1734.4637287709299</v>
      </c>
      <c r="F70" s="400">
        <v>1775.8868349547399</v>
      </c>
      <c r="G70" s="400">
        <v>1399.57936933429</v>
      </c>
      <c r="H70" s="371">
        <v>497.75</v>
      </c>
      <c r="T70" s="199"/>
      <c r="U70" s="199"/>
      <c r="V70" s="199"/>
      <c r="AA70" s="199"/>
      <c r="AB70" s="416" t="s">
        <v>322</v>
      </c>
      <c r="AC70" s="252" t="s">
        <v>389</v>
      </c>
      <c r="AD70" s="253">
        <v>12263.607504056199</v>
      </c>
      <c r="AE70" s="253">
        <v>10620.5956405542</v>
      </c>
      <c r="AF70" s="253">
        <v>12620.278817160999</v>
      </c>
      <c r="AG70" s="253">
        <v>12578.2022084688</v>
      </c>
      <c r="AH70" s="232">
        <v>240</v>
      </c>
      <c r="AI70" s="232">
        <v>50</v>
      </c>
      <c r="AJ70" s="247">
        <v>950</v>
      </c>
      <c r="AK70" s="250">
        <f t="shared" ref="AK70:AK96" si="31">AD70/$AJ70</f>
        <v>12.909060530585473</v>
      </c>
      <c r="AL70" s="250">
        <f>AE70/AJ70</f>
        <v>11.179574358478105</v>
      </c>
      <c r="AM70" s="250">
        <f t="shared" ref="AM70:AM96" si="32">AF70/$AJ70</f>
        <v>13.28450401806421</v>
      </c>
      <c r="AN70" s="250">
        <f t="shared" ref="AN70:AN96" si="33">AG70/$AJ70</f>
        <v>13.240212851019789</v>
      </c>
      <c r="AO70" s="233" t="s">
        <v>318</v>
      </c>
      <c r="AP70" s="247">
        <v>0.06</v>
      </c>
      <c r="AQ70" s="247">
        <v>15</v>
      </c>
      <c r="AR70" s="247">
        <v>0.06</v>
      </c>
      <c r="AS70" s="247">
        <v>0.06</v>
      </c>
      <c r="AT70" s="247" t="str">
        <f>IF((((AD70/2)^2)*AP70)&lt;=((115^2)*($AH$70^2)),"Sim","Não")</f>
        <v>Sim</v>
      </c>
      <c r="AU70" s="247" t="str">
        <f t="shared" ref="AU70:AW70" si="34">IF((((AE70/2)^2)*AQ70)&lt;=((115^2)*($AH$70^2)),"Sim","Não")</f>
        <v>Sim</v>
      </c>
      <c r="AV70" s="247" t="str">
        <f t="shared" si="34"/>
        <v>Sim</v>
      </c>
      <c r="AW70" s="247" t="str">
        <f t="shared" si="34"/>
        <v>Sim</v>
      </c>
      <c r="AX70" s="265">
        <f t="shared" ref="AX70:AX99" si="35">(0.116/SQRT(AS70))</f>
        <v>0.47356801693808115</v>
      </c>
      <c r="AY70" s="266">
        <f>(1-((0.106)*((1-100/1200)/((2*0.1)+0.106))))</f>
        <v>0.68246187363834432</v>
      </c>
      <c r="AZ70" s="262">
        <f>(1000+1.5*1200*AY70)*AX70</f>
        <v>1055.3138259806456</v>
      </c>
      <c r="BA70" s="297">
        <f t="shared" ref="BA70:BA97" si="36">IMABS(BB70)</f>
        <v>2.4476483101131992E-3</v>
      </c>
      <c r="BB70" s="126" t="str">
        <f>BK21</f>
        <v>0,00099+0,0022385i</v>
      </c>
      <c r="BC70" s="122">
        <f t="shared" ref="BC70:BC86" si="37">AG70*BA70</f>
        <v>30.787015379820769</v>
      </c>
      <c r="BD70" s="292">
        <f>(BC70/1000)</f>
        <v>3.0787015379820769E-2</v>
      </c>
      <c r="BE70" s="205" t="s">
        <v>452</v>
      </c>
      <c r="BH70" s="416" t="s">
        <v>446</v>
      </c>
      <c r="BI70" s="252" t="s">
        <v>358</v>
      </c>
      <c r="BJ70" s="253">
        <v>12621.9323714435</v>
      </c>
      <c r="BK70" s="253">
        <v>10930.914078519199</v>
      </c>
      <c r="BL70" s="253">
        <v>13255.643899865599</v>
      </c>
      <c r="BM70" s="254">
        <v>13996.485813991099</v>
      </c>
      <c r="BN70" s="420"/>
      <c r="BO70" s="421"/>
      <c r="BP70" s="421"/>
      <c r="BQ70" s="421"/>
      <c r="BR70" s="421"/>
      <c r="BS70" s="421"/>
      <c r="BT70" s="421"/>
      <c r="BU70" s="421"/>
      <c r="BV70" s="421"/>
      <c r="BW70" s="421"/>
      <c r="BX70" s="421"/>
      <c r="BY70" s="421"/>
      <c r="BZ70" s="421"/>
      <c r="CA70" s="421"/>
      <c r="CB70" s="421"/>
      <c r="CC70" s="421"/>
      <c r="CD70" s="421"/>
      <c r="CE70" s="421"/>
      <c r="CF70" s="421"/>
      <c r="CG70" s="421"/>
      <c r="CH70" s="421"/>
      <c r="CI70" s="422"/>
    </row>
    <row r="71" spans="2:87">
      <c r="B71" s="417"/>
      <c r="C71" s="252" t="s">
        <v>357</v>
      </c>
      <c r="D71" s="400">
        <v>1972.12917840932</v>
      </c>
      <c r="E71" s="400">
        <v>1707.913968047</v>
      </c>
      <c r="F71" s="400">
        <v>1745.6682245265799</v>
      </c>
      <c r="G71" s="400">
        <v>1385.47478517836</v>
      </c>
      <c r="H71" s="405">
        <v>494.81</v>
      </c>
      <c r="O71"/>
      <c r="R71" s="112"/>
      <c r="T71" s="199"/>
      <c r="U71" s="199"/>
      <c r="V71" s="199"/>
      <c r="AA71" s="199"/>
      <c r="AB71" s="417"/>
      <c r="AC71" s="252" t="s">
        <v>359</v>
      </c>
      <c r="AD71" s="253">
        <v>1779.9162914808401</v>
      </c>
      <c r="AE71" s="253">
        <v>1541.4527250322001</v>
      </c>
      <c r="AF71" s="253">
        <v>1610.7813475427399</v>
      </c>
      <c r="AG71" s="253">
        <v>912.77044125120801</v>
      </c>
      <c r="AH71" s="218">
        <v>6</v>
      </c>
      <c r="AI71" s="218">
        <v>25</v>
      </c>
      <c r="AJ71" s="129">
        <v>40</v>
      </c>
      <c r="AK71" s="234">
        <f t="shared" si="31"/>
        <v>44.497907287021</v>
      </c>
      <c r="AL71" s="234">
        <f t="shared" ref="AL71:AL96" si="38">AE71/$AJ71</f>
        <v>38.536318125805003</v>
      </c>
      <c r="AM71" s="234">
        <f t="shared" si="32"/>
        <v>40.269533688568501</v>
      </c>
      <c r="AN71" s="234">
        <f t="shared" si="33"/>
        <v>22.819261031280199</v>
      </c>
      <c r="AO71" s="129" t="s">
        <v>249</v>
      </c>
      <c r="AP71" s="127">
        <v>1.2999999999999999E-2</v>
      </c>
      <c r="AQ71" s="127">
        <v>1.4E-2</v>
      </c>
      <c r="AR71" s="127">
        <v>1.35E-2</v>
      </c>
      <c r="AS71" s="127">
        <v>1.7999999999999999E-2</v>
      </c>
      <c r="AT71" s="247" t="str">
        <f>IF((($AD$71^2)*AP71)&lt;=((115^2)*($AH$71^2)),"Sim","Não")</f>
        <v>Sim</v>
      </c>
      <c r="AU71" s="247" t="str">
        <f>IF(((AE71^2)*AQ71)&lt;=((115^2)*(AH71^2)),"Sim","Não")</f>
        <v>Sim</v>
      </c>
      <c r="AV71" s="247" t="str">
        <f>IF(((AF71^2)*AR71)&lt;=((115^2)*(AH71^2)),"Sim","Não")</f>
        <v>Sim</v>
      </c>
      <c r="AW71" s="247" t="str">
        <f>IF(((AG71^2)*AS71)&lt;=((115^2)*(AH71^2)),"Sim","Não")</f>
        <v>Sim</v>
      </c>
      <c r="AX71" s="265">
        <f t="shared" si="35"/>
        <v>0.86461295129991866</v>
      </c>
      <c r="AY71" s="266">
        <f t="shared" ref="AY71:AY76" si="39">(1-((0.106)*((1-100/1200)/((2*0.1)+0.106))))</f>
        <v>0.68246187363834432</v>
      </c>
      <c r="AZ71" s="262">
        <f t="shared" ref="AZ71:AZ75" si="40">(1000+1.5*1200*AY71)*AX71</f>
        <v>1926.7306257889365</v>
      </c>
      <c r="BA71" s="297">
        <f t="shared" si="36"/>
        <v>0.12126014681769934</v>
      </c>
      <c r="BB71" s="126" t="str">
        <f>IMSUM($BK$21,BK15)</f>
        <v>0,11907+0,0229425i</v>
      </c>
      <c r="BC71" s="122">
        <f t="shared" si="37"/>
        <v>110.68267771697769</v>
      </c>
      <c r="BD71" s="292">
        <f t="shared" ref="BD71:BD99" si="41">BC71/1000</f>
        <v>0.11068267771697769</v>
      </c>
      <c r="BE71" s="205" t="s">
        <v>452</v>
      </c>
      <c r="BH71" s="417"/>
      <c r="BI71" s="252" t="s">
        <v>389</v>
      </c>
      <c r="BJ71" s="253">
        <v>12263.607504056199</v>
      </c>
      <c r="BK71" s="253">
        <v>10620.5956405542</v>
      </c>
      <c r="BL71" s="253">
        <v>12620.278817160999</v>
      </c>
      <c r="BM71" s="253">
        <v>12578.2022084688</v>
      </c>
      <c r="BN71" s="232">
        <v>240</v>
      </c>
      <c r="BO71" s="247">
        <v>950</v>
      </c>
      <c r="BP71" s="250">
        <f>(BJ70)/$BO$71</f>
        <v>13.286244601519472</v>
      </c>
      <c r="BQ71" s="250">
        <f>(BK70)/$BO$71</f>
        <v>11.506225345809684</v>
      </c>
      <c r="BR71" s="250">
        <f>(BL70)/$BO$71</f>
        <v>13.953309368279578</v>
      </c>
      <c r="BS71" s="250">
        <f>(BM70)/$BO$71</f>
        <v>14.733142962095894</v>
      </c>
      <c r="BT71" s="233" t="s">
        <v>318</v>
      </c>
      <c r="BU71" s="247">
        <v>0.06</v>
      </c>
      <c r="BV71" s="247">
        <v>0.06</v>
      </c>
      <c r="BW71" s="247">
        <v>0.06</v>
      </c>
      <c r="BX71" s="247">
        <v>0.06</v>
      </c>
      <c r="BY71" s="247" t="str">
        <f>IF(((BJ70^2)*BU71)&lt;=((115^2)*(BN71^2)),"Sim","Não")</f>
        <v>Sim</v>
      </c>
      <c r="BZ71" s="247" t="str">
        <f>IF((($BJ$70^2)*BV71)&lt;=((115^2)*($BN$71^2)),"Sim","Não")</f>
        <v>Sim</v>
      </c>
      <c r="CA71" s="247" t="str">
        <f>IF((($BJ$70^2)*BW71)&lt;=((115^2)*($BN$71^2)),"Sim","Não")</f>
        <v>Sim</v>
      </c>
      <c r="CB71" s="247" t="str">
        <f>IF((($BJ$70^2)*BX71)&lt;=((115^2)*($BN$71^2)),"Sim","Não")</f>
        <v>Sim</v>
      </c>
      <c r="CC71" s="287">
        <f>(0.116/SQRT(BX71))</f>
        <v>0.47356801693808115</v>
      </c>
      <c r="CD71" s="355">
        <f>AY70</f>
        <v>0.68246187363834432</v>
      </c>
      <c r="CE71" s="126">
        <f>(1000+1.5*1200*CD71)*CC71</f>
        <v>1055.3138259806456</v>
      </c>
      <c r="CF71" s="297">
        <f t="shared" ref="CF71" si="42">BA70</f>
        <v>2.4476483101131992E-3</v>
      </c>
      <c r="CG71" s="292">
        <f>CF71*BM71</f>
        <v>30.787015379820769</v>
      </c>
      <c r="CH71" s="292">
        <f>CG71/1000</f>
        <v>3.0787015379820769E-2</v>
      </c>
      <c r="CI71" s="205" t="s">
        <v>452</v>
      </c>
    </row>
    <row r="72" spans="2:87">
      <c r="B72" s="417"/>
      <c r="C72" s="252" t="s">
        <v>358</v>
      </c>
      <c r="D72" s="253">
        <v>12621.9323714435</v>
      </c>
      <c r="E72" s="253">
        <v>10930.914078519199</v>
      </c>
      <c r="F72" s="253">
        <v>13255.643899865599</v>
      </c>
      <c r="G72" s="253">
        <v>13996.485813991099</v>
      </c>
      <c r="O72"/>
      <c r="P72" t="s">
        <v>329</v>
      </c>
      <c r="R72" s="112"/>
      <c r="T72" s="199"/>
      <c r="U72" s="199"/>
      <c r="V72" s="199"/>
      <c r="AA72" s="199"/>
      <c r="AB72" s="417"/>
      <c r="AC72" s="252" t="s">
        <v>360</v>
      </c>
      <c r="AD72" s="253">
        <v>1205.20241521659</v>
      </c>
      <c r="AE72" s="253">
        <v>1043.7359082799301</v>
      </c>
      <c r="AF72" s="253">
        <v>1083.8905425990699</v>
      </c>
      <c r="AG72" s="253">
        <v>612.23978804092201</v>
      </c>
      <c r="AH72" s="218">
        <v>6</v>
      </c>
      <c r="AI72" s="218">
        <v>25</v>
      </c>
      <c r="AJ72" s="129">
        <v>40</v>
      </c>
      <c r="AK72" s="234">
        <f t="shared" si="31"/>
        <v>30.130060380414751</v>
      </c>
      <c r="AL72" s="234">
        <f t="shared" si="38"/>
        <v>26.093397706998253</v>
      </c>
      <c r="AM72" s="234">
        <f t="shared" si="32"/>
        <v>27.09726356497675</v>
      </c>
      <c r="AN72" s="234">
        <f t="shared" si="33"/>
        <v>15.305994701023049</v>
      </c>
      <c r="AO72" s="129" t="s">
        <v>249</v>
      </c>
      <c r="AP72" s="127">
        <v>1.6E-2</v>
      </c>
      <c r="AQ72" s="127">
        <v>1.7000000000000001E-2</v>
      </c>
      <c r="AR72" s="127">
        <v>1.7000000000000001E-2</v>
      </c>
      <c r="AS72" s="127">
        <v>0.03</v>
      </c>
      <c r="AT72" s="247" t="str">
        <f>IF((($AD$72^2)*AP72)&lt;=((115^2)*($AH$72^2)),"Sim","Não")</f>
        <v>Sim</v>
      </c>
      <c r="AU72" s="247" t="str">
        <f>IF(((AE72^2)*AQ72)&lt;=((115^2)*(AH72^2)),"Sim","Não")</f>
        <v>Sim</v>
      </c>
      <c r="AV72" s="247" t="str">
        <f>IF(((AF72^2)*AR72)&lt;=((115^2)*(AH72^2)),"Sim","Não")</f>
        <v>Sim</v>
      </c>
      <c r="AW72" s="247" t="str">
        <f>IF(((AG72^2)*AS72)&lt;=((115^2)*(AH72^2)),"Sim","Não")</f>
        <v>Sim</v>
      </c>
      <c r="AX72" s="265">
        <f t="shared" si="35"/>
        <v>0.66972631225996593</v>
      </c>
      <c r="AY72" s="266">
        <f t="shared" si="39"/>
        <v>0.68246187363834432</v>
      </c>
      <c r="AZ72" s="262">
        <f t="shared" si="40"/>
        <v>1492.4391252616692</v>
      </c>
      <c r="BA72" s="297">
        <f t="shared" si="36"/>
        <v>0.18119518710564581</v>
      </c>
      <c r="BB72" s="126" t="str">
        <f t="shared" ref="BB72:BB76" si="43">IMSUM($BK$21,BK16)</f>
        <v>0,17811+0,0332945i</v>
      </c>
      <c r="BC72" s="122">
        <f t="shared" si="37"/>
        <v>110.93490294759579</v>
      </c>
      <c r="BD72" s="292">
        <f t="shared" si="41"/>
        <v>0.11093490294759578</v>
      </c>
      <c r="BE72" s="205" t="s">
        <v>452</v>
      </c>
      <c r="BH72" s="417"/>
      <c r="BI72" s="252" t="s">
        <v>359</v>
      </c>
      <c r="BJ72" s="253">
        <v>1779.9162914808401</v>
      </c>
      <c r="BK72" s="253">
        <v>1541.4527250322001</v>
      </c>
      <c r="BL72" s="253">
        <v>1610.7813475427399</v>
      </c>
      <c r="BM72" s="253">
        <v>912.77044125120801</v>
      </c>
      <c r="BN72" s="218">
        <v>6</v>
      </c>
      <c r="BO72" s="129">
        <v>40</v>
      </c>
      <c r="BP72" s="250">
        <f>BJ71/$BO$72</f>
        <v>306.59018760140498</v>
      </c>
      <c r="BQ72" s="250">
        <f>BK71/$BO$72</f>
        <v>265.51489101385499</v>
      </c>
      <c r="BR72" s="250">
        <f>BL71/$BO$72</f>
        <v>315.50697042902499</v>
      </c>
      <c r="BS72" s="250">
        <f>BM71/$BO$72</f>
        <v>314.45505521171998</v>
      </c>
      <c r="BT72" s="129" t="s">
        <v>249</v>
      </c>
      <c r="BU72" s="127">
        <v>1E-3</v>
      </c>
      <c r="BV72" s="127">
        <v>1E-3</v>
      </c>
      <c r="BW72" s="127">
        <v>1E-3</v>
      </c>
      <c r="BX72" s="127">
        <v>1E-3</v>
      </c>
      <c r="BY72" s="247" t="str">
        <f>IF(((BJ71^2)*BU72)&lt;=((115^2)*($BN$72^2)),"Sim","Não")</f>
        <v>Sim</v>
      </c>
      <c r="BZ72" s="247" t="str">
        <f t="shared" ref="BZ72:CB72" si="44">IF(((BK71^2)*BV72)&lt;=((115^2)*($BN$72^2)),"Sim","Não")</f>
        <v>Sim</v>
      </c>
      <c r="CA72" s="247" t="str">
        <f t="shared" si="44"/>
        <v>Sim</v>
      </c>
      <c r="CB72" s="247" t="str">
        <f t="shared" si="44"/>
        <v>Sim</v>
      </c>
      <c r="CC72" s="287">
        <f t="shared" ref="CC72:CC77" si="45">(0.116/SQRT(BX72))</f>
        <v>3.6682420857953204</v>
      </c>
      <c r="CD72" s="355">
        <f t="shared" ref="CD72:CD77" si="46">AY71</f>
        <v>0.68246187363834432</v>
      </c>
      <c r="CE72" s="126">
        <f t="shared" ref="CE72:CE77" si="47">(1000+1.5*1200*CD72)*CC72</f>
        <v>8174.4257460909448</v>
      </c>
      <c r="CF72" s="297">
        <f>BA70</f>
        <v>2.4476483101131992E-3</v>
      </c>
      <c r="CG72" s="292">
        <f t="shared" ref="CG72:CG77" si="48">CF72*BM72</f>
        <v>2.2341410280497986</v>
      </c>
      <c r="CH72" s="292">
        <f t="shared" ref="CH72:CH77" si="49">CG72/1000</f>
        <v>2.2341410280497988E-3</v>
      </c>
      <c r="CI72" s="205" t="s">
        <v>452</v>
      </c>
    </row>
    <row r="73" spans="2:87" ht="16.5" customHeight="1">
      <c r="B73" s="417"/>
      <c r="C73" s="252" t="s">
        <v>389</v>
      </c>
      <c r="D73" s="253">
        <v>12263.607504056199</v>
      </c>
      <c r="E73" s="253">
        <v>10620.5956405542</v>
      </c>
      <c r="F73" s="253">
        <v>12620.278817160999</v>
      </c>
      <c r="G73" s="253">
        <v>12578.2022084688</v>
      </c>
      <c r="N73" s="155" t="s">
        <v>327</v>
      </c>
      <c r="O73" s="155" t="s">
        <v>328</v>
      </c>
      <c r="P73" s="155" t="s">
        <v>330</v>
      </c>
      <c r="Q73" s="155" t="s">
        <v>331</v>
      </c>
      <c r="R73" s="212" t="s">
        <v>386</v>
      </c>
      <c r="S73" s="213"/>
      <c r="T73" s="199"/>
      <c r="U73" s="199"/>
      <c r="V73" s="199"/>
      <c r="AA73" s="199"/>
      <c r="AB73" s="417"/>
      <c r="AC73" s="252" t="s">
        <v>361</v>
      </c>
      <c r="AD73" s="253">
        <v>1037.2589331465899</v>
      </c>
      <c r="AE73" s="253">
        <v>898.29258640728904</v>
      </c>
      <c r="AF73" s="253">
        <v>931.17272114440198</v>
      </c>
      <c r="AG73" s="253">
        <v>525.64293692311298</v>
      </c>
      <c r="AH73" s="218">
        <v>6</v>
      </c>
      <c r="AI73" s="218">
        <v>25</v>
      </c>
      <c r="AJ73" s="129">
        <v>40</v>
      </c>
      <c r="AK73" s="234">
        <f t="shared" si="31"/>
        <v>25.931473328664747</v>
      </c>
      <c r="AL73" s="234">
        <f t="shared" si="38"/>
        <v>22.457314660182227</v>
      </c>
      <c r="AM73" s="234">
        <f t="shared" si="32"/>
        <v>23.279318028610049</v>
      </c>
      <c r="AN73" s="234">
        <f t="shared" si="33"/>
        <v>13.141073423077824</v>
      </c>
      <c r="AO73" s="129" t="s">
        <v>249</v>
      </c>
      <c r="AP73" s="127">
        <v>1.7000000000000001E-2</v>
      </c>
      <c r="AQ73" s="249">
        <v>1.7999999999999999E-2</v>
      </c>
      <c r="AR73" s="127">
        <v>1.7999999999999999E-2</v>
      </c>
      <c r="AS73" s="127">
        <v>0.04</v>
      </c>
      <c r="AT73" s="247" t="str">
        <f>IF((($AD$73^2)*AP73)&lt;=((115^2)*($AH$73^2)),"Sim","Não")</f>
        <v>Sim</v>
      </c>
      <c r="AU73" s="247" t="str">
        <f>IF(((AE73^2)*AQ73)&lt;=((115^2)*(AH73^2)),"Sim","Não")</f>
        <v>Sim</v>
      </c>
      <c r="AV73" s="247" t="str">
        <f>IF(((AF73^2)*AR73)&lt;=((115^2)*(AH73^2)),"Sim","Não")</f>
        <v>Sim</v>
      </c>
      <c r="AW73" s="247" t="str">
        <f>IF(((AG73^2)*AS73)&lt;=((115^2)*(AH73^2)),"Sim","Não")</f>
        <v>Sim</v>
      </c>
      <c r="AX73" s="265">
        <f t="shared" si="35"/>
        <v>0.57999999999999996</v>
      </c>
      <c r="AY73" s="266">
        <f t="shared" si="39"/>
        <v>0.68246187363834432</v>
      </c>
      <c r="AZ73" s="262">
        <f t="shared" si="40"/>
        <v>1292.4901960784314</v>
      </c>
      <c r="BA73" s="297">
        <f t="shared" si="36"/>
        <v>0.21116390854085365</v>
      </c>
      <c r="BB73" s="126" t="str">
        <f>IMSUM($BK$21,BK17)</f>
        <v>0,20763+0,0384705i</v>
      </c>
      <c r="BC73" s="122">
        <f t="shared" si="37"/>
        <v>110.99681705757793</v>
      </c>
      <c r="BD73" s="292">
        <f t="shared" si="41"/>
        <v>0.11099681705757793</v>
      </c>
      <c r="BE73" s="205" t="s">
        <v>452</v>
      </c>
      <c r="BH73" s="417"/>
      <c r="BI73" s="252" t="s">
        <v>360</v>
      </c>
      <c r="BJ73" s="253">
        <v>1205.20241521659</v>
      </c>
      <c r="BK73" s="253">
        <v>1043.7359082799301</v>
      </c>
      <c r="BL73" s="253">
        <v>1083.8905425990699</v>
      </c>
      <c r="BM73" s="253">
        <v>612.23978804092201</v>
      </c>
      <c r="BN73" s="218">
        <v>6</v>
      </c>
      <c r="BO73" s="129">
        <v>40</v>
      </c>
      <c r="BP73" s="250">
        <f>BJ72/$BO$73</f>
        <v>44.497907287021</v>
      </c>
      <c r="BQ73" s="250">
        <f>BK72/$BO$73</f>
        <v>38.536318125805003</v>
      </c>
      <c r="BR73" s="250">
        <f>BL72/$BO$73</f>
        <v>40.269533688568501</v>
      </c>
      <c r="BS73" s="250">
        <f>BM72/$BO$73</f>
        <v>22.819261031280199</v>
      </c>
      <c r="BT73" s="129" t="s">
        <v>249</v>
      </c>
      <c r="BU73" s="127">
        <v>1.2999999999999999E-2</v>
      </c>
      <c r="BV73" s="127">
        <v>1.4E-2</v>
      </c>
      <c r="BW73" s="127">
        <v>1.35E-2</v>
      </c>
      <c r="BX73" s="127">
        <v>1.7999999999999999E-2</v>
      </c>
      <c r="BY73" s="247" t="str">
        <f>IF(((BJ72^2)*BU73)&lt;=((115^2)*($BN$73^2)),"Sim","Não")</f>
        <v>Sim</v>
      </c>
      <c r="BZ73" s="247" t="str">
        <f t="shared" ref="BZ73:CB73" si="50">IF(((BK72^2)*BV73)&lt;=((115^2)*($BN$73^2)),"Sim","Não")</f>
        <v>Sim</v>
      </c>
      <c r="CA73" s="247" t="str">
        <f t="shared" si="50"/>
        <v>Sim</v>
      </c>
      <c r="CB73" s="247" t="str">
        <f t="shared" si="50"/>
        <v>Sim</v>
      </c>
      <c r="CC73" s="287">
        <f t="shared" si="45"/>
        <v>0.86461295129991866</v>
      </c>
      <c r="CD73" s="355">
        <f t="shared" si="46"/>
        <v>0.68246187363834432</v>
      </c>
      <c r="CE73" s="126">
        <f t="shared" si="47"/>
        <v>1926.7306257889365</v>
      </c>
      <c r="CF73" s="297">
        <f>BA70</f>
        <v>2.4476483101131992E-3</v>
      </c>
      <c r="CG73" s="292">
        <f t="shared" si="48"/>
        <v>1.498547682582426</v>
      </c>
      <c r="CH73" s="292">
        <f t="shared" si="49"/>
        <v>1.4985476825824259E-3</v>
      </c>
      <c r="CI73" s="205" t="s">
        <v>452</v>
      </c>
    </row>
    <row r="74" spans="2:87">
      <c r="B74" s="417"/>
      <c r="C74" s="252" t="s">
        <v>359</v>
      </c>
      <c r="D74" s="253">
        <v>1779.9162914808401</v>
      </c>
      <c r="E74" s="253">
        <v>1541.4527250322001</v>
      </c>
      <c r="F74" s="253">
        <v>1610.7813475427399</v>
      </c>
      <c r="G74" s="253">
        <v>912.77044125120801</v>
      </c>
      <c r="N74" s="126">
        <v>2</v>
      </c>
      <c r="O74" s="126">
        <v>6</v>
      </c>
      <c r="P74" s="126">
        <v>3.39</v>
      </c>
      <c r="Q74" s="126">
        <f>P74*O74</f>
        <v>20.34</v>
      </c>
      <c r="R74" s="140">
        <f>((G15/20)-P74)+Q74</f>
        <v>18.017722430114286</v>
      </c>
      <c r="S74" s="215"/>
      <c r="T74" s="199"/>
      <c r="U74" s="199"/>
      <c r="V74" s="199"/>
      <c r="AA74" s="199"/>
      <c r="AB74" s="417"/>
      <c r="AC74" s="252" t="s">
        <v>362</v>
      </c>
      <c r="AD74" s="253">
        <v>11332.3962530523</v>
      </c>
      <c r="AE74" s="253">
        <v>9814.14304089486</v>
      </c>
      <c r="AF74" s="253">
        <v>11488.626800304301</v>
      </c>
      <c r="AG74" s="253">
        <v>9916.5428007008995</v>
      </c>
      <c r="AH74" s="218">
        <v>120</v>
      </c>
      <c r="AI74" s="218">
        <v>50</v>
      </c>
      <c r="AJ74" s="127">
        <v>600</v>
      </c>
      <c r="AK74" s="234">
        <f t="shared" si="31"/>
        <v>18.887327088420502</v>
      </c>
      <c r="AL74" s="234">
        <f t="shared" si="38"/>
        <v>16.356905068158099</v>
      </c>
      <c r="AM74" s="234">
        <f t="shared" si="32"/>
        <v>19.147711333840501</v>
      </c>
      <c r="AN74" s="234">
        <f t="shared" si="33"/>
        <v>16.527571334501499</v>
      </c>
      <c r="AO74" s="129" t="s">
        <v>238</v>
      </c>
      <c r="AP74" s="127">
        <v>1.7999999999999999E-2</v>
      </c>
      <c r="AQ74" s="127">
        <v>2.5000000000000001E-2</v>
      </c>
      <c r="AR74" s="127">
        <v>1.7999999999999999E-2</v>
      </c>
      <c r="AS74" s="127">
        <v>2.5000000000000001E-2</v>
      </c>
      <c r="AT74" s="247" t="str">
        <f>IF((((AD74/3)^2)*AP74)&lt;=((115^2)*($AH$74^2)),"Sim","Não")</f>
        <v>Sim</v>
      </c>
      <c r="AU74" s="247" t="str">
        <f t="shared" ref="AU74:AW74" si="51">IF((((AE74/3)^2)*AQ74)&lt;=((115^2)*($AH$74^2)),"Sim","Não")</f>
        <v>Sim</v>
      </c>
      <c r="AV74" s="247" t="str">
        <f t="shared" si="51"/>
        <v>Sim</v>
      </c>
      <c r="AW74" s="247" t="str">
        <f t="shared" si="51"/>
        <v>Sim</v>
      </c>
      <c r="AX74" s="265">
        <f t="shared" si="35"/>
        <v>0.73364841715906404</v>
      </c>
      <c r="AY74" s="266">
        <f t="shared" si="39"/>
        <v>0.68246187363834432</v>
      </c>
      <c r="AZ74" s="262">
        <f t="shared" si="40"/>
        <v>1634.8851492181889</v>
      </c>
      <c r="BA74" s="297">
        <f t="shared" si="36"/>
        <v>7.1028925269920841E-3</v>
      </c>
      <c r="BB74" s="126" t="str">
        <f>IMSUM($BK$21,BK18)</f>
        <v>0,00374+0,0060385i</v>
      </c>
      <c r="BC74" s="122">
        <f t="shared" si="37"/>
        <v>70.436137752695572</v>
      </c>
      <c r="BD74" s="292">
        <f t="shared" si="41"/>
        <v>7.0436137752695568E-2</v>
      </c>
      <c r="BE74" s="205" t="s">
        <v>452</v>
      </c>
      <c r="BH74" s="417"/>
      <c r="BI74" s="252" t="s">
        <v>361</v>
      </c>
      <c r="BJ74" s="253">
        <v>1037.2589331465899</v>
      </c>
      <c r="BK74" s="253">
        <v>898.29258640728904</v>
      </c>
      <c r="BL74" s="253">
        <v>931.17272114440198</v>
      </c>
      <c r="BM74" s="253">
        <v>525.64293692311298</v>
      </c>
      <c r="BN74" s="218">
        <v>6</v>
      </c>
      <c r="BO74" s="129">
        <v>40</v>
      </c>
      <c r="BP74" s="250">
        <f>BJ73/$BO$74</f>
        <v>30.130060380414751</v>
      </c>
      <c r="BQ74" s="250">
        <f>BK73/$BO$74</f>
        <v>26.093397706998253</v>
      </c>
      <c r="BR74" s="250">
        <f>BL73/$BO$74</f>
        <v>27.09726356497675</v>
      </c>
      <c r="BS74" s="250">
        <f>BM73/$BO$74</f>
        <v>15.305994701023049</v>
      </c>
      <c r="BT74" s="129" t="s">
        <v>249</v>
      </c>
      <c r="BU74" s="249">
        <v>1.6E-2</v>
      </c>
      <c r="BV74" s="127">
        <v>1.7000000000000001E-2</v>
      </c>
      <c r="BW74" s="127">
        <v>1.7000000000000001E-2</v>
      </c>
      <c r="BX74" s="127">
        <v>0.03</v>
      </c>
      <c r="BY74" s="247" t="str">
        <f>IF(((BJ73^2)*BU74)&lt;=((115^2)*($BN$74^2)),"Sim","Não")</f>
        <v>Sim</v>
      </c>
      <c r="BZ74" s="247" t="str">
        <f t="shared" ref="BZ74:CB74" si="52">IF(((BK73^2)*BV74)&lt;=((115^2)*($BN$74^2)),"Sim","Não")</f>
        <v>Sim</v>
      </c>
      <c r="CA74" s="247" t="str">
        <f t="shared" si="52"/>
        <v>Sim</v>
      </c>
      <c r="CB74" s="247" t="str">
        <f t="shared" si="52"/>
        <v>Sim</v>
      </c>
      <c r="CC74" s="287">
        <f t="shared" si="45"/>
        <v>0.66972631225996593</v>
      </c>
      <c r="CD74" s="355">
        <f t="shared" si="46"/>
        <v>0.68246187363834432</v>
      </c>
      <c r="CE74" s="126">
        <f t="shared" si="47"/>
        <v>1492.4391252616692</v>
      </c>
      <c r="CF74" s="297">
        <f>BA70</f>
        <v>2.4476483101131992E-3</v>
      </c>
      <c r="CG74" s="292">
        <f t="shared" si="48"/>
        <v>1.2865890462827965</v>
      </c>
      <c r="CH74" s="292">
        <f t="shared" si="49"/>
        <v>1.2865890462827965E-3</v>
      </c>
      <c r="CI74" s="205" t="s">
        <v>452</v>
      </c>
    </row>
    <row r="75" spans="2:87">
      <c r="B75" s="417"/>
      <c r="C75" s="252" t="s">
        <v>360</v>
      </c>
      <c r="D75" s="253">
        <v>1205.20241521659</v>
      </c>
      <c r="E75" s="253">
        <v>1043.7359082799301</v>
      </c>
      <c r="F75" s="253">
        <v>1083.8905425990699</v>
      </c>
      <c r="G75" s="253">
        <v>612.23978804092201</v>
      </c>
      <c r="N75" s="126">
        <v>10</v>
      </c>
      <c r="O75" s="126">
        <v>8.6999999999999993</v>
      </c>
      <c r="P75" s="126">
        <v>14.4</v>
      </c>
      <c r="Q75" s="126">
        <f>P75*O75</f>
        <v>125.27999999999999</v>
      </c>
      <c r="R75" s="140">
        <f>(G35-P75)+Q75</f>
        <v>125.5076618070637</v>
      </c>
      <c r="S75" s="215"/>
      <c r="T75" s="199"/>
      <c r="U75" s="199"/>
      <c r="V75" s="199"/>
      <c r="AA75" s="199"/>
      <c r="AB75" s="417"/>
      <c r="AC75" s="252" t="s">
        <v>363</v>
      </c>
      <c r="AD75" s="253">
        <v>2637.4033843785</v>
      </c>
      <c r="AE75" s="253">
        <v>2284.0583308988398</v>
      </c>
      <c r="AF75" s="253">
        <v>2383.1955420033</v>
      </c>
      <c r="AG75" s="253">
        <v>1365.97428355739</v>
      </c>
      <c r="AH75" s="218">
        <v>6</v>
      </c>
      <c r="AI75" s="218">
        <v>25</v>
      </c>
      <c r="AJ75" s="129">
        <v>40</v>
      </c>
      <c r="AK75" s="234">
        <f t="shared" si="31"/>
        <v>65.935084609462507</v>
      </c>
      <c r="AL75" s="234">
        <f t="shared" si="38"/>
        <v>57.101458272470992</v>
      </c>
      <c r="AM75" s="234">
        <f t="shared" si="32"/>
        <v>59.579888550082501</v>
      </c>
      <c r="AN75" s="234">
        <f t="shared" si="33"/>
        <v>34.14935708893475</v>
      </c>
      <c r="AO75" s="129" t="s">
        <v>249</v>
      </c>
      <c r="AP75" s="127">
        <v>1.0800000000000001E-2</v>
      </c>
      <c r="AQ75" s="127">
        <v>1.1599999999999999E-2</v>
      </c>
      <c r="AR75" s="127">
        <v>1.1299999999999999E-2</v>
      </c>
      <c r="AS75" s="127">
        <v>1.4500000000000001E-2</v>
      </c>
      <c r="AT75" s="127" t="str">
        <f>IF((($AD$75^2)*AP75)&lt;=((115^2)*($AH$75^2)),"Sim","Não")</f>
        <v>Sim</v>
      </c>
      <c r="AU75" s="127" t="str">
        <f>IF(((AE75^2)*AQ75)&lt;=((115^2)*(AH75^2)),"Sim","Não")</f>
        <v>Sim</v>
      </c>
      <c r="AV75" s="127" t="str">
        <f>IF(((AF75^2)*AR75)&lt;=((115^2)*(AH75^2)),"Sim","Não")</f>
        <v>Sim</v>
      </c>
      <c r="AW75" s="127" t="str">
        <f>IF(((AG75^2)*AS75)&lt;=((115^2)*(AH75^2)),"Sim","Não")</f>
        <v>Sim</v>
      </c>
      <c r="AX75" s="265">
        <f t="shared" si="35"/>
        <v>0.96332756630338368</v>
      </c>
      <c r="AY75" s="266">
        <f t="shared" si="39"/>
        <v>0.68246187363834432</v>
      </c>
      <c r="AZ75" s="262">
        <f t="shared" si="40"/>
        <v>2146.7093707917561</v>
      </c>
      <c r="BA75" s="297">
        <f t="shared" si="36"/>
        <v>8.0059708032505325E-2</v>
      </c>
      <c r="BB75" s="126" t="str">
        <f t="shared" si="43"/>
        <v>0,07848+0,0158255i</v>
      </c>
      <c r="BC75" s="122">
        <f t="shared" si="37"/>
        <v>109.35950232151528</v>
      </c>
      <c r="BD75" s="292">
        <f t="shared" si="41"/>
        <v>0.10935950232151528</v>
      </c>
      <c r="BE75" s="205" t="s">
        <v>452</v>
      </c>
      <c r="BH75" s="417"/>
      <c r="BI75" s="252" t="s">
        <v>362</v>
      </c>
      <c r="BJ75" s="253">
        <v>11332.3962530523</v>
      </c>
      <c r="BK75" s="253">
        <v>9814.14304089486</v>
      </c>
      <c r="BL75" s="253">
        <v>11488.626800304301</v>
      </c>
      <c r="BM75" s="253">
        <v>9916.5428007008995</v>
      </c>
      <c r="BN75" s="218">
        <v>120</v>
      </c>
      <c r="BO75" s="127">
        <v>600</v>
      </c>
      <c r="BP75" s="250">
        <f>BJ74/$BO$75</f>
        <v>1.7287648885776499</v>
      </c>
      <c r="BQ75" s="250">
        <f>BK74/$BO$75</f>
        <v>1.497154310678815</v>
      </c>
      <c r="BR75" s="250">
        <f>BL74/$BO$75</f>
        <v>1.5519545352406701</v>
      </c>
      <c r="BS75" s="250">
        <f>BM74/$BO$75</f>
        <v>0.87607156153852161</v>
      </c>
      <c r="BT75" s="129" t="s">
        <v>238</v>
      </c>
      <c r="BU75" s="127">
        <v>2400</v>
      </c>
      <c r="BV75" s="127">
        <v>2400</v>
      </c>
      <c r="BW75" s="127">
        <v>2400</v>
      </c>
      <c r="BX75" s="129">
        <v>10800</v>
      </c>
      <c r="BY75" s="273" t="str">
        <f>IF(((BJ74^2)*BU75)&lt;=((115^2)*($BN$75^2)),"Sim","Não")</f>
        <v>Não</v>
      </c>
      <c r="BZ75" s="273" t="str">
        <f t="shared" ref="BZ75:CB75" si="53">IF(((BK74^2)*BV75)&lt;=((115^2)*($BN$75^2)),"Sim","Não")</f>
        <v>Não</v>
      </c>
      <c r="CA75" s="273" t="str">
        <f t="shared" si="53"/>
        <v>Não</v>
      </c>
      <c r="CB75" s="273" t="str">
        <f t="shared" si="53"/>
        <v>Não</v>
      </c>
      <c r="CC75" s="287">
        <f t="shared" si="45"/>
        <v>1.1162105204332764E-3</v>
      </c>
      <c r="CD75" s="355">
        <f t="shared" si="46"/>
        <v>0.68246187363834432</v>
      </c>
      <c r="CE75" s="126">
        <f t="shared" si="47"/>
        <v>2.4873985421027816</v>
      </c>
      <c r="CF75" s="297">
        <f>BA70</f>
        <v>2.4476483101131992E-3</v>
      </c>
      <c r="CG75" s="292">
        <f t="shared" si="48"/>
        <v>24.272209228300767</v>
      </c>
      <c r="CH75" s="292">
        <f t="shared" si="49"/>
        <v>2.4272209228300767E-2</v>
      </c>
      <c r="CI75" s="286" t="s">
        <v>453</v>
      </c>
    </row>
    <row r="76" spans="2:87" ht="13.5" thickBot="1">
      <c r="B76" s="417"/>
      <c r="C76" s="252" t="s">
        <v>361</v>
      </c>
      <c r="D76" s="253">
        <v>1037.2589331465899</v>
      </c>
      <c r="E76" s="253">
        <v>898.29258640728904</v>
      </c>
      <c r="F76" s="253">
        <v>931.17272114440198</v>
      </c>
      <c r="G76" s="253">
        <v>525.64293692311298</v>
      </c>
      <c r="N76" s="126">
        <v>15</v>
      </c>
      <c r="O76" s="126">
        <v>8.5</v>
      </c>
      <c r="P76" s="126">
        <v>20.9</v>
      </c>
      <c r="Q76" s="126">
        <f>P76*O76</f>
        <v>177.64999999999998</v>
      </c>
      <c r="R76" s="140">
        <f>((G38/6)-P76)+Q76</f>
        <v>174.89818003166778</v>
      </c>
      <c r="S76" s="215"/>
      <c r="T76" s="199"/>
      <c r="U76" s="199"/>
      <c r="V76" s="199"/>
      <c r="AA76" s="199"/>
      <c r="AB76" s="418"/>
      <c r="AC76" s="255" t="s">
        <v>364</v>
      </c>
      <c r="AD76" s="256">
        <v>10752.125138244701</v>
      </c>
      <c r="AE76" s="256">
        <v>9311.6135143891806</v>
      </c>
      <c r="AF76" s="256">
        <v>10711.512316689499</v>
      </c>
      <c r="AG76" s="256">
        <v>8593.2131640377193</v>
      </c>
      <c r="AH76" s="154">
        <v>120</v>
      </c>
      <c r="AI76" s="154">
        <v>50</v>
      </c>
      <c r="AJ76" s="246">
        <v>310</v>
      </c>
      <c r="AK76" s="251">
        <f>AD76/$AJ76</f>
        <v>34.684274639499037</v>
      </c>
      <c r="AL76" s="251">
        <f t="shared" si="38"/>
        <v>30.037462949642517</v>
      </c>
      <c r="AM76" s="251">
        <f t="shared" si="32"/>
        <v>34.553265537708064</v>
      </c>
      <c r="AN76" s="251">
        <f t="shared" si="33"/>
        <v>27.720042464637803</v>
      </c>
      <c r="AO76" s="152" t="s">
        <v>317</v>
      </c>
      <c r="AP76" s="246">
        <v>1.4999999999999999E-2</v>
      </c>
      <c r="AQ76" s="246">
        <v>1.6500000000000001E-2</v>
      </c>
      <c r="AR76" s="246">
        <v>1.4500000000000001E-2</v>
      </c>
      <c r="AS76" s="246">
        <v>1.7000000000000001E-2</v>
      </c>
      <c r="AT76" s="283" t="str">
        <f>IF((($AD$76^2)*AP76)&lt;=((115^2)*($AH$76^2)),"Sim","Não")</f>
        <v>Sim</v>
      </c>
      <c r="AU76" s="283" t="str">
        <f t="shared" ref="AU76" si="54">IF(((AE76^2)*AQ76)&lt;=((115^2)*(AH76^2)),"Sim","Não")</f>
        <v>Sim</v>
      </c>
      <c r="AV76" s="283" t="str">
        <f t="shared" ref="AV76" si="55">IF(((AF76^2)*AR76)&lt;=((115^2)*(AH76^2)),"Sim","Não")</f>
        <v>Sim</v>
      </c>
      <c r="AW76" s="283" t="str">
        <f t="shared" ref="AW76" si="56">IF(((AG76^2)*AS76)&lt;=((115^2)*(AH76^2)),"Sim","Não")</f>
        <v>Sim</v>
      </c>
      <c r="AX76" s="267">
        <f t="shared" si="35"/>
        <v>0.88967938706294969</v>
      </c>
      <c r="AY76" s="268">
        <f t="shared" si="39"/>
        <v>0.68246187363834432</v>
      </c>
      <c r="AZ76" s="263">
        <f>(1000+1.5*1200*AY76)*AX76</f>
        <v>1982.5894576412595</v>
      </c>
      <c r="BA76" s="296">
        <f t="shared" si="36"/>
        <v>1.0223014831741171E-2</v>
      </c>
      <c r="BB76" s="144" t="str">
        <f t="shared" si="43"/>
        <v>0,00547+0,0086365i</v>
      </c>
      <c r="BC76" s="156">
        <f t="shared" si="37"/>
        <v>87.848545628271083</v>
      </c>
      <c r="BD76" s="291">
        <f t="shared" si="41"/>
        <v>8.7848545628271088E-2</v>
      </c>
      <c r="BE76" s="145" t="s">
        <v>452</v>
      </c>
      <c r="BH76" s="417"/>
      <c r="BI76" s="252" t="s">
        <v>363</v>
      </c>
      <c r="BJ76" s="253">
        <v>2637.4033843785</v>
      </c>
      <c r="BK76" s="253">
        <v>2284.0583308988398</v>
      </c>
      <c r="BL76" s="253">
        <v>2383.1955420033</v>
      </c>
      <c r="BM76" s="253">
        <v>1365.97428355739</v>
      </c>
      <c r="BN76" s="218">
        <v>6</v>
      </c>
      <c r="BO76" s="129">
        <v>40</v>
      </c>
      <c r="BP76" s="250">
        <f>BJ75/$BO$76</f>
        <v>283.3099063263075</v>
      </c>
      <c r="BQ76" s="250">
        <f>BK75/$BO$76</f>
        <v>245.3535760223715</v>
      </c>
      <c r="BR76" s="250">
        <f>BL75/$BO$76</f>
        <v>287.21567000760751</v>
      </c>
      <c r="BS76" s="250">
        <f>BM75/$BO$76</f>
        <v>247.91357001752249</v>
      </c>
      <c r="BT76" s="129" t="s">
        <v>249</v>
      </c>
      <c r="BU76" s="127">
        <v>1E-3</v>
      </c>
      <c r="BV76" s="127">
        <v>1E-3</v>
      </c>
      <c r="BW76" s="127">
        <v>1E-3</v>
      </c>
      <c r="BX76" s="127">
        <v>1E-3</v>
      </c>
      <c r="BY76" s="247" t="str">
        <f>IF(((BJ75^2)*BU76)&lt;=((115^2)*($BN$76^2)),"Sim","Não")</f>
        <v>Sim</v>
      </c>
      <c r="BZ76" s="247" t="str">
        <f t="shared" ref="BZ76:CB76" si="57">IF(((BK75^2)*BV76)&lt;=((115^2)*($BN$76^2)),"Sim","Não")</f>
        <v>Sim</v>
      </c>
      <c r="CA76" s="247" t="str">
        <f t="shared" si="57"/>
        <v>Sim</v>
      </c>
      <c r="CB76" s="247" t="str">
        <f t="shared" si="57"/>
        <v>Sim</v>
      </c>
      <c r="CC76" s="287">
        <f t="shared" si="45"/>
        <v>3.6682420857953204</v>
      </c>
      <c r="CD76" s="355">
        <f t="shared" si="46"/>
        <v>0.68246187363834432</v>
      </c>
      <c r="CE76" s="126">
        <f t="shared" si="47"/>
        <v>8174.4257460909448</v>
      </c>
      <c r="CF76" s="297">
        <f>BA70</f>
        <v>2.4476483101131992E-3</v>
      </c>
      <c r="CG76" s="292">
        <f t="shared" si="48"/>
        <v>3.3434246468073336</v>
      </c>
      <c r="CH76" s="292">
        <f t="shared" si="49"/>
        <v>3.3434246468073336E-3</v>
      </c>
      <c r="CI76" s="205" t="s">
        <v>452</v>
      </c>
    </row>
    <row r="77" spans="2:87" ht="13.5" thickBot="1">
      <c r="B77" s="417"/>
      <c r="C77" s="252" t="s">
        <v>362</v>
      </c>
      <c r="D77" s="253">
        <v>11332.3962530523</v>
      </c>
      <c r="E77" s="253">
        <v>9814.14304089486</v>
      </c>
      <c r="F77" s="253">
        <v>11488.626800304301</v>
      </c>
      <c r="G77" s="253">
        <v>9916.5428007008995</v>
      </c>
      <c r="N77" s="126">
        <v>25</v>
      </c>
      <c r="O77" s="126">
        <v>8.1999999999999993</v>
      </c>
      <c r="P77" s="126">
        <v>61</v>
      </c>
      <c r="Q77" s="126">
        <f>P77*O77</f>
        <v>500.19999999999993</v>
      </c>
      <c r="R77" s="140">
        <f>((G25/4)-P77)+Q77</f>
        <v>465.99802151410501</v>
      </c>
      <c r="S77" s="215"/>
      <c r="T77" s="199"/>
      <c r="U77" s="199"/>
      <c r="V77" s="199"/>
      <c r="AA77" s="199"/>
      <c r="AB77" s="412" t="s">
        <v>267</v>
      </c>
      <c r="AC77" s="118" t="s">
        <v>369</v>
      </c>
      <c r="AD77" s="209">
        <v>11989.400275996601</v>
      </c>
      <c r="AE77" s="209">
        <v>10383.125215153301</v>
      </c>
      <c r="AF77" s="209">
        <v>12408.254752432</v>
      </c>
      <c r="AG77" s="209">
        <v>11959.952686639501</v>
      </c>
      <c r="AH77" s="232">
        <v>185</v>
      </c>
      <c r="AI77" s="232">
        <v>50</v>
      </c>
      <c r="AJ77" s="137">
        <v>800</v>
      </c>
      <c r="AK77" s="250">
        <f t="shared" si="31"/>
        <v>14.98675034499575</v>
      </c>
      <c r="AL77" s="250">
        <f t="shared" si="38"/>
        <v>12.978906518941626</v>
      </c>
      <c r="AM77" s="250">
        <f t="shared" si="32"/>
        <v>15.510318440539999</v>
      </c>
      <c r="AN77" s="250">
        <f t="shared" si="33"/>
        <v>14.949940858299376</v>
      </c>
      <c r="AO77" s="233" t="s">
        <v>238</v>
      </c>
      <c r="AP77" s="229">
        <v>2.5000000000000001E-2</v>
      </c>
      <c r="AQ77" s="229">
        <v>0.06</v>
      </c>
      <c r="AR77" s="229">
        <v>2.5000000000000001E-2</v>
      </c>
      <c r="AS77" s="229">
        <v>2.5000000000000001E-2</v>
      </c>
      <c r="AT77" s="247" t="str">
        <f>IF((((AD77/2)^2)*AP77)&lt;=((115^2)*($AH$77^2)),"Sim","Não")</f>
        <v>Sim</v>
      </c>
      <c r="AU77" s="247" t="str">
        <f t="shared" ref="AU77:AW77" si="58">IF((((AE77/2)^2)*AQ77)&lt;=((115^2)*($AH$77^2)),"Sim","Não")</f>
        <v>Sim</v>
      </c>
      <c r="AV77" s="247" t="str">
        <f t="shared" si="58"/>
        <v>Sim</v>
      </c>
      <c r="AW77" s="247" t="str">
        <f t="shared" si="58"/>
        <v>Sim</v>
      </c>
      <c r="AX77" s="269">
        <f t="shared" si="35"/>
        <v>0.73364841715906404</v>
      </c>
      <c r="AY77" s="270">
        <f>(1-((0.106)*((1-100/1200)/((2*0.1)+0.106))))</f>
        <v>0.68246187363834432</v>
      </c>
      <c r="AZ77" s="264">
        <f>(1000+1.5*1200*AY77)*AX77</f>
        <v>1634.8851492181889</v>
      </c>
      <c r="BA77" s="295">
        <f t="shared" si="36"/>
        <v>2.6675226803159519E-3</v>
      </c>
      <c r="BB77" s="279" t="str">
        <f>BK28</f>
        <v>0,001265+0,0023485i</v>
      </c>
      <c r="BC77" s="135">
        <f t="shared" si="37"/>
        <v>31.90344504711657</v>
      </c>
      <c r="BD77" s="290">
        <f t="shared" si="41"/>
        <v>3.190344504711657E-2</v>
      </c>
      <c r="BE77" s="205" t="s">
        <v>452</v>
      </c>
      <c r="BH77" s="418"/>
      <c r="BI77" s="255" t="s">
        <v>364</v>
      </c>
      <c r="BJ77" s="256">
        <v>10752.125138244701</v>
      </c>
      <c r="BK77" s="256">
        <v>9311.6135143891806</v>
      </c>
      <c r="BL77" s="256">
        <v>10711.512316689499</v>
      </c>
      <c r="BM77" s="256">
        <v>8593.2131640377193</v>
      </c>
      <c r="BN77" s="154">
        <v>120</v>
      </c>
      <c r="BO77" s="246">
        <v>310</v>
      </c>
      <c r="BP77" s="345">
        <f>BJ76/$BO$77</f>
        <v>8.5077528528338711</v>
      </c>
      <c r="BQ77" s="345">
        <f>BK76/$BO$77</f>
        <v>7.3679300996736767</v>
      </c>
      <c r="BR77" s="345">
        <f>BL76/$BO$77</f>
        <v>7.6877275548493547</v>
      </c>
      <c r="BS77" s="345">
        <f>BM76/$BO$77</f>
        <v>4.4063686566367419</v>
      </c>
      <c r="BT77" s="152" t="s">
        <v>317</v>
      </c>
      <c r="BU77" s="246">
        <v>22</v>
      </c>
      <c r="BV77" s="246">
        <v>30</v>
      </c>
      <c r="BW77" s="246">
        <v>32</v>
      </c>
      <c r="BX77" s="246">
        <v>60</v>
      </c>
      <c r="BY77" s="283" t="str">
        <f>IF(((BJ76^2)*BU77)&lt;=((115^2)*($BN$77^2)),"Sim","Não")</f>
        <v>Sim</v>
      </c>
      <c r="BZ77" s="283" t="str">
        <f t="shared" ref="BZ77:CB77" si="59">IF(((BK76^2)*BV77)&lt;=((115^2)*($BN$77^2)),"Sim","Não")</f>
        <v>Sim</v>
      </c>
      <c r="CA77" s="283" t="str">
        <f t="shared" si="59"/>
        <v>Sim</v>
      </c>
      <c r="CB77" s="283" t="str">
        <f t="shared" si="59"/>
        <v>Sim</v>
      </c>
      <c r="CC77" s="348">
        <f t="shared" si="45"/>
        <v>1.4975535605335346E-2</v>
      </c>
      <c r="CD77" s="356">
        <f t="shared" si="46"/>
        <v>0.68246187363834432</v>
      </c>
      <c r="CE77" s="144">
        <f t="shared" si="47"/>
        <v>33.371953363654157</v>
      </c>
      <c r="CF77" s="296">
        <f>BA70</f>
        <v>2.4476483101131992E-3</v>
      </c>
      <c r="CG77" s="291">
        <f t="shared" si="48"/>
        <v>21.033163679399422</v>
      </c>
      <c r="CH77" s="291">
        <f t="shared" si="49"/>
        <v>2.1033163679399423E-2</v>
      </c>
      <c r="CI77" s="145" t="s">
        <v>452</v>
      </c>
    </row>
    <row r="78" spans="2:87">
      <c r="B78" s="417"/>
      <c r="C78" s="252" t="s">
        <v>363</v>
      </c>
      <c r="D78" s="253">
        <v>2637.4033843785</v>
      </c>
      <c r="E78" s="253">
        <v>2284.0583308988398</v>
      </c>
      <c r="F78" s="253">
        <v>2383.1955420033</v>
      </c>
      <c r="G78" s="253">
        <v>1365.97428355739</v>
      </c>
      <c r="N78" s="126">
        <v>400</v>
      </c>
      <c r="O78" s="126">
        <v>7.5</v>
      </c>
      <c r="P78" s="126">
        <v>594</v>
      </c>
      <c r="Q78" s="126">
        <f>P78*O78</f>
        <v>4455</v>
      </c>
      <c r="R78" s="140">
        <f>(G18-P78)+Q78</f>
        <v>4400.5988680871442</v>
      </c>
      <c r="S78" s="215"/>
      <c r="T78" s="199"/>
      <c r="U78" s="199"/>
      <c r="V78" s="199"/>
      <c r="AA78" s="199"/>
      <c r="AB78" s="413"/>
      <c r="AC78" s="118" t="s">
        <v>365</v>
      </c>
      <c r="AD78" s="209">
        <v>7789.6109583950802</v>
      </c>
      <c r="AE78" s="209">
        <v>6746.0009755677802</v>
      </c>
      <c r="AF78" s="209">
        <v>7414.9105798990204</v>
      </c>
      <c r="AG78" s="209">
        <v>4187.0059312172398</v>
      </c>
      <c r="AH78" s="218">
        <v>50</v>
      </c>
      <c r="AI78" s="218">
        <v>25</v>
      </c>
      <c r="AJ78" s="129">
        <v>150</v>
      </c>
      <c r="AK78" s="234">
        <f t="shared" si="31"/>
        <v>51.930739722633867</v>
      </c>
      <c r="AL78" s="234">
        <f t="shared" si="38"/>
        <v>44.973339837118537</v>
      </c>
      <c r="AM78" s="234">
        <f t="shared" si="32"/>
        <v>49.432737199326802</v>
      </c>
      <c r="AN78" s="234">
        <f t="shared" si="33"/>
        <v>27.913372874781597</v>
      </c>
      <c r="AO78" s="205" t="s">
        <v>249</v>
      </c>
      <c r="AP78" s="126">
        <v>1.2E-2</v>
      </c>
      <c r="AQ78" s="126">
        <v>1.2999999999999999E-2</v>
      </c>
      <c r="AR78" s="126">
        <v>1.2E-2</v>
      </c>
      <c r="AS78" s="126">
        <v>1.7000000000000001E-2</v>
      </c>
      <c r="AT78" s="247" t="str">
        <f>IF(((AD78^2)*AP78)&lt;=((115^2)*($AH$78^2)),"Sim","Não")</f>
        <v>Sim</v>
      </c>
      <c r="AU78" s="247" t="str">
        <f>IF(((AE78^2)*AQ78)&lt;=((115^2)*($AH$78^2)),"Sim","Não")</f>
        <v>Sim</v>
      </c>
      <c r="AV78" s="247" t="str">
        <f>IF(((AF78^2)*AR78)&lt;=((115^2)*($AH$78^2)),"Sim","Não")</f>
        <v>Sim</v>
      </c>
      <c r="AW78" s="247" t="str">
        <f>IF(((AG78^2)*AS78)&lt;=((115^2)*($AH$78^2)),"Sim","Não")</f>
        <v>Sim</v>
      </c>
      <c r="AX78" s="265">
        <f t="shared" si="35"/>
        <v>0.88967938706294969</v>
      </c>
      <c r="AY78" s="266">
        <f t="shared" ref="AY78:AY81" si="60">(1-((0.106)*((1-100/1200)/((2*0.1)+0.106))))</f>
        <v>0.68246187363834432</v>
      </c>
      <c r="AZ78" s="262">
        <f>(1000+1.5*1200*AY78)*AX78</f>
        <v>1982.5894576412595</v>
      </c>
      <c r="BA78" s="297">
        <f t="shared" si="36"/>
        <v>3.0809163332521709E-2</v>
      </c>
      <c r="BB78" s="126" t="str">
        <f>IMSUM($BK$28,BK24)</f>
        <v>0,025625+0,0171045i</v>
      </c>
      <c r="BC78" s="122">
        <f t="shared" si="37"/>
        <v>128.99814960910911</v>
      </c>
      <c r="BD78" s="292">
        <f t="shared" si="41"/>
        <v>0.1289981496091091</v>
      </c>
      <c r="BE78" s="205" t="s">
        <v>452</v>
      </c>
      <c r="BH78" s="412" t="s">
        <v>447</v>
      </c>
      <c r="BI78" s="282" t="s">
        <v>358</v>
      </c>
      <c r="BJ78" s="209">
        <v>12570.6673372518</v>
      </c>
      <c r="BK78" s="209">
        <v>10886.5172565833</v>
      </c>
      <c r="BL78" s="209">
        <v>13182.426660237799</v>
      </c>
      <c r="BM78" s="231">
        <v>13955.689383455299</v>
      </c>
      <c r="BN78" s="423"/>
      <c r="BO78" s="424"/>
      <c r="BP78" s="424"/>
      <c r="BQ78" s="424"/>
      <c r="BR78" s="424"/>
      <c r="BS78" s="424"/>
      <c r="BT78" s="424"/>
      <c r="BU78" s="424"/>
      <c r="BV78" s="424"/>
      <c r="BW78" s="424"/>
      <c r="BX78" s="424"/>
      <c r="BY78" s="424"/>
      <c r="BZ78" s="424"/>
      <c r="CA78" s="424"/>
      <c r="CB78" s="424"/>
      <c r="CC78" s="424"/>
      <c r="CD78" s="424"/>
      <c r="CE78" s="424"/>
      <c r="CF78" s="424"/>
      <c r="CG78" s="424"/>
      <c r="CH78" s="424"/>
      <c r="CI78" s="425"/>
    </row>
    <row r="79" spans="2:87" ht="13.5" thickBot="1">
      <c r="B79" s="418"/>
      <c r="C79" s="255" t="s">
        <v>364</v>
      </c>
      <c r="D79" s="256">
        <v>10752.125138244701</v>
      </c>
      <c r="E79" s="256">
        <v>9311.6135143891806</v>
      </c>
      <c r="F79" s="256">
        <v>10711.512316689499</v>
      </c>
      <c r="G79" s="256">
        <v>8593.2131640377193</v>
      </c>
      <c r="O79"/>
      <c r="T79" s="199"/>
      <c r="U79" s="199"/>
      <c r="V79" s="199"/>
      <c r="AA79" s="199"/>
      <c r="AB79" s="413"/>
      <c r="AC79" s="118" t="s">
        <v>366</v>
      </c>
      <c r="AD79" s="209">
        <v>8718.6036028158105</v>
      </c>
      <c r="AE79" s="209">
        <v>7550.5322055650304</v>
      </c>
      <c r="AF79" s="209">
        <v>8506.9626189001992</v>
      </c>
      <c r="AG79" s="209">
        <v>5279.7822139039499</v>
      </c>
      <c r="AH79" s="218">
        <v>25</v>
      </c>
      <c r="AI79" s="218">
        <v>50</v>
      </c>
      <c r="AJ79" s="129">
        <v>110</v>
      </c>
      <c r="AK79" s="234">
        <f t="shared" si="31"/>
        <v>79.260032752870998</v>
      </c>
      <c r="AL79" s="234">
        <f t="shared" si="38"/>
        <v>68.64120186877301</v>
      </c>
      <c r="AM79" s="234">
        <f t="shared" si="32"/>
        <v>77.336023808183626</v>
      </c>
      <c r="AN79" s="234">
        <f t="shared" si="33"/>
        <v>47.998020126399545</v>
      </c>
      <c r="AO79" s="129" t="s">
        <v>311</v>
      </c>
      <c r="AP79" s="127">
        <v>1.0500000000000001E-2</v>
      </c>
      <c r="AQ79" s="127">
        <v>1.12E-2</v>
      </c>
      <c r="AR79" s="127">
        <v>1.0500000000000001E-2</v>
      </c>
      <c r="AS79" s="127">
        <v>1.2500000000000001E-2</v>
      </c>
      <c r="AT79" s="247" t="str">
        <f>IF(((AD79^2)*AP79)&lt;=((115^2)*($AH$79^2)),"Sim","Não")</f>
        <v>Sim</v>
      </c>
      <c r="AU79" s="247" t="str">
        <f t="shared" ref="AU79:AW79" si="61">IF(((AE79^2)*AQ79)&lt;=((115^2)*($AH$79^2)),"Sim","Não")</f>
        <v>Sim</v>
      </c>
      <c r="AV79" s="247" t="str">
        <f t="shared" si="61"/>
        <v>Sim</v>
      </c>
      <c r="AW79" s="247" t="str">
        <f t="shared" si="61"/>
        <v>Sim</v>
      </c>
      <c r="AX79" s="265">
        <f t="shared" si="35"/>
        <v>1.0375355415599026</v>
      </c>
      <c r="AY79" s="266">
        <f t="shared" si="60"/>
        <v>0.68246187363834432</v>
      </c>
      <c r="AZ79" s="262">
        <f t="shared" ref="AZ79:AZ81" si="62">(1000+1.5*1200*AY79)*AX79</f>
        <v>2312.0767509467241</v>
      </c>
      <c r="BA79" s="297">
        <f t="shared" si="36"/>
        <v>2.1524421136235001E-2</v>
      </c>
      <c r="BB79" s="126" t="str">
        <f t="shared" ref="BB79:BB81" si="63">IMSUM($BK$28,BK25)</f>
        <v>0,019205+0,0097195i</v>
      </c>
      <c r="BC79" s="122">
        <f t="shared" si="37"/>
        <v>113.6442558796718</v>
      </c>
      <c r="BD79" s="292">
        <f t="shared" si="41"/>
        <v>0.11364425587967181</v>
      </c>
      <c r="BE79" s="205" t="s">
        <v>452</v>
      </c>
      <c r="BH79" s="413"/>
      <c r="BI79" s="282" t="s">
        <v>369</v>
      </c>
      <c r="BJ79" s="209">
        <v>11989.400275996601</v>
      </c>
      <c r="BK79" s="209">
        <v>10383.125215153301</v>
      </c>
      <c r="BL79" s="209">
        <v>12408.254752432</v>
      </c>
      <c r="BM79" s="209">
        <v>11959.952686639501</v>
      </c>
      <c r="BN79" s="232">
        <v>185</v>
      </c>
      <c r="BO79" s="137">
        <v>800</v>
      </c>
      <c r="BP79" s="250">
        <f>BJ78/$BO$79</f>
        <v>15.71333417156475</v>
      </c>
      <c r="BQ79" s="250">
        <f>BK78/$BO$79</f>
        <v>13.608146570729126</v>
      </c>
      <c r="BR79" s="250">
        <f>BL78/$BO$79</f>
        <v>16.47803332529725</v>
      </c>
      <c r="BS79" s="250">
        <f>BM78/$BO$79</f>
        <v>17.444611729319124</v>
      </c>
      <c r="BT79" s="233" t="s">
        <v>238</v>
      </c>
      <c r="BU79" s="247">
        <v>2.5000000000000001E-2</v>
      </c>
      <c r="BV79" s="247">
        <v>0.06</v>
      </c>
      <c r="BW79" s="247">
        <v>2.5000000000000001E-2</v>
      </c>
      <c r="BX79" s="247">
        <v>2.5000000000000001E-2</v>
      </c>
      <c r="BY79" s="247" t="str">
        <f>IF(((BJ78^2)*BU79)&lt;=((115^2)*($BN$79^2)),"Sim","Não")</f>
        <v>Sim</v>
      </c>
      <c r="BZ79" s="247" t="str">
        <f t="shared" ref="BZ79:CB79" si="64">IF(((BK78^2)*BV79)&lt;=((115^2)*($BN$79^2)),"Sim","Não")</f>
        <v>Sim</v>
      </c>
      <c r="CA79" s="247" t="str">
        <f t="shared" si="64"/>
        <v>Sim</v>
      </c>
      <c r="CB79" s="247" t="str">
        <f t="shared" si="64"/>
        <v>Sim</v>
      </c>
      <c r="CC79" s="260">
        <f>(0.116/SQRT(BX79))</f>
        <v>0.73364841715906404</v>
      </c>
      <c r="CD79" s="355">
        <f>AY77</f>
        <v>0.68246187363834432</v>
      </c>
      <c r="CE79" s="127">
        <f>(1000+1.5*1200*CD79)*CC79</f>
        <v>1634.8851492181889</v>
      </c>
      <c r="CF79" s="293">
        <f>BA77</f>
        <v>2.6675226803159519E-3</v>
      </c>
      <c r="CG79" s="288">
        <f>CF79*BM79</f>
        <v>31.90344504711657</v>
      </c>
      <c r="CH79" s="127">
        <f>CG79/1000</f>
        <v>3.190344504711657E-2</v>
      </c>
      <c r="CI79" s="129" t="s">
        <v>452</v>
      </c>
    </row>
    <row r="80" spans="2:87">
      <c r="B80" s="412" t="s">
        <v>267</v>
      </c>
      <c r="C80" s="208" t="s">
        <v>356</v>
      </c>
      <c r="D80" s="402">
        <v>2002.7862014110799</v>
      </c>
      <c r="E80" s="402">
        <v>1734.4637287709299</v>
      </c>
      <c r="F80" s="402">
        <v>1775.8868349547399</v>
      </c>
      <c r="G80" s="401">
        <v>1399.57936933429</v>
      </c>
      <c r="H80">
        <v>497.75</v>
      </c>
      <c r="T80" s="199"/>
      <c r="U80" s="199"/>
      <c r="V80" s="199"/>
      <c r="AA80" s="199"/>
      <c r="AB80" s="413"/>
      <c r="AC80" s="118" t="s">
        <v>367</v>
      </c>
      <c r="AD80" s="209">
        <v>9794.1263143625401</v>
      </c>
      <c r="AE80" s="209">
        <v>8481.96219611161</v>
      </c>
      <c r="AF80" s="209">
        <v>9525.0004598597698</v>
      </c>
      <c r="AG80" s="209">
        <v>6934.5835960788199</v>
      </c>
      <c r="AH80" s="218">
        <v>120</v>
      </c>
      <c r="AI80" s="218">
        <v>50</v>
      </c>
      <c r="AJ80" s="126">
        <v>300</v>
      </c>
      <c r="AK80" s="234">
        <f t="shared" si="31"/>
        <v>32.647087714541797</v>
      </c>
      <c r="AL80" s="234">
        <f t="shared" si="38"/>
        <v>28.273207320372034</v>
      </c>
      <c r="AM80" s="234">
        <f t="shared" si="32"/>
        <v>31.750001532865898</v>
      </c>
      <c r="AN80" s="234">
        <f t="shared" si="33"/>
        <v>23.115278653596068</v>
      </c>
      <c r="AO80" s="205" t="s">
        <v>240</v>
      </c>
      <c r="AP80" s="126">
        <v>1.6E-2</v>
      </c>
      <c r="AQ80" s="126">
        <v>1.6500000000000001E-2</v>
      </c>
      <c r="AR80" s="126">
        <v>1.6E-2</v>
      </c>
      <c r="AS80" s="126">
        <v>1.7500000000000002E-2</v>
      </c>
      <c r="AT80" s="247" t="str">
        <f>IF(((AD80^2)*AP80)&lt;=((115^2)*($AH$80^2)),"Sim","Não")</f>
        <v>Sim</v>
      </c>
      <c r="AU80" s="247" t="str">
        <f t="shared" ref="AU80:AW80" si="65">IF(((AE80^2)*AQ80)&lt;=((115^2)*($AH$80^2)),"Sim","Não")</f>
        <v>Sim</v>
      </c>
      <c r="AV80" s="247" t="str">
        <f t="shared" si="65"/>
        <v>Sim</v>
      </c>
      <c r="AW80" s="247" t="str">
        <f t="shared" si="65"/>
        <v>Sim</v>
      </c>
      <c r="AX80" s="265">
        <f t="shared" si="35"/>
        <v>0.87687757738140715</v>
      </c>
      <c r="AY80" s="266">
        <f t="shared" si="60"/>
        <v>0.68246187363834432</v>
      </c>
      <c r="AZ80" s="262">
        <f t="shared" si="62"/>
        <v>1954.0615033215083</v>
      </c>
      <c r="BA80" s="297">
        <f t="shared" si="36"/>
        <v>1.4926320083999271E-2</v>
      </c>
      <c r="BB80" s="126" t="str">
        <f t="shared" si="63"/>
        <v>0,008305+0,0124025i</v>
      </c>
      <c r="BC80" s="122">
        <f t="shared" si="37"/>
        <v>103.50781440432318</v>
      </c>
      <c r="BD80" s="292">
        <f t="shared" si="41"/>
        <v>0.10350781440432319</v>
      </c>
      <c r="BE80" s="205" t="s">
        <v>452</v>
      </c>
      <c r="BH80" s="413"/>
      <c r="BI80" s="282" t="s">
        <v>365</v>
      </c>
      <c r="BJ80" s="209">
        <v>7789.6109583950802</v>
      </c>
      <c r="BK80" s="209">
        <v>6746.0009755677802</v>
      </c>
      <c r="BL80" s="209">
        <v>7414.9105798990204</v>
      </c>
      <c r="BM80" s="209">
        <v>4187.0059312172398</v>
      </c>
      <c r="BN80" s="218">
        <v>50</v>
      </c>
      <c r="BO80" s="129">
        <v>150</v>
      </c>
      <c r="BP80" s="250">
        <f>BJ79/$BO$80</f>
        <v>79.929335173310676</v>
      </c>
      <c r="BQ80" s="250">
        <f>BK79/$BO$80</f>
        <v>69.220834767688672</v>
      </c>
      <c r="BR80" s="250">
        <f>BL79/$BO$80</f>
        <v>82.721698349546671</v>
      </c>
      <c r="BS80" s="250">
        <f>BM79/$BO$80</f>
        <v>79.733017910930002</v>
      </c>
      <c r="BT80" s="129" t="s">
        <v>249</v>
      </c>
      <c r="BU80" s="127">
        <v>0.01</v>
      </c>
      <c r="BV80" s="127">
        <v>1.0500000000000001E-2</v>
      </c>
      <c r="BW80" s="127">
        <v>0.01</v>
      </c>
      <c r="BX80" s="127">
        <v>0.01</v>
      </c>
      <c r="BY80" s="247" t="str">
        <f>IF(((BJ79^2)*BU80)&lt;=((115^2)*($BN$80^2)),"Sim","Não")</f>
        <v>Sim</v>
      </c>
      <c r="BZ80" s="247" t="str">
        <f t="shared" ref="BZ80:CB80" si="66">IF(((BK79^2)*BV80)&lt;=((115^2)*($BN$80^2)),"Sim","Não")</f>
        <v>Sim</v>
      </c>
      <c r="CA80" s="247" t="str">
        <f t="shared" si="66"/>
        <v>Sim</v>
      </c>
      <c r="CB80" s="247" t="str">
        <f t="shared" si="66"/>
        <v>Sim</v>
      </c>
      <c r="CC80" s="260">
        <f t="shared" ref="CC80:CC83" si="67">(0.116/SQRT(BX80))</f>
        <v>1.1599999999999999</v>
      </c>
      <c r="CD80" s="355">
        <f t="shared" ref="CD80:CD83" si="68">AY78</f>
        <v>0.68246187363834432</v>
      </c>
      <c r="CE80" s="288">
        <f t="shared" ref="CE80:CE83" si="69">(1000+1.5*1200*CD80)*CC80</f>
        <v>2584.9803921568628</v>
      </c>
      <c r="CF80" s="293">
        <f>$BA$77</f>
        <v>2.6675226803159519E-3</v>
      </c>
      <c r="CG80" s="288">
        <f t="shared" ref="CG80:CG83" si="70">CF80*BM80</f>
        <v>11.168933284139399</v>
      </c>
      <c r="CH80" s="127">
        <f t="shared" ref="CH80:CH83" si="71">CG80/1000</f>
        <v>1.1168933284139398E-2</v>
      </c>
      <c r="CI80" s="129" t="s">
        <v>452</v>
      </c>
    </row>
    <row r="81" spans="2:87" ht="13.5" thickBot="1">
      <c r="B81" s="413"/>
      <c r="C81" s="282" t="s">
        <v>357</v>
      </c>
      <c r="D81" s="403">
        <v>1905.9282577316901</v>
      </c>
      <c r="E81" s="403">
        <v>1650.58228898626</v>
      </c>
      <c r="F81" s="403">
        <v>1681.1688765041699</v>
      </c>
      <c r="G81" s="403">
        <v>1354.66639295554</v>
      </c>
      <c r="H81">
        <v>488.46</v>
      </c>
      <c r="T81" s="199"/>
      <c r="U81" s="199"/>
      <c r="V81" s="199"/>
      <c r="AA81" s="199"/>
      <c r="AB81" s="414"/>
      <c r="AC81" s="207" t="s">
        <v>368</v>
      </c>
      <c r="AD81" s="210">
        <v>7898.1427597489401</v>
      </c>
      <c r="AE81" s="210">
        <v>6839.9922726587101</v>
      </c>
      <c r="AF81" s="210">
        <v>7513.3237002167598</v>
      </c>
      <c r="AG81" s="210">
        <v>4358.0462721563699</v>
      </c>
      <c r="AH81" s="154">
        <v>70</v>
      </c>
      <c r="AI81" s="154">
        <v>50</v>
      </c>
      <c r="AJ81" s="152">
        <v>200</v>
      </c>
      <c r="AK81" s="251">
        <f t="shared" si="31"/>
        <v>39.4907137987447</v>
      </c>
      <c r="AL81" s="251">
        <f t="shared" si="38"/>
        <v>34.199961363293554</v>
      </c>
      <c r="AM81" s="251">
        <f t="shared" si="32"/>
        <v>37.566618501083802</v>
      </c>
      <c r="AN81" s="251">
        <f t="shared" si="33"/>
        <v>21.790231360781849</v>
      </c>
      <c r="AO81" s="152" t="s">
        <v>245</v>
      </c>
      <c r="AP81" s="246">
        <v>1.4E-2</v>
      </c>
      <c r="AQ81" s="246">
        <v>1.4999999999999999E-2</v>
      </c>
      <c r="AR81" s="246">
        <v>1.4E-2</v>
      </c>
      <c r="AS81" s="246">
        <v>1.7999999999999999E-2</v>
      </c>
      <c r="AT81" s="246" t="str">
        <f>IF(((AD81^2)*AP81)&lt;=((115^2)*(AH81^2)),"Sim","Não")</f>
        <v>Sim</v>
      </c>
      <c r="AU81" s="246" t="str">
        <f t="shared" ref="AU81:AW81" si="72">IF(((AE81^2)*AQ81)&lt;=((115^2)*($AH$81^2)),"Sim","Não")</f>
        <v>Sim</v>
      </c>
      <c r="AV81" s="246" t="str">
        <f t="shared" si="72"/>
        <v>Sim</v>
      </c>
      <c r="AW81" s="246" t="str">
        <f t="shared" si="72"/>
        <v>Sim</v>
      </c>
      <c r="AX81" s="267">
        <f t="shared" si="35"/>
        <v>0.86461295129991866</v>
      </c>
      <c r="AY81" s="268">
        <f t="shared" si="60"/>
        <v>0.68246187363834432</v>
      </c>
      <c r="AZ81" s="263">
        <f t="shared" si="62"/>
        <v>1926.7306257889365</v>
      </c>
      <c r="BA81" s="296">
        <f t="shared" si="36"/>
        <v>2.9970655769435542E-2</v>
      </c>
      <c r="BB81" s="144" t="str">
        <f t="shared" si="63"/>
        <v>0,022685+0,0195865i</v>
      </c>
      <c r="BC81" s="156">
        <f t="shared" si="37"/>
        <v>130.61350465007035</v>
      </c>
      <c r="BD81" s="291">
        <f t="shared" si="41"/>
        <v>0.13061350465007035</v>
      </c>
      <c r="BE81" s="145" t="s">
        <v>452</v>
      </c>
      <c r="BH81" s="413"/>
      <c r="BI81" s="282" t="s">
        <v>366</v>
      </c>
      <c r="BJ81" s="209">
        <v>8718.6036028158105</v>
      </c>
      <c r="BK81" s="209">
        <v>7550.5322055650304</v>
      </c>
      <c r="BL81" s="209">
        <v>8506.9626189001992</v>
      </c>
      <c r="BM81" s="209">
        <v>5279.7822139039499</v>
      </c>
      <c r="BN81" s="218">
        <v>25</v>
      </c>
      <c r="BO81" s="129">
        <v>110</v>
      </c>
      <c r="BP81" s="250">
        <f>BJ80/$BO$81</f>
        <v>70.814645076318911</v>
      </c>
      <c r="BQ81" s="250">
        <f>BK80/$BO$81</f>
        <v>61.327281596070726</v>
      </c>
      <c r="BR81" s="250">
        <f>BL80/$BO$81</f>
        <v>67.408277999082003</v>
      </c>
      <c r="BS81" s="250">
        <f>BM80/$BO$81</f>
        <v>38.063690283793086</v>
      </c>
      <c r="BT81" s="129" t="s">
        <v>311</v>
      </c>
      <c r="BU81" s="127">
        <v>0.01</v>
      </c>
      <c r="BV81" s="127">
        <v>1.1599999999999999E-2</v>
      </c>
      <c r="BW81" s="127">
        <v>1.12E-2</v>
      </c>
      <c r="BX81" s="127">
        <v>1.4E-2</v>
      </c>
      <c r="BY81" s="247" t="str">
        <f>IF(((BJ80^2)*BU81)&lt;=((115^2)*($BN$81^2)),"Sim","Não")</f>
        <v>Sim</v>
      </c>
      <c r="BZ81" s="247" t="str">
        <f t="shared" ref="BZ81:CB81" si="73">IF(((BK80^2)*BV81)&lt;=((115^2)*($BN$81^2)),"Sim","Não")</f>
        <v>Sim</v>
      </c>
      <c r="CA81" s="247" t="str">
        <f t="shared" si="73"/>
        <v>Sim</v>
      </c>
      <c r="CB81" s="247" t="str">
        <f t="shared" si="73"/>
        <v>Sim</v>
      </c>
      <c r="CC81" s="260">
        <f t="shared" si="67"/>
        <v>0.98037893548507926</v>
      </c>
      <c r="CD81" s="355">
        <f t="shared" si="68"/>
        <v>0.68246187363834432</v>
      </c>
      <c r="CE81" s="288">
        <f t="shared" si="69"/>
        <v>2184.7071768211622</v>
      </c>
      <c r="CF81" s="293">
        <f t="shared" ref="CF81:CF83" si="74">$BA$77</f>
        <v>2.6675226803159519E-3</v>
      </c>
      <c r="CG81" s="288">
        <f t="shared" si="70"/>
        <v>14.083938802717554</v>
      </c>
      <c r="CH81" s="127">
        <f t="shared" si="71"/>
        <v>1.4083938802717555E-2</v>
      </c>
      <c r="CI81" s="129" t="s">
        <v>452</v>
      </c>
    </row>
    <row r="82" spans="2:87">
      <c r="B82" s="413"/>
      <c r="C82" s="282" t="s">
        <v>358</v>
      </c>
      <c r="D82" s="209">
        <v>12570.6673372518</v>
      </c>
      <c r="E82" s="209">
        <v>10886.5172565833</v>
      </c>
      <c r="F82" s="209">
        <v>13182.426660237799</v>
      </c>
      <c r="G82" s="209">
        <v>13955.689383455299</v>
      </c>
      <c r="T82" s="199"/>
      <c r="U82" s="199"/>
      <c r="V82" s="199"/>
      <c r="W82" s="222"/>
      <c r="X82" s="200"/>
      <c r="AA82" s="199"/>
      <c r="AB82" s="412" t="s">
        <v>278</v>
      </c>
      <c r="AC82" s="118" t="s">
        <v>370</v>
      </c>
      <c r="AD82" s="209">
        <v>5986.0556241711502</v>
      </c>
      <c r="AE82" s="209">
        <v>5184.0762389989304</v>
      </c>
      <c r="AF82" s="209">
        <v>6051.2467019477799</v>
      </c>
      <c r="AG82" s="209">
        <v>5798.0188762203197</v>
      </c>
      <c r="AH82" s="232">
        <v>240</v>
      </c>
      <c r="AI82" s="232">
        <v>50</v>
      </c>
      <c r="AJ82" s="232">
        <v>450</v>
      </c>
      <c r="AK82" s="328">
        <f t="shared" si="31"/>
        <v>13.302345831491445</v>
      </c>
      <c r="AL82" s="250">
        <f t="shared" si="38"/>
        <v>11.520169419997623</v>
      </c>
      <c r="AM82" s="329">
        <f t="shared" si="32"/>
        <v>13.447214893217289</v>
      </c>
      <c r="AN82" s="250">
        <f t="shared" si="33"/>
        <v>12.88448639160071</v>
      </c>
      <c r="AO82" s="233" t="s">
        <v>238</v>
      </c>
      <c r="AP82" s="247">
        <v>0.06</v>
      </c>
      <c r="AQ82" s="247">
        <v>15</v>
      </c>
      <c r="AR82" s="247">
        <v>0.06</v>
      </c>
      <c r="AS82" s="247">
        <v>15</v>
      </c>
      <c r="AT82" s="247" t="str">
        <f>IF(((AD82^2)*AP82)&lt;=((115^2)*($AH$82^2)),"Sim","Não")</f>
        <v>Sim</v>
      </c>
      <c r="AU82" s="247" t="str">
        <f t="shared" ref="AU82:AW82" si="75">IF(((AE82^2)*AQ82)&lt;=((115^2)*($AH$82^2)),"Sim","Não")</f>
        <v>Sim</v>
      </c>
      <c r="AV82" s="247" t="str">
        <f t="shared" si="75"/>
        <v>Sim</v>
      </c>
      <c r="AW82" s="247" t="str">
        <f t="shared" si="75"/>
        <v>Sim</v>
      </c>
      <c r="AX82" s="269">
        <f t="shared" si="35"/>
        <v>2.9951071210670692E-2</v>
      </c>
      <c r="AY82" s="270">
        <f>(1-((0.106)*((1-100/1200)/((2*0.1)+0.106))))</f>
        <v>0.68246187363834432</v>
      </c>
      <c r="AZ82" s="264">
        <f>(1000+1.5*1200*AY82)*AX82</f>
        <v>66.743906727308314</v>
      </c>
      <c r="BA82" s="295">
        <f t="shared" si="36"/>
        <v>4.8952966202263984E-3</v>
      </c>
      <c r="BB82" s="279" t="str">
        <f>BK37</f>
        <v>0,00198+0,004477i</v>
      </c>
      <c r="BC82" s="135">
        <f t="shared" si="37"/>
        <v>28.383022208770193</v>
      </c>
      <c r="BD82" s="290">
        <f t="shared" si="41"/>
        <v>2.8383022208770193E-2</v>
      </c>
      <c r="BE82" s="136" t="s">
        <v>452</v>
      </c>
      <c r="BH82" s="413"/>
      <c r="BI82" s="282" t="s">
        <v>367</v>
      </c>
      <c r="BJ82" s="209">
        <v>9794.1263143625401</v>
      </c>
      <c r="BK82" s="209">
        <v>8481.96219611161</v>
      </c>
      <c r="BL82" s="209">
        <v>9525.0004598597698</v>
      </c>
      <c r="BM82" s="209">
        <v>6934.5835960788199</v>
      </c>
      <c r="BN82" s="218">
        <v>120</v>
      </c>
      <c r="BO82" s="127">
        <v>300</v>
      </c>
      <c r="BP82" s="250">
        <f>BJ81/$BO$82</f>
        <v>29.062012009386034</v>
      </c>
      <c r="BQ82" s="250">
        <f>BK81/$BO$82</f>
        <v>25.168440685216769</v>
      </c>
      <c r="BR82" s="250">
        <f>BL81/$BO$82</f>
        <v>28.356542063000663</v>
      </c>
      <c r="BS82" s="250">
        <f>BM81/$BO$82</f>
        <v>17.599274046346501</v>
      </c>
      <c r="BT82" s="129" t="s">
        <v>240</v>
      </c>
      <c r="BU82" s="127">
        <v>1.6500000000000001E-2</v>
      </c>
      <c r="BV82" s="127">
        <v>1.7000000000000001E-2</v>
      </c>
      <c r="BW82" s="127">
        <v>1.6500000000000001E-2</v>
      </c>
      <c r="BX82" s="127">
        <v>2.5000000000000001E-2</v>
      </c>
      <c r="BY82" s="247" t="str">
        <f>IF(((BJ81^2)*BU82)&lt;=((115^2)*($BN$82^2)),"Sim","Não")</f>
        <v>Sim</v>
      </c>
      <c r="BZ82" s="247" t="str">
        <f t="shared" ref="BZ82:CB82" si="76">IF(((BK81^2)*BV82)&lt;=((115^2)*($BN$82^2)),"Sim","Não")</f>
        <v>Sim</v>
      </c>
      <c r="CA82" s="247" t="str">
        <f t="shared" si="76"/>
        <v>Sim</v>
      </c>
      <c r="CB82" s="247" t="str">
        <f t="shared" si="76"/>
        <v>Sim</v>
      </c>
      <c r="CC82" s="260">
        <f t="shared" si="67"/>
        <v>0.73364841715906404</v>
      </c>
      <c r="CD82" s="355">
        <f t="shared" si="68"/>
        <v>0.68246187363834432</v>
      </c>
      <c r="CE82" s="288">
        <f t="shared" si="69"/>
        <v>1634.8851492181889</v>
      </c>
      <c r="CF82" s="293">
        <f t="shared" si="74"/>
        <v>2.6675226803159519E-3</v>
      </c>
      <c r="CG82" s="288">
        <f t="shared" si="70"/>
        <v>18.498159021087204</v>
      </c>
      <c r="CH82" s="127">
        <f t="shared" si="71"/>
        <v>1.8498159021087205E-2</v>
      </c>
      <c r="CI82" s="129" t="s">
        <v>452</v>
      </c>
    </row>
    <row r="83" spans="2:87" ht="18" customHeight="1" thickBot="1">
      <c r="B83" s="413"/>
      <c r="C83" s="282" t="s">
        <v>369</v>
      </c>
      <c r="D83" s="209">
        <v>11989.400275996601</v>
      </c>
      <c r="E83" s="209">
        <v>10383.125215153301</v>
      </c>
      <c r="F83" s="209">
        <v>12408.254752432</v>
      </c>
      <c r="G83" s="209">
        <v>11959.952686639501</v>
      </c>
      <c r="T83" s="199"/>
      <c r="U83" s="199"/>
      <c r="V83" s="199"/>
      <c r="W83" s="223"/>
      <c r="X83" s="158"/>
      <c r="AA83" s="199"/>
      <c r="AB83" s="413"/>
      <c r="AC83" s="118" t="s">
        <v>371</v>
      </c>
      <c r="AD83" s="209">
        <v>2285.4407157166702</v>
      </c>
      <c r="AE83" s="209">
        <v>1979.2497186539299</v>
      </c>
      <c r="AF83" s="209">
        <v>2110.44241807962</v>
      </c>
      <c r="AG83" s="209">
        <v>1242.3630816110899</v>
      </c>
      <c r="AH83" s="218">
        <v>6</v>
      </c>
      <c r="AI83" s="218">
        <v>25</v>
      </c>
      <c r="AJ83" s="129">
        <v>40</v>
      </c>
      <c r="AK83" s="258">
        <f t="shared" si="31"/>
        <v>57.136017892916755</v>
      </c>
      <c r="AL83" s="234">
        <f t="shared" si="38"/>
        <v>49.481242966348248</v>
      </c>
      <c r="AM83" s="259">
        <f t="shared" si="32"/>
        <v>52.761060451990502</v>
      </c>
      <c r="AN83" s="234">
        <f t="shared" si="33"/>
        <v>31.059077040277248</v>
      </c>
      <c r="AO83" s="129" t="s">
        <v>310</v>
      </c>
      <c r="AP83" s="127">
        <v>1.03E-2</v>
      </c>
      <c r="AQ83" s="127">
        <v>1.0500000000000001E-2</v>
      </c>
      <c r="AR83" s="127">
        <v>1.04E-2</v>
      </c>
      <c r="AS83" s="127">
        <v>1.4500000000000001E-2</v>
      </c>
      <c r="AT83" s="127" t="str">
        <f>IF(((AD83^2)*AP83)&lt;=((115^2)*($AH$83^2)),"Sim","Não")</f>
        <v>Sim</v>
      </c>
      <c r="AU83" s="127" t="str">
        <f t="shared" ref="AU83:AW83" si="77">IF(((AE83^2)*AQ83)&lt;=((115^2)*($AH$83^2)),"Sim","Não")</f>
        <v>Sim</v>
      </c>
      <c r="AV83" s="127" t="str">
        <f t="shared" si="77"/>
        <v>Sim</v>
      </c>
      <c r="AW83" s="127" t="str">
        <f t="shared" si="77"/>
        <v>Sim</v>
      </c>
      <c r="AX83" s="265">
        <f t="shared" si="35"/>
        <v>0.96332756630338368</v>
      </c>
      <c r="AY83" s="266">
        <f t="shared" ref="AY83:AY91" si="78">(1-((0.106)*((1-100/1200)/((2*0.1)+0.106))))</f>
        <v>0.68246187363834432</v>
      </c>
      <c r="AZ83" s="262">
        <f t="shared" ref="AZ83:AZ91" si="79">(1000+1.5*1200*AY83)*AX83</f>
        <v>2146.7093707917561</v>
      </c>
      <c r="BA83" s="297">
        <f t="shared" si="36"/>
        <v>8.5238999999999995E-2</v>
      </c>
      <c r="BB83" s="126" t="str">
        <f>IMSUM($BK$37,BK32)</f>
        <v>0,08316+0,018711i</v>
      </c>
      <c r="BC83" s="122">
        <f t="shared" si="37"/>
        <v>105.89778671344769</v>
      </c>
      <c r="BD83" s="292">
        <f t="shared" si="41"/>
        <v>0.10589778671344768</v>
      </c>
      <c r="BE83" s="205" t="s">
        <v>452</v>
      </c>
      <c r="BH83" s="414"/>
      <c r="BI83" s="207" t="s">
        <v>368</v>
      </c>
      <c r="BJ83" s="210">
        <v>7898.1427597489401</v>
      </c>
      <c r="BK83" s="210">
        <v>6839.9922726587101</v>
      </c>
      <c r="BL83" s="210">
        <v>7513.3237002167598</v>
      </c>
      <c r="BM83" s="210">
        <v>4358.0462721563699</v>
      </c>
      <c r="BN83" s="154">
        <v>70</v>
      </c>
      <c r="BO83" s="152">
        <v>200</v>
      </c>
      <c r="BP83" s="345">
        <f>BJ82/$BO$83</f>
        <v>48.970631571812703</v>
      </c>
      <c r="BQ83" s="345">
        <f>BK82/$BO$83</f>
        <v>42.409810980558049</v>
      </c>
      <c r="BR83" s="345">
        <f>BL82/$BO$83</f>
        <v>47.625002299298849</v>
      </c>
      <c r="BS83" s="345">
        <f>BM82/$BO$83</f>
        <v>34.672917980394097</v>
      </c>
      <c r="BT83" s="152" t="s">
        <v>245</v>
      </c>
      <c r="BU83" s="246">
        <v>1.2E-2</v>
      </c>
      <c r="BV83" s="246">
        <v>1.35E-2</v>
      </c>
      <c r="BW83" s="246">
        <v>1.2E-2</v>
      </c>
      <c r="BX83" s="246">
        <v>1.4999999999999999E-2</v>
      </c>
      <c r="BY83" s="283" t="str">
        <f>IF(((BJ82^2)*BU83)&lt;=((115^2)*($BN$83^2)),"Sim","Não")</f>
        <v>Sim</v>
      </c>
      <c r="BZ83" s="283" t="str">
        <f t="shared" ref="BZ83:CB83" si="80">IF(((BK82^2)*BV83)&lt;=((115^2)*($BN$83^2)),"Sim","Não")</f>
        <v>Sim</v>
      </c>
      <c r="CA83" s="283" t="str">
        <f t="shared" si="80"/>
        <v>Sim</v>
      </c>
      <c r="CB83" s="283" t="str">
        <f t="shared" si="80"/>
        <v>Sim</v>
      </c>
      <c r="CC83" s="357">
        <f t="shared" si="67"/>
        <v>0.9471360338761623</v>
      </c>
      <c r="CD83" s="356">
        <f t="shared" si="68"/>
        <v>0.68246187363834432</v>
      </c>
      <c r="CE83" s="289">
        <f t="shared" si="69"/>
        <v>2110.6276519612911</v>
      </c>
      <c r="CF83" s="294">
        <f t="shared" si="74"/>
        <v>2.6675226803159519E-3</v>
      </c>
      <c r="CG83" s="289">
        <f t="shared" si="70"/>
        <v>11.625187272843503</v>
      </c>
      <c r="CH83" s="246">
        <f t="shared" si="71"/>
        <v>1.1625187272843503E-2</v>
      </c>
      <c r="CI83" s="152" t="s">
        <v>452</v>
      </c>
    </row>
    <row r="84" spans="2:87">
      <c r="B84" s="413"/>
      <c r="C84" s="282" t="s">
        <v>365</v>
      </c>
      <c r="D84" s="209">
        <v>7789.6109583950802</v>
      </c>
      <c r="E84" s="209">
        <v>6746.0009755677802</v>
      </c>
      <c r="F84" s="209">
        <v>7414.9105798990204</v>
      </c>
      <c r="G84" s="209">
        <v>4187.0059312172398</v>
      </c>
      <c r="T84" s="199"/>
      <c r="U84" s="199"/>
      <c r="V84" s="199"/>
      <c r="W84" s="223"/>
      <c r="X84" s="158"/>
      <c r="AA84" s="199"/>
      <c r="AB84" s="413"/>
      <c r="AC84" s="118" t="s">
        <v>372</v>
      </c>
      <c r="AD84" s="209">
        <v>4099.7466613120796</v>
      </c>
      <c r="AE84" s="209">
        <v>3550.4847577767</v>
      </c>
      <c r="AF84" s="209">
        <v>3994.0545200483998</v>
      </c>
      <c r="AG84" s="209">
        <v>2674.8510888012302</v>
      </c>
      <c r="AH84" s="218">
        <v>10</v>
      </c>
      <c r="AI84" s="218">
        <v>20</v>
      </c>
      <c r="AJ84" s="129">
        <v>50</v>
      </c>
      <c r="AK84" s="258">
        <f t="shared" si="31"/>
        <v>81.994933226241585</v>
      </c>
      <c r="AL84" s="234">
        <f t="shared" si="38"/>
        <v>71.009695155534004</v>
      </c>
      <c r="AM84" s="259">
        <f t="shared" si="32"/>
        <v>79.881090400967992</v>
      </c>
      <c r="AN84" s="234">
        <f t="shared" si="33"/>
        <v>53.497021776024603</v>
      </c>
      <c r="AO84" s="129" t="s">
        <v>310</v>
      </c>
      <c r="AP84" s="127">
        <v>0.01</v>
      </c>
      <c r="AQ84" s="127">
        <v>0.01</v>
      </c>
      <c r="AR84" s="127">
        <v>0.01</v>
      </c>
      <c r="AS84" s="127">
        <v>1.04E-2</v>
      </c>
      <c r="AT84" s="127" t="str">
        <f>IF(((AD84^2)*AP84)&lt;=((115^2)*($AH$84^2)),"Sim","Não")</f>
        <v>Sim</v>
      </c>
      <c r="AU84" s="127" t="str">
        <f t="shared" ref="AU84:AW84" si="81">IF(((AE84^2)*AQ84)&lt;=((115^2)*($AH$84^2)),"Sim","Não")</f>
        <v>Sim</v>
      </c>
      <c r="AV84" s="127" t="str">
        <f t="shared" si="81"/>
        <v>Sim</v>
      </c>
      <c r="AW84" s="127" t="str">
        <f t="shared" si="81"/>
        <v>Sim</v>
      </c>
      <c r="AX84" s="265">
        <f t="shared" si="35"/>
        <v>1.1374735838014676</v>
      </c>
      <c r="AY84" s="266">
        <f t="shared" si="78"/>
        <v>0.68246187363834432</v>
      </c>
      <c r="AZ84" s="262">
        <f t="shared" si="79"/>
        <v>2534.7818195889568</v>
      </c>
      <c r="BA84" s="297">
        <f t="shared" si="36"/>
        <v>3.5228747139232755E-2</v>
      </c>
      <c r="BB84" s="126" t="str">
        <f t="shared" ref="BB84:BB87" si="82">IMSUM($BK$37,BK33)</f>
        <v>0,03264+0,013255i</v>
      </c>
      <c r="BC84" s="122">
        <f t="shared" si="37"/>
        <v>94.231652642479958</v>
      </c>
      <c r="BD84" s="292">
        <f t="shared" si="41"/>
        <v>9.4231652642479957E-2</v>
      </c>
      <c r="BE84" s="205" t="s">
        <v>452</v>
      </c>
      <c r="BH84" s="412" t="s">
        <v>278</v>
      </c>
      <c r="BI84" s="282" t="s">
        <v>358</v>
      </c>
      <c r="BJ84" s="209">
        <v>6246.0674832180302</v>
      </c>
      <c r="BK84" s="209">
        <v>5409.2531142187499</v>
      </c>
      <c r="BL84" s="209">
        <v>6481.2846918214</v>
      </c>
      <c r="BM84" s="231">
        <v>6749.3976349704299</v>
      </c>
      <c r="BN84" s="426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8"/>
    </row>
    <row r="85" spans="2:87">
      <c r="B85" s="413"/>
      <c r="C85" s="282" t="s">
        <v>366</v>
      </c>
      <c r="D85" s="209">
        <v>8718.6036028158105</v>
      </c>
      <c r="E85" s="209">
        <v>7550.5322055650304</v>
      </c>
      <c r="F85" s="209">
        <v>8506.9626189001992</v>
      </c>
      <c r="G85" s="209">
        <v>5279.7822139039499</v>
      </c>
      <c r="R85" s="193"/>
      <c r="T85" s="199"/>
      <c r="U85" s="199"/>
      <c r="V85" s="199"/>
      <c r="W85" s="223"/>
      <c r="X85" s="158"/>
      <c r="Y85" s="271"/>
      <c r="Z85" s="271"/>
      <c r="AA85" s="271"/>
      <c r="AB85" s="413"/>
      <c r="AC85" s="118" t="s">
        <v>373</v>
      </c>
      <c r="AD85" s="209">
        <v>2062.5173642970999</v>
      </c>
      <c r="AE85" s="209">
        <v>1786.1924332278099</v>
      </c>
      <c r="AF85" s="209">
        <v>1894.15346148498</v>
      </c>
      <c r="AG85" s="209">
        <v>1105.8655242207301</v>
      </c>
      <c r="AH85" s="218">
        <v>6</v>
      </c>
      <c r="AI85" s="218">
        <v>25</v>
      </c>
      <c r="AJ85" s="129">
        <v>40</v>
      </c>
      <c r="AK85" s="258">
        <f t="shared" si="31"/>
        <v>51.562934107427495</v>
      </c>
      <c r="AL85" s="234">
        <f t="shared" si="38"/>
        <v>44.654810830695247</v>
      </c>
      <c r="AM85" s="259">
        <f t="shared" si="32"/>
        <v>47.353836537124501</v>
      </c>
      <c r="AN85" s="234">
        <f t="shared" si="33"/>
        <v>27.646638105518253</v>
      </c>
      <c r="AO85" s="129" t="s">
        <v>310</v>
      </c>
      <c r="AP85" s="127">
        <v>1.0500000000000001E-2</v>
      </c>
      <c r="AQ85" s="127">
        <v>1.2500000000000001E-2</v>
      </c>
      <c r="AR85" s="127">
        <v>1.2E-2</v>
      </c>
      <c r="AS85" s="127">
        <v>1.6E-2</v>
      </c>
      <c r="AT85" s="127" t="str">
        <f>IF(((AD85^2)*AP85)&lt;=((115^2)*($AH$85^2)),"Sim","Não")</f>
        <v>Sim</v>
      </c>
      <c r="AU85" s="127" t="str">
        <f t="shared" ref="AU85:AW85" si="83">IF(((AE85^2)*AQ85)&lt;=((115^2)*($AH$85^2)),"Sim","Não")</f>
        <v>Sim</v>
      </c>
      <c r="AV85" s="127" t="str">
        <f>IF(((AF85^2)*AR85)&lt;=((115^2)*($AH$85^2)),"Sim","Não")</f>
        <v>Sim</v>
      </c>
      <c r="AW85" s="127" t="str">
        <f t="shared" si="83"/>
        <v>Sim</v>
      </c>
      <c r="AX85" s="265">
        <f t="shared" si="35"/>
        <v>0.9170605214488301</v>
      </c>
      <c r="AY85" s="266">
        <f t="shared" si="78"/>
        <v>0.68246187363834432</v>
      </c>
      <c r="AZ85" s="262">
        <f t="shared" si="79"/>
        <v>2043.6064365227362</v>
      </c>
      <c r="BA85" s="297">
        <f t="shared" si="36"/>
        <v>9.6466564176402578E-2</v>
      </c>
      <c r="BB85" s="126" t="str">
        <f t="shared" si="82"/>
        <v>0,09423+0,020652i</v>
      </c>
      <c r="BC85" s="122">
        <f t="shared" si="37"/>
        <v>106.67904756271014</v>
      </c>
      <c r="BD85" s="292">
        <f t="shared" si="41"/>
        <v>0.10667904756271014</v>
      </c>
      <c r="BE85" s="205" t="s">
        <v>452</v>
      </c>
      <c r="BH85" s="413"/>
      <c r="BI85" s="282" t="s">
        <v>370</v>
      </c>
      <c r="BJ85" s="209">
        <v>5986.0556241711502</v>
      </c>
      <c r="BK85" s="209">
        <v>5184.0762389989304</v>
      </c>
      <c r="BL85" s="209">
        <v>6051.2467019477799</v>
      </c>
      <c r="BM85" s="209">
        <v>5798.0188762203197</v>
      </c>
      <c r="BN85" s="232">
        <v>240</v>
      </c>
      <c r="BO85" s="232">
        <v>450</v>
      </c>
      <c r="BP85" s="328">
        <f>BJ84/$BO$85</f>
        <v>13.880149962706733</v>
      </c>
      <c r="BQ85" s="328">
        <f>BK84/$BO$85</f>
        <v>12.020562476041666</v>
      </c>
      <c r="BR85" s="328">
        <f>BL84/$BO$85</f>
        <v>14.402854870714222</v>
      </c>
      <c r="BS85" s="328">
        <f>BM84/$BO$85</f>
        <v>14.998661411045399</v>
      </c>
      <c r="BT85" s="233" t="s">
        <v>238</v>
      </c>
      <c r="BU85" s="247">
        <v>0.06</v>
      </c>
      <c r="BV85" s="247">
        <v>15</v>
      </c>
      <c r="BW85" s="247">
        <v>0.03</v>
      </c>
      <c r="BX85" s="247">
        <v>2.5000000000000001E-2</v>
      </c>
      <c r="BY85" s="247" t="str">
        <f>IF(((BJ84^2)*BU85)&lt;=((115^2)*($BN$85^2)),"Sim","Não")</f>
        <v>Sim</v>
      </c>
      <c r="BZ85" s="247" t="str">
        <f t="shared" ref="BZ85:CB85" si="84">IF(((BK84^2)*BV85)&lt;=((115^2)*($BN$85^2)),"Sim","Não")</f>
        <v>Sim</v>
      </c>
      <c r="CA85" s="247" t="str">
        <f t="shared" si="84"/>
        <v>Sim</v>
      </c>
      <c r="CB85" s="247" t="str">
        <f t="shared" si="84"/>
        <v>Sim</v>
      </c>
      <c r="CC85" s="127">
        <f>(0.116/SQRT(BX85))</f>
        <v>0.73364841715906404</v>
      </c>
      <c r="CD85" s="355">
        <f>AY82</f>
        <v>0.68246187363834432</v>
      </c>
      <c r="CE85" s="288">
        <f>(1000+1.5*1200*CD85)*CC85</f>
        <v>1634.8851492181889</v>
      </c>
      <c r="CF85" s="293">
        <f>BA82</f>
        <v>4.8952966202263984E-3</v>
      </c>
      <c r="CG85" s="288">
        <f>CF85*BM85</f>
        <v>28.383022208770193</v>
      </c>
      <c r="CH85" s="127">
        <f>CG85/1000</f>
        <v>2.8383022208770193E-2</v>
      </c>
      <c r="CI85" s="129" t="s">
        <v>452</v>
      </c>
    </row>
    <row r="86" spans="2:87" ht="12.75" customHeight="1">
      <c r="B86" s="413"/>
      <c r="C86" s="282" t="s">
        <v>367</v>
      </c>
      <c r="D86" s="209">
        <v>9794.1263143625401</v>
      </c>
      <c r="E86" s="209">
        <v>8481.96219611161</v>
      </c>
      <c r="F86" s="209">
        <v>9525.0004598597698</v>
      </c>
      <c r="G86" s="209">
        <v>6934.5835960788199</v>
      </c>
      <c r="T86" s="199"/>
      <c r="U86" s="199"/>
      <c r="V86" s="199"/>
      <c r="W86" s="223"/>
      <c r="X86" s="220"/>
      <c r="Y86" s="271"/>
      <c r="Z86" s="271"/>
      <c r="AA86" s="271"/>
      <c r="AB86" s="413"/>
      <c r="AC86" s="118" t="s">
        <v>374</v>
      </c>
      <c r="AD86" s="209">
        <v>2660.7656010486799</v>
      </c>
      <c r="AE86" s="209">
        <v>2304.29060402393</v>
      </c>
      <c r="AF86" s="209">
        <v>2481.0946249948202</v>
      </c>
      <c r="AG86" s="209">
        <v>1485.1024925070101</v>
      </c>
      <c r="AH86" s="218">
        <v>6</v>
      </c>
      <c r="AI86" s="218">
        <v>25</v>
      </c>
      <c r="AJ86" s="129">
        <v>40</v>
      </c>
      <c r="AK86" s="258">
        <f t="shared" si="31"/>
        <v>66.519140026217002</v>
      </c>
      <c r="AL86" s="234">
        <f t="shared" si="38"/>
        <v>57.607265100598248</v>
      </c>
      <c r="AM86" s="259">
        <f t="shared" si="32"/>
        <v>62.027365624870505</v>
      </c>
      <c r="AN86" s="234">
        <f t="shared" si="33"/>
        <v>37.127562312675252</v>
      </c>
      <c r="AO86" s="129" t="s">
        <v>249</v>
      </c>
      <c r="AP86" s="127">
        <v>1.0800000000000001E-2</v>
      </c>
      <c r="AQ86" s="127">
        <v>1.1599999999999999E-2</v>
      </c>
      <c r="AR86" s="127">
        <v>1.0999999999999999E-2</v>
      </c>
      <c r="AS86" s="127">
        <v>1.4E-2</v>
      </c>
      <c r="AT86" s="127" t="str">
        <f>IF(((AD86^2)*AP86)&lt;=((115^2)*($AH$86^2)),"Sim","Não")</f>
        <v>Sim</v>
      </c>
      <c r="AU86" s="127" t="str">
        <f>IF(((AE86^2)*AQ86)&lt;=((115^2)*($AH$86^2)),"Sim","Não")</f>
        <v>Sim</v>
      </c>
      <c r="AV86" s="127" t="str">
        <f>IF(((AF86^2)*AR86)&lt;=((115^2)*($AH$86^2)),"Sim","Não")</f>
        <v>Sim</v>
      </c>
      <c r="AW86" s="127" t="str">
        <f>IF(((AG86^2)*AS86)&lt;=((115^2)*($AH$86^2)),"Sim","Não")</f>
        <v>Sim</v>
      </c>
      <c r="AX86" s="265">
        <f t="shared" si="35"/>
        <v>0.98037893548507926</v>
      </c>
      <c r="AY86" s="266">
        <f t="shared" si="78"/>
        <v>0.68246187363834432</v>
      </c>
      <c r="AZ86" s="262">
        <f t="shared" si="79"/>
        <v>2184.7071768211622</v>
      </c>
      <c r="BA86" s="297">
        <f t="shared" si="36"/>
        <v>7.0274541115541975E-2</v>
      </c>
      <c r="BB86" s="126" t="str">
        <f t="shared" si="82"/>
        <v>0,0684+0,016123i</v>
      </c>
      <c r="BC86" s="122">
        <f t="shared" si="37"/>
        <v>104.36489617047775</v>
      </c>
      <c r="BD86" s="292">
        <f t="shared" si="41"/>
        <v>0.10436489617047776</v>
      </c>
      <c r="BE86" s="205" t="s">
        <v>452</v>
      </c>
      <c r="BH86" s="413"/>
      <c r="BI86" s="282" t="s">
        <v>371</v>
      </c>
      <c r="BJ86" s="209">
        <v>2285.4407157166702</v>
      </c>
      <c r="BK86" s="209">
        <v>1979.2497186539299</v>
      </c>
      <c r="BL86" s="209">
        <v>2110.44241807962</v>
      </c>
      <c r="BM86" s="209">
        <v>1242.3630816110899</v>
      </c>
      <c r="BN86" s="218">
        <v>6</v>
      </c>
      <c r="BO86" s="129">
        <v>40</v>
      </c>
      <c r="BP86" s="328">
        <f>BJ85/$BO$86</f>
        <v>149.65139060427876</v>
      </c>
      <c r="BQ86" s="328">
        <f>BK85/$BO$86</f>
        <v>129.60190597497325</v>
      </c>
      <c r="BR86" s="328">
        <f>BL85/$BO$86</f>
        <v>151.2811675486945</v>
      </c>
      <c r="BS86" s="328">
        <f>BM85/$BO$86</f>
        <v>144.95047190550798</v>
      </c>
      <c r="BT86" s="129" t="s">
        <v>310</v>
      </c>
      <c r="BU86" s="127">
        <v>0.01</v>
      </c>
      <c r="BV86" s="127">
        <v>0.01</v>
      </c>
      <c r="BW86" s="127">
        <v>0.01</v>
      </c>
      <c r="BX86" s="127">
        <v>0.01</v>
      </c>
      <c r="BY86" s="247" t="str">
        <f>IF(((BJ85^2)*BU86)&lt;=((115^2)*($BN$86^2)),"Sim","Não")</f>
        <v>Sim</v>
      </c>
      <c r="BZ86" s="247" t="str">
        <f t="shared" ref="BZ86:CB86" si="85">IF(((BK85^2)*BV86)&lt;=((115^2)*($BN$86^2)),"Sim","Não")</f>
        <v>Sim</v>
      </c>
      <c r="CA86" s="247" t="str">
        <f t="shared" si="85"/>
        <v>Sim</v>
      </c>
      <c r="CB86" s="247" t="str">
        <f t="shared" si="85"/>
        <v>Sim</v>
      </c>
      <c r="CC86" s="127">
        <f t="shared" ref="CC86:CC90" si="86">(0.116/SQRT(BX86))</f>
        <v>1.1599999999999999</v>
      </c>
      <c r="CD86" s="355">
        <f t="shared" ref="CD86:CD95" si="87">AY83</f>
        <v>0.68246187363834432</v>
      </c>
      <c r="CE86" s="288">
        <f t="shared" ref="CE86:CE90" si="88">(1000+1.5*1200*CD86)*CC86</f>
        <v>2584.9803921568628</v>
      </c>
      <c r="CF86" s="293">
        <f t="shared" ref="CF86:CF90" si="89">BA83</f>
        <v>8.5238999999999995E-2</v>
      </c>
      <c r="CG86" s="288">
        <f t="shared" ref="CG86:CG90" si="90">CF86*BM86</f>
        <v>105.89778671344769</v>
      </c>
      <c r="CH86" s="127">
        <f t="shared" ref="CH86:CH90" si="91">CG86/1000</f>
        <v>0.10589778671344768</v>
      </c>
      <c r="CI86" s="129" t="s">
        <v>452</v>
      </c>
    </row>
    <row r="87" spans="2:87" ht="13.5" thickBot="1">
      <c r="B87" s="414"/>
      <c r="C87" s="207" t="s">
        <v>368</v>
      </c>
      <c r="D87" s="210">
        <v>7898.1427597489401</v>
      </c>
      <c r="E87" s="210">
        <v>6839.9922726587101</v>
      </c>
      <c r="F87" s="210">
        <v>7513.3237002167598</v>
      </c>
      <c r="G87" s="210">
        <v>4358.0462721563699</v>
      </c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23"/>
      <c r="X87" s="125"/>
      <c r="Y87" s="274"/>
      <c r="Z87" s="271"/>
      <c r="AA87" s="271"/>
      <c r="AB87" s="414"/>
      <c r="AC87" s="207" t="s">
        <v>375</v>
      </c>
      <c r="AD87" s="210">
        <v>5054.5074805843396</v>
      </c>
      <c r="AE87" s="210">
        <v>4377.33188180452</v>
      </c>
      <c r="AF87" s="210">
        <v>4924.1619046362803</v>
      </c>
      <c r="AG87" s="210">
        <v>3675.5544235776001</v>
      </c>
      <c r="AH87" s="154">
        <v>120</v>
      </c>
      <c r="AI87" s="154">
        <v>50</v>
      </c>
      <c r="AJ87" s="144">
        <v>300</v>
      </c>
      <c r="AK87" s="330">
        <f t="shared" si="31"/>
        <v>16.848358268614465</v>
      </c>
      <c r="AL87" s="251">
        <f t="shared" si="38"/>
        <v>14.591106272681733</v>
      </c>
      <c r="AM87" s="331">
        <f t="shared" si="32"/>
        <v>16.413873015454268</v>
      </c>
      <c r="AN87" s="251">
        <f t="shared" si="33"/>
        <v>12.251848078592001</v>
      </c>
      <c r="AO87" s="152" t="s">
        <v>240</v>
      </c>
      <c r="AP87" s="246">
        <v>2.5999999999999999E-2</v>
      </c>
      <c r="AQ87" s="246">
        <v>2.5999999999999999E-2</v>
      </c>
      <c r="AR87" s="246">
        <v>2.5499999999999998E-2</v>
      </c>
      <c r="AS87" s="246">
        <v>14</v>
      </c>
      <c r="AT87" s="246" t="str">
        <f>IF(((AD87^2)*AP87)&lt;=((115^2)*(AH87^2)),"Sim","Não")</f>
        <v>Sim</v>
      </c>
      <c r="AU87" s="246" t="str">
        <f t="shared" ref="AU87:AV87" si="92">IF(((AE87^2)*AQ87)&lt;=((115^2)*($AH$87^2)),"Sim","Não")</f>
        <v>Sim</v>
      </c>
      <c r="AV87" s="246" t="str">
        <f t="shared" si="92"/>
        <v>Sim</v>
      </c>
      <c r="AW87" s="246" t="str">
        <f>IF(((AG87^2)*AS87)&lt;=((115^2)*($AH$87^2)),"Sim","Não")</f>
        <v>Sim</v>
      </c>
      <c r="AX87" s="267">
        <f t="shared" si="35"/>
        <v>3.1002304061841231E-2</v>
      </c>
      <c r="AY87" s="268">
        <f t="shared" si="78"/>
        <v>0.68246187363834432</v>
      </c>
      <c r="AZ87" s="263">
        <f t="shared" si="79"/>
        <v>69.086506992710909</v>
      </c>
      <c r="BA87" s="296">
        <f t="shared" si="36"/>
        <v>2.546278452958356E-2</v>
      </c>
      <c r="BB87" s="144" t="str">
        <f t="shared" si="82"/>
        <v>0,01382+0,021386i</v>
      </c>
      <c r="BC87" s="156">
        <f t="shared" ref="BC87:BC91" si="93">AG87*BA87</f>
        <v>93.589850314314134</v>
      </c>
      <c r="BD87" s="291">
        <f t="shared" si="41"/>
        <v>9.3589850314314132E-2</v>
      </c>
      <c r="BE87" s="152" t="s">
        <v>452</v>
      </c>
      <c r="BH87" s="413"/>
      <c r="BI87" s="282" t="s">
        <v>372</v>
      </c>
      <c r="BJ87" s="209">
        <v>4099.7466613120796</v>
      </c>
      <c r="BK87" s="209">
        <v>3550.4847577767</v>
      </c>
      <c r="BL87" s="209">
        <v>3994.0545200483998</v>
      </c>
      <c r="BM87" s="209">
        <v>2674.8510888012302</v>
      </c>
      <c r="BN87" s="218">
        <v>10</v>
      </c>
      <c r="BO87" s="129">
        <v>50</v>
      </c>
      <c r="BP87" s="328">
        <f>BJ86/$BO$87</f>
        <v>45.708814314333402</v>
      </c>
      <c r="BQ87" s="328">
        <f>BK86/$BO$87</f>
        <v>39.584994373078601</v>
      </c>
      <c r="BR87" s="328">
        <f>BL86/$BO$87</f>
        <v>42.208848361592402</v>
      </c>
      <c r="BS87" s="328">
        <f>BM86/$BO$87</f>
        <v>24.847261632221798</v>
      </c>
      <c r="BT87" s="129" t="s">
        <v>310</v>
      </c>
      <c r="BU87" s="127">
        <v>1.2500000000000001E-2</v>
      </c>
      <c r="BV87" s="127">
        <v>1.2999999999999999E-2</v>
      </c>
      <c r="BW87" s="127">
        <v>1.2999999999999999E-2</v>
      </c>
      <c r="BX87" s="127">
        <v>1.7500000000000002E-2</v>
      </c>
      <c r="BY87" s="247" t="str">
        <f>IF(((BJ86^2)*BU87)&lt;=((115^2)*($BN$87^2)),"Sim","Não")</f>
        <v>Sim</v>
      </c>
      <c r="BZ87" s="247" t="str">
        <f t="shared" ref="BZ87:CB87" si="94">IF(((BK86^2)*BV87)&lt;=((115^2)*($BN$87^2)),"Sim","Não")</f>
        <v>Sim</v>
      </c>
      <c r="CA87" s="247" t="str">
        <f t="shared" si="94"/>
        <v>Sim</v>
      </c>
      <c r="CB87" s="247" t="str">
        <f t="shared" si="94"/>
        <v>Sim</v>
      </c>
      <c r="CC87" s="127">
        <f t="shared" si="86"/>
        <v>0.87687757738140715</v>
      </c>
      <c r="CD87" s="355">
        <f t="shared" si="87"/>
        <v>0.68246187363834432</v>
      </c>
      <c r="CE87" s="288">
        <f t="shared" si="88"/>
        <v>1954.0615033215083</v>
      </c>
      <c r="CF87" s="293">
        <f t="shared" si="89"/>
        <v>3.5228747139232755E-2</v>
      </c>
      <c r="CG87" s="288">
        <f t="shared" si="90"/>
        <v>94.231652642479958</v>
      </c>
      <c r="CH87" s="127">
        <f t="shared" si="91"/>
        <v>9.4231652642479957E-2</v>
      </c>
      <c r="CI87" s="129" t="s">
        <v>452</v>
      </c>
    </row>
    <row r="88" spans="2:87">
      <c r="B88" s="412" t="s">
        <v>278</v>
      </c>
      <c r="C88" s="206" t="s">
        <v>356</v>
      </c>
      <c r="D88" s="211">
        <v>2002.7862014110799</v>
      </c>
      <c r="E88" s="211">
        <v>1734.4637287709299</v>
      </c>
      <c r="F88" s="211">
        <v>1775.8868349547399</v>
      </c>
      <c r="G88" s="211">
        <v>1399.57936933429</v>
      </c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274"/>
      <c r="V88" s="274"/>
      <c r="W88" s="224"/>
      <c r="X88" s="125"/>
      <c r="Y88" s="274"/>
      <c r="Z88" s="271"/>
      <c r="AA88" s="349"/>
      <c r="AB88" s="419" t="s">
        <v>285</v>
      </c>
      <c r="AC88" s="118" t="s">
        <v>376</v>
      </c>
      <c r="AD88" s="234">
        <v>5958.5257211135804</v>
      </c>
      <c r="AE88" s="234">
        <v>5160.2346435873496</v>
      </c>
      <c r="AF88" s="234">
        <v>5257.4169866929997</v>
      </c>
      <c r="AG88" s="234">
        <v>392.69836393290302</v>
      </c>
      <c r="AH88" s="232">
        <v>185</v>
      </c>
      <c r="AI88" s="232">
        <v>50</v>
      </c>
      <c r="AJ88" s="232">
        <v>380</v>
      </c>
      <c r="AK88" s="328">
        <f t="shared" si="31"/>
        <v>15.680330845035737</v>
      </c>
      <c r="AL88" s="250">
        <f t="shared" si="38"/>
        <v>13.579564851545657</v>
      </c>
      <c r="AM88" s="329">
        <f t="shared" si="32"/>
        <v>13.835307859718419</v>
      </c>
      <c r="AN88" s="250">
        <f t="shared" si="33"/>
        <v>1.0334167471918501</v>
      </c>
      <c r="AO88" s="137" t="s">
        <v>240</v>
      </c>
      <c r="AP88" s="247">
        <v>2.5000000000000001E-2</v>
      </c>
      <c r="AQ88" s="247">
        <v>0.04</v>
      </c>
      <c r="AR88" s="247">
        <v>0.04</v>
      </c>
      <c r="AS88" s="272" t="s">
        <v>451</v>
      </c>
      <c r="AT88" s="247" t="str">
        <f>IF(((AD88^2)*AP88)&lt;=((115^2)*($AH$88^2)),"Sim","Não")</f>
        <v>Sim</v>
      </c>
      <c r="AU88" s="247" t="str">
        <f t="shared" ref="AU88:AW88" si="95">IF(((AE88^2)*AQ88)&lt;=((115^2)*($AH$88^2)),"Sim","Não")</f>
        <v>Sim</v>
      </c>
      <c r="AV88" s="247" t="str">
        <f t="shared" si="95"/>
        <v>Sim</v>
      </c>
      <c r="AW88" s="273" t="e">
        <f t="shared" si="95"/>
        <v>#VALUE!</v>
      </c>
      <c r="AX88" s="269" t="e">
        <f t="shared" si="35"/>
        <v>#VALUE!</v>
      </c>
      <c r="AY88" s="270">
        <f t="shared" si="78"/>
        <v>0.68246187363834432</v>
      </c>
      <c r="AZ88" s="264" t="e">
        <f>(1000+1.5*1200*AY88)*AX88</f>
        <v>#VALUE!</v>
      </c>
      <c r="BA88" s="353">
        <f t="shared" si="36"/>
        <v>5.3350453606319037E-3</v>
      </c>
      <c r="BB88" s="125" t="str">
        <f>O194</f>
        <v>0,00253+0,004697i</v>
      </c>
      <c r="BC88" s="135">
        <f t="shared" si="93"/>
        <v>2.0950635846279733</v>
      </c>
      <c r="BD88" s="290">
        <f t="shared" si="41"/>
        <v>2.0950635846279731E-3</v>
      </c>
      <c r="BE88" s="137" t="s">
        <v>452</v>
      </c>
      <c r="BH88" s="413"/>
      <c r="BI88" s="282" t="s">
        <v>373</v>
      </c>
      <c r="BJ88" s="209">
        <v>2062.5173642970999</v>
      </c>
      <c r="BK88" s="209">
        <v>1786.1924332278099</v>
      </c>
      <c r="BL88" s="209">
        <v>1894.15346148498</v>
      </c>
      <c r="BM88" s="209">
        <v>1105.8655242207301</v>
      </c>
      <c r="BN88" s="218">
        <v>6</v>
      </c>
      <c r="BO88" s="129">
        <v>40</v>
      </c>
      <c r="BP88" s="328">
        <f>BJ87/$BO$88</f>
        <v>102.493666532802</v>
      </c>
      <c r="BQ88" s="328">
        <f>BK87/$BO$88</f>
        <v>88.762118944417495</v>
      </c>
      <c r="BR88" s="328">
        <f>BL87/$BO$88</f>
        <v>99.85136300120999</v>
      </c>
      <c r="BS88" s="328">
        <f>BM87/$BO$88</f>
        <v>66.871277220030748</v>
      </c>
      <c r="BT88" s="129" t="s">
        <v>310</v>
      </c>
      <c r="BU88" s="127">
        <v>0.01</v>
      </c>
      <c r="BV88" s="127">
        <v>0.01</v>
      </c>
      <c r="BW88" s="127">
        <v>0.01</v>
      </c>
      <c r="BX88" s="127">
        <v>0.01</v>
      </c>
      <c r="BY88" s="247" t="str">
        <f>IF(((BJ87^2)*BU88)&lt;=((115^2)*($BN$88^2)),"Sim","Não")</f>
        <v>Sim</v>
      </c>
      <c r="BZ88" s="247" t="str">
        <f t="shared" ref="BZ88:CB88" si="96">IF(((BK87^2)*BV88)&lt;=((115^2)*($BN$88^2)),"Sim","Não")</f>
        <v>Sim</v>
      </c>
      <c r="CA88" s="247" t="str">
        <f t="shared" si="96"/>
        <v>Sim</v>
      </c>
      <c r="CB88" s="247" t="str">
        <f t="shared" si="96"/>
        <v>Sim</v>
      </c>
      <c r="CC88" s="127">
        <f t="shared" si="86"/>
        <v>1.1599999999999999</v>
      </c>
      <c r="CD88" s="355">
        <f t="shared" si="87"/>
        <v>0.68246187363834432</v>
      </c>
      <c r="CE88" s="288">
        <f t="shared" si="88"/>
        <v>2584.9803921568628</v>
      </c>
      <c r="CF88" s="293">
        <f t="shared" si="89"/>
        <v>9.6466564176402578E-2</v>
      </c>
      <c r="CG88" s="288">
        <f t="shared" si="90"/>
        <v>106.67904756271014</v>
      </c>
      <c r="CH88" s="127">
        <f t="shared" si="91"/>
        <v>0.10667904756271014</v>
      </c>
      <c r="CI88" s="129" t="s">
        <v>452</v>
      </c>
    </row>
    <row r="89" spans="2:87" ht="12.75" customHeight="1">
      <c r="B89" s="413"/>
      <c r="C89" s="282" t="s">
        <v>357</v>
      </c>
      <c r="D89" s="209">
        <v>1889.0180707320601</v>
      </c>
      <c r="E89" s="209">
        <v>1635.93763746183</v>
      </c>
      <c r="F89" s="209">
        <v>1664.8503781939601</v>
      </c>
      <c r="G89" s="209">
        <v>1346.7110089145599</v>
      </c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274"/>
      <c r="V89" s="274"/>
      <c r="W89" s="224"/>
      <c r="X89" s="226"/>
      <c r="Y89" s="274"/>
      <c r="Z89" s="271"/>
      <c r="AA89" s="350"/>
      <c r="AB89" s="417"/>
      <c r="AC89" s="118" t="s">
        <v>377</v>
      </c>
      <c r="AD89" s="319">
        <v>4896.4368829713603</v>
      </c>
      <c r="AE89" s="333">
        <v>4240.4387286802903</v>
      </c>
      <c r="AF89" s="333">
        <v>4322.0833062429901</v>
      </c>
      <c r="AG89" s="333">
        <v>367.16822190996902</v>
      </c>
      <c r="AH89" s="218">
        <v>25</v>
      </c>
      <c r="AI89" s="218">
        <v>50</v>
      </c>
      <c r="AJ89" s="129">
        <v>110</v>
      </c>
      <c r="AK89" s="258">
        <f t="shared" si="31"/>
        <v>44.513062572466914</v>
      </c>
      <c r="AL89" s="234">
        <f t="shared" si="38"/>
        <v>38.549442988002639</v>
      </c>
      <c r="AM89" s="259">
        <f t="shared" si="32"/>
        <v>39.291666420390818</v>
      </c>
      <c r="AN89" s="234">
        <f t="shared" si="33"/>
        <v>3.3378929264542636</v>
      </c>
      <c r="AO89" s="129" t="s">
        <v>311</v>
      </c>
      <c r="AP89" s="127">
        <v>1.2999999999999999E-2</v>
      </c>
      <c r="AQ89" s="127">
        <v>1.35E-2</v>
      </c>
      <c r="AR89" s="127">
        <v>1.35E-2</v>
      </c>
      <c r="AS89" s="127">
        <v>60</v>
      </c>
      <c r="AT89" s="127" t="str">
        <f>IF(((AD89^2)*AP89)&lt;=((115^2)*($AH$89^2)),"Sim","Não")</f>
        <v>Sim</v>
      </c>
      <c r="AU89" s="127" t="str">
        <f t="shared" ref="AU89:AW89" si="97">IF(((AE89^2)*AQ89)&lt;=((115^2)*($AH$89^2)),"Sim","Não")</f>
        <v>Sim</v>
      </c>
      <c r="AV89" s="127" t="str">
        <f t="shared" si="97"/>
        <v>Sim</v>
      </c>
      <c r="AW89" s="127" t="str">
        <f t="shared" si="97"/>
        <v>Sim</v>
      </c>
      <c r="AX89" s="265">
        <f t="shared" si="35"/>
        <v>1.4975535605335346E-2</v>
      </c>
      <c r="AY89" s="266">
        <f t="shared" si="78"/>
        <v>0.68246187363834432</v>
      </c>
      <c r="AZ89" s="262">
        <f t="shared" si="79"/>
        <v>33.371953363654157</v>
      </c>
      <c r="BA89" s="293">
        <f t="shared" si="36"/>
        <v>2.9681660937353218E-2</v>
      </c>
      <c r="BB89" s="125" t="str">
        <f>IMSUM($O$194,O191)</f>
        <v>0,02599+0,014336i</v>
      </c>
      <c r="BC89" s="122">
        <f t="shared" si="93"/>
        <v>10.898162669702565</v>
      </c>
      <c r="BD89" s="292">
        <f t="shared" si="41"/>
        <v>1.0898162669702565E-2</v>
      </c>
      <c r="BE89" s="205" t="s">
        <v>452</v>
      </c>
      <c r="BH89" s="413"/>
      <c r="BI89" s="282" t="s">
        <v>374</v>
      </c>
      <c r="BJ89" s="209">
        <v>2660.7656010486799</v>
      </c>
      <c r="BK89" s="209">
        <v>2304.29060402393</v>
      </c>
      <c r="BL89" s="209">
        <v>2481.0946249948202</v>
      </c>
      <c r="BM89" s="209">
        <v>1485.1024925070101</v>
      </c>
      <c r="BN89" s="218">
        <v>6</v>
      </c>
      <c r="BO89" s="129">
        <v>40</v>
      </c>
      <c r="BP89" s="328">
        <f>BJ88/$BO$89</f>
        <v>51.562934107427495</v>
      </c>
      <c r="BQ89" s="328">
        <f>BK88/$BO$89</f>
        <v>44.654810830695247</v>
      </c>
      <c r="BR89" s="328">
        <f>BL88/$BO$89</f>
        <v>47.353836537124501</v>
      </c>
      <c r="BS89" s="328">
        <f>BM88/$BO$89</f>
        <v>27.646638105518253</v>
      </c>
      <c r="BT89" s="129" t="s">
        <v>249</v>
      </c>
      <c r="BU89" s="127">
        <v>1.2E-2</v>
      </c>
      <c r="BV89" s="127">
        <v>1.2999999999999999E-2</v>
      </c>
      <c r="BW89" s="127">
        <v>1.2500000000000001E-2</v>
      </c>
      <c r="BX89" s="127">
        <v>1.6E-2</v>
      </c>
      <c r="BY89" s="247" t="str">
        <f>IF(((BJ88^2)*BU89)&lt;=((115^2)*($BN$89^2)),"Sim","Não")</f>
        <v>Sim</v>
      </c>
      <c r="BZ89" s="247" t="str">
        <f t="shared" ref="BZ89:CB89" si="98">IF(((BK88^2)*BV89)&lt;=((115^2)*($BN$89^2)),"Sim","Não")</f>
        <v>Sim</v>
      </c>
      <c r="CA89" s="247" t="str">
        <f t="shared" si="98"/>
        <v>Sim</v>
      </c>
      <c r="CB89" s="247" t="str">
        <f t="shared" si="98"/>
        <v>Sim</v>
      </c>
      <c r="CC89" s="127">
        <f t="shared" si="86"/>
        <v>0.9170605214488301</v>
      </c>
      <c r="CD89" s="355">
        <f t="shared" si="87"/>
        <v>0.68246187363834432</v>
      </c>
      <c r="CE89" s="288">
        <f t="shared" si="88"/>
        <v>2043.6064365227362</v>
      </c>
      <c r="CF89" s="293">
        <f t="shared" si="89"/>
        <v>7.0274541115541975E-2</v>
      </c>
      <c r="CG89" s="288">
        <f t="shared" si="90"/>
        <v>104.36489617047775</v>
      </c>
      <c r="CH89" s="127">
        <f t="shared" si="91"/>
        <v>0.10436489617047776</v>
      </c>
      <c r="CI89" s="129" t="s">
        <v>452</v>
      </c>
    </row>
    <row r="90" spans="2:87" ht="13.5" customHeight="1" thickBot="1">
      <c r="B90" s="413"/>
      <c r="C90" s="282" t="s">
        <v>358</v>
      </c>
      <c r="D90" s="209">
        <v>6246.0674832180302</v>
      </c>
      <c r="E90" s="209">
        <v>5409.2531142187499</v>
      </c>
      <c r="F90" s="209">
        <v>6481.2846918214</v>
      </c>
      <c r="G90" s="209">
        <v>6749.3976349704299</v>
      </c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274"/>
      <c r="V90" s="274"/>
      <c r="W90" s="224"/>
      <c r="X90" s="158"/>
      <c r="Y90" s="274"/>
      <c r="Z90" s="271"/>
      <c r="AA90" s="350"/>
      <c r="AB90" s="417"/>
      <c r="AC90" s="118" t="s">
        <v>287</v>
      </c>
      <c r="AD90" s="234">
        <v>4693.8026910345297</v>
      </c>
      <c r="AE90" s="333">
        <v>4064.9523707876601</v>
      </c>
      <c r="AF90" s="333">
        <v>4142.5835960779496</v>
      </c>
      <c r="AG90" s="333">
        <v>366.99647946338501</v>
      </c>
      <c r="AH90" s="218">
        <v>16</v>
      </c>
      <c r="AI90" s="218">
        <v>25</v>
      </c>
      <c r="AJ90" s="129">
        <v>70</v>
      </c>
      <c r="AK90" s="258">
        <f t="shared" si="31"/>
        <v>67.054324157636145</v>
      </c>
      <c r="AL90" s="234">
        <f t="shared" si="38"/>
        <v>58.070748154109431</v>
      </c>
      <c r="AM90" s="259">
        <f t="shared" si="32"/>
        <v>59.179765658256422</v>
      </c>
      <c r="AN90" s="234">
        <f t="shared" si="33"/>
        <v>5.2428068494769287</v>
      </c>
      <c r="AO90" s="129" t="s">
        <v>249</v>
      </c>
      <c r="AP90" s="127">
        <v>0.105</v>
      </c>
      <c r="AQ90" s="127">
        <v>0.11600000000000001</v>
      </c>
      <c r="AR90" s="127">
        <v>0.11600000000000001</v>
      </c>
      <c r="AS90" s="127">
        <v>15</v>
      </c>
      <c r="AT90" s="127" t="str">
        <f>IF(((AD90^2)*AP90)&lt;=((115^2)*($AH$90^2)),"Sim","Não")</f>
        <v>Sim</v>
      </c>
      <c r="AU90" s="127" t="str">
        <f t="shared" ref="AU90:AW90" si="99">IF(((AE90^2)*AQ90)&lt;=((115^2)*($AH$90^2)),"Sim","Não")</f>
        <v>Sim</v>
      </c>
      <c r="AV90" s="127" t="str">
        <f t="shared" si="99"/>
        <v>Sim</v>
      </c>
      <c r="AW90" s="127" t="str">
        <f t="shared" si="99"/>
        <v>Sim</v>
      </c>
      <c r="AX90" s="265">
        <f t="shared" si="35"/>
        <v>2.9951071210670692E-2</v>
      </c>
      <c r="AY90" s="266">
        <f t="shared" si="78"/>
        <v>0.68246187363834432</v>
      </c>
      <c r="AZ90" s="262">
        <f t="shared" si="79"/>
        <v>66.743906727308314</v>
      </c>
      <c r="BA90" s="293">
        <f t="shared" si="36"/>
        <v>2.5381483900670583E-2</v>
      </c>
      <c r="BB90" s="125" t="str">
        <f t="shared" ref="BB90" si="100">IMSUM($O$194,O192)</f>
        <v>0,02185+0,012915i</v>
      </c>
      <c r="BC90" s="122">
        <f t="shared" si="93"/>
        <v>9.3149152351026885</v>
      </c>
      <c r="BD90" s="292">
        <f t="shared" si="41"/>
        <v>9.3149152351026891E-3</v>
      </c>
      <c r="BE90" s="205" t="s">
        <v>452</v>
      </c>
      <c r="BH90" s="414"/>
      <c r="BI90" s="207" t="s">
        <v>375</v>
      </c>
      <c r="BJ90" s="210">
        <v>5054.5074805843396</v>
      </c>
      <c r="BK90" s="210">
        <v>4377.33188180452</v>
      </c>
      <c r="BL90" s="210">
        <v>4924.1619046362803</v>
      </c>
      <c r="BM90" s="210">
        <v>3675.5544235776001</v>
      </c>
      <c r="BN90" s="154">
        <v>120</v>
      </c>
      <c r="BO90" s="246">
        <v>300</v>
      </c>
      <c r="BP90" s="346">
        <f>BJ89/$BO$90</f>
        <v>8.8692186701622671</v>
      </c>
      <c r="BQ90" s="346">
        <f>BK89/$BO$90</f>
        <v>7.6809686800797667</v>
      </c>
      <c r="BR90" s="346">
        <f>BL89/$BO$90</f>
        <v>8.2703154166494013</v>
      </c>
      <c r="BS90" s="346">
        <f>BM89/$BO$90</f>
        <v>4.9503416416900334</v>
      </c>
      <c r="BT90" s="152" t="s">
        <v>240</v>
      </c>
      <c r="BU90" s="246">
        <v>5</v>
      </c>
      <c r="BV90" s="246">
        <v>5</v>
      </c>
      <c r="BW90" s="246">
        <v>5</v>
      </c>
      <c r="BX90" s="246">
        <v>40</v>
      </c>
      <c r="BY90" s="283" t="str">
        <f>IF(((BJ89^2)*BU90)&lt;=((115^2)*($BN$90^2)),"Sim","Não")</f>
        <v>Sim</v>
      </c>
      <c r="BZ90" s="283" t="str">
        <f t="shared" ref="BZ90:CB90" si="101">IF(((BK89^2)*BV90)&lt;=((115^2)*($BN$90^2)),"Sim","Não")</f>
        <v>Sim</v>
      </c>
      <c r="CA90" s="283" t="str">
        <f t="shared" si="101"/>
        <v>Sim</v>
      </c>
      <c r="CB90" s="283" t="str">
        <f t="shared" si="101"/>
        <v>Sim</v>
      </c>
      <c r="CC90" s="246">
        <f t="shared" si="86"/>
        <v>1.8341210428976601E-2</v>
      </c>
      <c r="CD90" s="356">
        <f t="shared" si="87"/>
        <v>0.68246187363834432</v>
      </c>
      <c r="CE90" s="289">
        <f t="shared" si="88"/>
        <v>40.872128730454719</v>
      </c>
      <c r="CF90" s="294">
        <f t="shared" si="89"/>
        <v>2.546278452958356E-2</v>
      </c>
      <c r="CG90" s="289">
        <f t="shared" si="90"/>
        <v>93.589850314314134</v>
      </c>
      <c r="CH90" s="246">
        <f t="shared" si="91"/>
        <v>9.3589850314314132E-2</v>
      </c>
      <c r="CI90" s="152" t="s">
        <v>452</v>
      </c>
    </row>
    <row r="91" spans="2:87" ht="13.5" thickBot="1">
      <c r="B91" s="413"/>
      <c r="C91" s="282" t="s">
        <v>370</v>
      </c>
      <c r="D91" s="209">
        <v>5986.0556241711502</v>
      </c>
      <c r="E91" s="209">
        <v>5184.0762389989304</v>
      </c>
      <c r="F91" s="209">
        <v>6051.2467019477799</v>
      </c>
      <c r="G91" s="209">
        <v>5798.0188762203197</v>
      </c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274"/>
      <c r="V91" s="274"/>
      <c r="W91" s="224"/>
      <c r="X91" s="158"/>
      <c r="Y91" s="274"/>
      <c r="Z91" s="271"/>
      <c r="AA91" s="351"/>
      <c r="AB91" s="418"/>
      <c r="AC91" s="207" t="s">
        <v>378</v>
      </c>
      <c r="AD91" s="251">
        <v>5034.7077001078296</v>
      </c>
      <c r="AE91" s="334">
        <v>4360.1847689225096</v>
      </c>
      <c r="AF91" s="334">
        <v>4448.5262204649998</v>
      </c>
      <c r="AG91" s="335">
        <v>374.836375055102</v>
      </c>
      <c r="AH91" s="154">
        <v>70</v>
      </c>
      <c r="AI91" s="154">
        <v>50</v>
      </c>
      <c r="AJ91" s="152">
        <v>200</v>
      </c>
      <c r="AK91" s="330">
        <f t="shared" si="31"/>
        <v>25.173538500539149</v>
      </c>
      <c r="AL91" s="251">
        <f t="shared" si="38"/>
        <v>21.800923844612548</v>
      </c>
      <c r="AM91" s="331">
        <f t="shared" si="32"/>
        <v>22.242631102324999</v>
      </c>
      <c r="AN91" s="251">
        <f t="shared" si="33"/>
        <v>1.8741818752755099</v>
      </c>
      <c r="AO91" s="152" t="s">
        <v>245</v>
      </c>
      <c r="AP91" s="246">
        <v>1.7000000000000001E-2</v>
      </c>
      <c r="AQ91" s="246">
        <v>1.7500000000000002E-2</v>
      </c>
      <c r="AR91" s="246">
        <v>1.7500000000000002E-2</v>
      </c>
      <c r="AS91" s="246">
        <v>300</v>
      </c>
      <c r="AT91" s="246" t="str">
        <f>IF(((AD91^2)*AP91)&lt;=((115^2)*($AH$91^2)),"Sim","Não")</f>
        <v>Sim</v>
      </c>
      <c r="AU91" s="246" t="str">
        <f t="shared" ref="AU91:AW91" si="102">IF(((AE91^2)*AQ91)&lt;=((115^2)*($AH$91^2)),"Sim","Não")</f>
        <v>Sim</v>
      </c>
      <c r="AV91" s="246" t="str">
        <f t="shared" si="102"/>
        <v>Sim</v>
      </c>
      <c r="AW91" s="246" t="str">
        <f t="shared" si="102"/>
        <v>Sim</v>
      </c>
      <c r="AX91" s="267">
        <f t="shared" si="35"/>
        <v>6.6972631225996589E-3</v>
      </c>
      <c r="AY91" s="268">
        <f t="shared" si="78"/>
        <v>0.68246187363834432</v>
      </c>
      <c r="AZ91" s="263">
        <f t="shared" si="79"/>
        <v>14.924391252616692</v>
      </c>
      <c r="BA91" s="294">
        <f t="shared" si="36"/>
        <v>2.6830143421159712E-2</v>
      </c>
      <c r="BB91" s="283" t="str">
        <f>IMSUM($O$194,O193)</f>
        <v>0,01954+0,018386i</v>
      </c>
      <c r="BC91" s="156">
        <f t="shared" si="93"/>
        <v>10.056913702195999</v>
      </c>
      <c r="BD91" s="291">
        <f t="shared" si="41"/>
        <v>1.0056913702195998E-2</v>
      </c>
      <c r="BE91" s="145" t="s">
        <v>452</v>
      </c>
      <c r="BH91" s="336"/>
      <c r="BI91" s="252" t="s">
        <v>358</v>
      </c>
      <c r="BJ91" s="234">
        <v>6243.9457303009203</v>
      </c>
      <c r="BK91" s="333">
        <v>5407.4156222919801</v>
      </c>
      <c r="BL91" s="333">
        <v>6478.2355220385898</v>
      </c>
      <c r="BM91" s="333">
        <v>6747.7742231847997</v>
      </c>
      <c r="BN91" s="429"/>
      <c r="BO91" s="430"/>
      <c r="BP91" s="430"/>
      <c r="BQ91" s="430"/>
      <c r="BR91" s="430"/>
      <c r="BS91" s="430"/>
      <c r="BT91" s="430"/>
      <c r="BU91" s="430"/>
      <c r="BV91" s="430"/>
      <c r="BW91" s="430"/>
      <c r="BX91" s="430"/>
      <c r="BY91" s="430"/>
      <c r="BZ91" s="430"/>
      <c r="CA91" s="430"/>
      <c r="CB91" s="430"/>
      <c r="CC91" s="430"/>
      <c r="CD91" s="430"/>
      <c r="CE91" s="430"/>
      <c r="CF91" s="430"/>
      <c r="CG91" s="430"/>
      <c r="CH91" s="430"/>
      <c r="CI91" s="431"/>
    </row>
    <row r="92" spans="2:87">
      <c r="B92" s="413"/>
      <c r="C92" s="282" t="s">
        <v>371</v>
      </c>
      <c r="D92" s="209">
        <v>2285.4407157166702</v>
      </c>
      <c r="E92" s="209">
        <v>1979.2497186539299</v>
      </c>
      <c r="F92" s="209">
        <v>2110.44241807962</v>
      </c>
      <c r="G92" s="209">
        <v>1242.3630816110899</v>
      </c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274"/>
      <c r="V92" s="274"/>
      <c r="W92" s="224"/>
      <c r="X92" s="158"/>
      <c r="Y92" s="274"/>
      <c r="AB92" s="412" t="s">
        <v>395</v>
      </c>
      <c r="AC92" s="118" t="s">
        <v>392</v>
      </c>
      <c r="AD92" s="205">
        <v>4539.42</v>
      </c>
      <c r="AE92" s="205">
        <v>3931.25</v>
      </c>
      <c r="AF92" s="205">
        <v>4707.53</v>
      </c>
      <c r="AG92" s="205">
        <v>4429.1000000000004</v>
      </c>
      <c r="AH92" s="242">
        <v>120</v>
      </c>
      <c r="AI92" s="239">
        <v>50</v>
      </c>
      <c r="AJ92" s="241">
        <v>300</v>
      </c>
      <c r="AK92" s="328">
        <f t="shared" si="31"/>
        <v>15.131400000000001</v>
      </c>
      <c r="AL92" s="250">
        <f t="shared" si="38"/>
        <v>13.104166666666666</v>
      </c>
      <c r="AM92" s="329">
        <f t="shared" si="32"/>
        <v>15.691766666666666</v>
      </c>
      <c r="AN92" s="250">
        <f t="shared" si="33"/>
        <v>14.763666666666667</v>
      </c>
      <c r="AO92" s="137" t="s">
        <v>240</v>
      </c>
      <c r="AP92" s="247">
        <v>2.5000000000000001E-2</v>
      </c>
      <c r="AQ92" s="247">
        <v>12</v>
      </c>
      <c r="AR92" s="247">
        <v>2.5000000000000001E-2</v>
      </c>
      <c r="AS92" s="247">
        <v>2.5999999999999999E-2</v>
      </c>
      <c r="AT92" s="247" t="str">
        <f>IF(((AD92^2)*AP92)&lt;=((115^2)*($AH$92^2)),"Sim","Não")</f>
        <v>Sim</v>
      </c>
      <c r="AU92" s="247" t="str">
        <f t="shared" ref="AU92:AW92" si="103">IF(((AE92^2)*AQ92)&lt;=((115^2)*($AH$92^2)),"Sim","Não")</f>
        <v>Sim</v>
      </c>
      <c r="AV92" s="247" t="str">
        <f t="shared" si="103"/>
        <v>Sim</v>
      </c>
      <c r="AW92" s="247" t="str">
        <f t="shared" si="103"/>
        <v>Sim</v>
      </c>
      <c r="AX92" s="269">
        <f t="shared" si="35"/>
        <v>0.71940146061740906</v>
      </c>
      <c r="AY92" s="270">
        <f>(1-((0.106)*((1-100/1200)/((2*0.1)+0.106))))</f>
        <v>0.68246187363834432</v>
      </c>
      <c r="AZ92" s="264">
        <f>(1000+1.5*1200*AY92)*AX92</f>
        <v>1603.1367842974223</v>
      </c>
      <c r="BA92" s="295">
        <f t="shared" si="36"/>
        <v>6.6947633266606233E-3</v>
      </c>
      <c r="BB92" s="279" t="str">
        <f>BK40</f>
        <v>0,00384+0,005484i</v>
      </c>
      <c r="BC92" s="135">
        <f t="shared" ref="BC92:BC99" si="104">AG92*BA92</f>
        <v>29.651776250112569</v>
      </c>
      <c r="BD92" s="290">
        <f t="shared" si="41"/>
        <v>2.9651776250112567E-2</v>
      </c>
      <c r="BE92" s="205" t="s">
        <v>452</v>
      </c>
      <c r="BH92" s="336"/>
      <c r="BI92" s="252" t="s">
        <v>376</v>
      </c>
      <c r="BJ92" s="234">
        <v>5958.5257211135804</v>
      </c>
      <c r="BK92" s="333">
        <v>5160.2346435873496</v>
      </c>
      <c r="BL92" s="333">
        <v>5257.4169866929997</v>
      </c>
      <c r="BM92" s="333">
        <v>392.69836393290302</v>
      </c>
      <c r="BN92" s="232">
        <v>185</v>
      </c>
      <c r="BO92" s="232">
        <v>380</v>
      </c>
      <c r="BP92" s="328">
        <f>BJ92/BO92</f>
        <v>15.680330845035737</v>
      </c>
      <c r="BQ92" s="328">
        <f t="shared" ref="BQ92:BS92" si="105">BK92/$BO$92</f>
        <v>13.579564851545657</v>
      </c>
      <c r="BR92" s="328">
        <f t="shared" si="105"/>
        <v>13.835307859718419</v>
      </c>
      <c r="BS92" s="328">
        <f t="shared" si="105"/>
        <v>1.0334167471918501</v>
      </c>
      <c r="BT92" s="137" t="s">
        <v>240</v>
      </c>
      <c r="BU92" s="247">
        <v>2.5000000000000001E-2</v>
      </c>
      <c r="BV92" s="247">
        <v>0.04</v>
      </c>
      <c r="BW92" s="247">
        <v>0.04</v>
      </c>
      <c r="BX92" s="272">
        <v>10800</v>
      </c>
      <c r="BY92" s="247" t="str">
        <f>IF(((BJ91^2)*BU92)&lt;=((115^2)*($BN$92^2)),"Sim","Não")</f>
        <v>Sim</v>
      </c>
      <c r="BZ92" s="247" t="str">
        <f t="shared" ref="BZ92:CB92" si="106">IF(((BK91^2)*BV92)&lt;=((115^2)*($BN$92^2)),"Sim","Não")</f>
        <v>Sim</v>
      </c>
      <c r="CA92" s="247" t="str">
        <f t="shared" si="106"/>
        <v>Sim</v>
      </c>
      <c r="CB92" s="273" t="str">
        <f t="shared" si="106"/>
        <v>Não</v>
      </c>
      <c r="CC92" s="127">
        <f>(0.116/SQRT(BX92))</f>
        <v>1.1162105204332764E-3</v>
      </c>
      <c r="CD92" s="355">
        <f t="shared" si="87"/>
        <v>0.68246187363834432</v>
      </c>
      <c r="CE92" s="288">
        <f>(1000+1.5*1200*CD92)*CC92</f>
        <v>2.4873985421027816</v>
      </c>
      <c r="CF92" s="297">
        <f>$BA$88</f>
        <v>5.3350453606319037E-3</v>
      </c>
      <c r="CG92" s="288">
        <f>CF92*BM92</f>
        <v>2.0950635846279733</v>
      </c>
      <c r="CH92" s="126">
        <f>CG92/1000</f>
        <v>2.0950635846279731E-3</v>
      </c>
      <c r="CI92" s="205" t="s">
        <v>452</v>
      </c>
    </row>
    <row r="93" spans="2:87">
      <c r="B93" s="413"/>
      <c r="C93" s="282" t="s">
        <v>372</v>
      </c>
      <c r="D93" s="209">
        <v>4099.7466613120796</v>
      </c>
      <c r="E93" s="209">
        <v>3550.4847577767</v>
      </c>
      <c r="F93" s="209">
        <v>3994.0545200483998</v>
      </c>
      <c r="G93" s="209">
        <v>2674.8510888012302</v>
      </c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274"/>
      <c r="V93" s="274"/>
      <c r="W93" s="224"/>
      <c r="X93" s="158"/>
      <c r="Y93" s="274"/>
      <c r="AA93" s="199"/>
      <c r="AB93" s="413"/>
      <c r="AC93" s="118" t="s">
        <v>393</v>
      </c>
      <c r="AD93" s="126">
        <v>4220.62</v>
      </c>
      <c r="AE93" s="205">
        <v>3655.17</v>
      </c>
      <c r="AF93" s="236">
        <v>4395.5200000000004</v>
      </c>
      <c r="AG93" s="236">
        <v>3541.79</v>
      </c>
      <c r="AH93" s="218">
        <v>50</v>
      </c>
      <c r="AI93" s="235">
        <v>25</v>
      </c>
      <c r="AJ93" s="184">
        <v>160</v>
      </c>
      <c r="AK93" s="258">
        <f t="shared" si="31"/>
        <v>26.378875000000001</v>
      </c>
      <c r="AL93" s="234">
        <f t="shared" si="38"/>
        <v>22.8448125</v>
      </c>
      <c r="AM93" s="259">
        <f t="shared" si="32"/>
        <v>27.472000000000001</v>
      </c>
      <c r="AN93" s="234">
        <f t="shared" si="33"/>
        <v>22.136187499999998</v>
      </c>
      <c r="AO93" s="129" t="s">
        <v>249</v>
      </c>
      <c r="AP93" s="127">
        <v>1.7000000000000001E-2</v>
      </c>
      <c r="AQ93" s="127">
        <v>1.7999999999999999E-2</v>
      </c>
      <c r="AR93" s="127">
        <v>1.7000000000000001E-2</v>
      </c>
      <c r="AS93" s="127">
        <v>1.7999999999999999E-2</v>
      </c>
      <c r="AT93" s="127" t="str">
        <f>IF(((AD93^2)*AP93)&lt;=((115^2)*($AH$93^2)),"Sim","Não")</f>
        <v>Sim</v>
      </c>
      <c r="AU93" s="127" t="str">
        <f t="shared" ref="AU93:AW93" si="107">IF(((AE93^2)*AQ93)&lt;=((115^2)*($AH$93^2)),"Sim","Não")</f>
        <v>Sim</v>
      </c>
      <c r="AV93" s="127" t="str">
        <f t="shared" si="107"/>
        <v>Sim</v>
      </c>
      <c r="AW93" s="127" t="str">
        <f t="shared" si="107"/>
        <v>Sim</v>
      </c>
      <c r="AX93" s="265">
        <f t="shared" si="35"/>
        <v>0.86461295129991866</v>
      </c>
      <c r="AY93" s="266">
        <f t="shared" ref="AY93:AY94" si="108">(1-((0.106)*((1-100/1200)/((2*0.1)+0.106))))</f>
        <v>0.68246187363834432</v>
      </c>
      <c r="AZ93" s="262">
        <f t="shared" ref="AZ93:AZ94" si="109">(1000+1.5*1200*AY93)*AX93</f>
        <v>1926.7306257889365</v>
      </c>
      <c r="BA93" s="297">
        <f t="shared" si="36"/>
        <v>1.9536497255137626E-2</v>
      </c>
      <c r="BB93" s="126" t="str">
        <f>IMSUM($BK$40,BK38)</f>
        <v>0,01515+0,012335i</v>
      </c>
      <c r="BC93" s="122">
        <f t="shared" si="104"/>
        <v>69.194170613273897</v>
      </c>
      <c r="BD93" s="292">
        <f t="shared" si="41"/>
        <v>6.9194170613273903E-2</v>
      </c>
      <c r="BE93" s="205" t="s">
        <v>452</v>
      </c>
      <c r="BH93" s="336" t="s">
        <v>285</v>
      </c>
      <c r="BI93" s="252" t="s">
        <v>377</v>
      </c>
      <c r="BJ93" s="319">
        <v>4896.4368829713603</v>
      </c>
      <c r="BK93" s="333">
        <v>4240.4387286802903</v>
      </c>
      <c r="BL93" s="333">
        <v>4322.0833062429901</v>
      </c>
      <c r="BM93" s="333">
        <v>367.16822190996902</v>
      </c>
      <c r="BN93" s="218">
        <v>25</v>
      </c>
      <c r="BO93" s="129">
        <v>110</v>
      </c>
      <c r="BP93" s="328">
        <f>BJ93/$BO$93</f>
        <v>44.513062572466914</v>
      </c>
      <c r="BQ93" s="328">
        <f t="shared" ref="BQ93:BS93" si="110">BK93/$BO$93</f>
        <v>38.549442988002639</v>
      </c>
      <c r="BR93" s="328">
        <f t="shared" si="110"/>
        <v>39.291666420390818</v>
      </c>
      <c r="BS93" s="328">
        <f t="shared" si="110"/>
        <v>3.3378929264542636</v>
      </c>
      <c r="BT93" s="129" t="s">
        <v>311</v>
      </c>
      <c r="BU93" s="127">
        <v>1.2999999999999999E-2</v>
      </c>
      <c r="BV93" s="127">
        <v>1.35E-2</v>
      </c>
      <c r="BW93" s="127">
        <v>1.35E-2</v>
      </c>
      <c r="BX93" s="127">
        <v>50</v>
      </c>
      <c r="BY93" s="247" t="str">
        <f>IF(((BJ92^2)*BU93)&lt;=((115^2)*($BN$93^2)),"Sim","Não")</f>
        <v>Sim</v>
      </c>
      <c r="BZ93" s="247" t="str">
        <f t="shared" ref="BZ93:CB93" si="111">IF(((BK92^2)*BV93)&lt;=((115^2)*($BN$93^2)),"Sim","Não")</f>
        <v>Sim</v>
      </c>
      <c r="CA93" s="247" t="str">
        <f t="shared" si="111"/>
        <v>Sim</v>
      </c>
      <c r="CB93" s="247" t="str">
        <f t="shared" si="111"/>
        <v>Sim</v>
      </c>
      <c r="CC93" s="127">
        <f t="shared" ref="CC93:CC95" si="112">(0.116/SQRT(BX93))</f>
        <v>1.6404877323527904E-2</v>
      </c>
      <c r="CD93" s="355">
        <f t="shared" si="87"/>
        <v>0.68246187363834432</v>
      </c>
      <c r="CE93" s="288">
        <f t="shared" ref="CE93:CE95" si="113">(1000+1.5*1200*CD93)*CC93</f>
        <v>36.557143290567574</v>
      </c>
      <c r="CF93" s="297">
        <f t="shared" ref="CF93:CF95" si="114">$BA$88</f>
        <v>5.3350453606319037E-3</v>
      </c>
      <c r="CG93" s="288">
        <f t="shared" ref="CG93:CG95" si="115">CF93*BM93</f>
        <v>1.9588591188722455</v>
      </c>
      <c r="CH93" s="126">
        <f t="shared" ref="CH93:CH95" si="116">CG93/1000</f>
        <v>1.9588591188722457E-3</v>
      </c>
      <c r="CI93" s="205" t="s">
        <v>452</v>
      </c>
    </row>
    <row r="94" spans="2:87" ht="13.5" thickBot="1">
      <c r="B94" s="413"/>
      <c r="C94" s="282" t="s">
        <v>373</v>
      </c>
      <c r="D94" s="209">
        <v>2062.5173642970999</v>
      </c>
      <c r="E94" s="209">
        <v>1786.1924332278099</v>
      </c>
      <c r="F94" s="209">
        <v>1894.15346148498</v>
      </c>
      <c r="G94" s="209">
        <v>1105.8655242207301</v>
      </c>
      <c r="H94" s="124"/>
      <c r="I94" s="252" t="s">
        <v>294</v>
      </c>
      <c r="J94" s="252" t="s">
        <v>351</v>
      </c>
      <c r="K94" s="252" t="s">
        <v>352</v>
      </c>
      <c r="L94" s="252" t="s">
        <v>353</v>
      </c>
      <c r="M94" s="252" t="s">
        <v>354</v>
      </c>
      <c r="N94" s="307" t="s">
        <v>355</v>
      </c>
      <c r="O94" s="502" t="s">
        <v>307</v>
      </c>
      <c r="P94" s="502"/>
      <c r="Q94" s="252" t="s">
        <v>429</v>
      </c>
      <c r="R94" s="252" t="s">
        <v>430</v>
      </c>
      <c r="S94" s="252" t="s">
        <v>438</v>
      </c>
      <c r="T94" s="252" t="s">
        <v>439</v>
      </c>
      <c r="U94" s="261"/>
      <c r="V94" s="252" t="s">
        <v>440</v>
      </c>
      <c r="W94" s="252" t="s">
        <v>441</v>
      </c>
      <c r="X94" s="125"/>
      <c r="Y94" s="274"/>
      <c r="AA94" s="199"/>
      <c r="AB94" s="414"/>
      <c r="AC94" s="207" t="s">
        <v>394</v>
      </c>
      <c r="AD94" s="237">
        <v>4160.9799999999996</v>
      </c>
      <c r="AE94" s="237">
        <v>3603.51</v>
      </c>
      <c r="AF94" s="237">
        <v>4340.66</v>
      </c>
      <c r="AG94" s="145">
        <v>3286.64</v>
      </c>
      <c r="AH94" s="216">
        <v>35</v>
      </c>
      <c r="AI94" s="244">
        <v>25</v>
      </c>
      <c r="AJ94" s="191">
        <v>125</v>
      </c>
      <c r="AK94" s="330">
        <f t="shared" si="31"/>
        <v>33.287839999999996</v>
      </c>
      <c r="AL94" s="251">
        <f t="shared" si="38"/>
        <v>28.828080000000003</v>
      </c>
      <c r="AM94" s="331">
        <f t="shared" si="32"/>
        <v>34.725279999999998</v>
      </c>
      <c r="AN94" s="251">
        <f t="shared" si="33"/>
        <v>26.293119999999998</v>
      </c>
      <c r="AO94" s="152" t="s">
        <v>249</v>
      </c>
      <c r="AP94" s="246">
        <v>1.4999999999999999E-2</v>
      </c>
      <c r="AQ94" s="246">
        <v>1.6E-2</v>
      </c>
      <c r="AR94" s="246">
        <v>1.4500000000000001E-2</v>
      </c>
      <c r="AS94" s="246">
        <v>1.7000000000000001E-2</v>
      </c>
      <c r="AT94" s="246" t="str">
        <f>IF(((AD94^2)*AP94)&lt;=((115^2)*($AH$94^2)),"Sim","Não")</f>
        <v>Sim</v>
      </c>
      <c r="AU94" s="246" t="str">
        <f t="shared" ref="AU94:AW94" si="117">IF(((AE94^2)*AQ94)&lt;=((115^2)*($AH$94^2)),"Sim","Não")</f>
        <v>Sim</v>
      </c>
      <c r="AV94" s="246" t="str">
        <f t="shared" si="117"/>
        <v>Sim</v>
      </c>
      <c r="AW94" s="246" t="str">
        <f t="shared" si="117"/>
        <v>Sim</v>
      </c>
      <c r="AX94" s="267">
        <f t="shared" si="35"/>
        <v>0.88967938706294969</v>
      </c>
      <c r="AY94" s="268">
        <f t="shared" si="108"/>
        <v>0.68246187363834432</v>
      </c>
      <c r="AZ94" s="263">
        <f t="shared" si="109"/>
        <v>1982.5894576412595</v>
      </c>
      <c r="BA94" s="296">
        <f t="shared" si="36"/>
        <v>2.5224869177064128E-2</v>
      </c>
      <c r="BB94" s="144" t="str">
        <f>IMSUM($BK$40,BK39)</f>
        <v>0,02178+0,012725i</v>
      </c>
      <c r="BC94" s="156">
        <f t="shared" si="104"/>
        <v>82.90506403210604</v>
      </c>
      <c r="BD94" s="291">
        <f t="shared" si="41"/>
        <v>8.2905064032106041E-2</v>
      </c>
      <c r="BE94" s="145" t="s">
        <v>452</v>
      </c>
      <c r="BH94" s="336"/>
      <c r="BI94" s="252" t="s">
        <v>287</v>
      </c>
      <c r="BJ94" s="234">
        <v>4693.8026910345297</v>
      </c>
      <c r="BK94" s="333">
        <v>4064.9523707876601</v>
      </c>
      <c r="BL94" s="333">
        <v>4142.5835960779496</v>
      </c>
      <c r="BM94" s="333">
        <v>366.99647946338501</v>
      </c>
      <c r="BN94" s="218">
        <v>16</v>
      </c>
      <c r="BO94" s="129">
        <v>70</v>
      </c>
      <c r="BP94" s="328">
        <f>BJ94/$BO$94</f>
        <v>67.054324157636145</v>
      </c>
      <c r="BQ94" s="328">
        <f t="shared" ref="BQ94:BS94" si="118">BK94/$BO$94</f>
        <v>58.070748154109431</v>
      </c>
      <c r="BR94" s="328">
        <f t="shared" si="118"/>
        <v>59.179765658256422</v>
      </c>
      <c r="BS94" s="328">
        <f t="shared" si="118"/>
        <v>5.2428068494769287</v>
      </c>
      <c r="BT94" s="129" t="s">
        <v>249</v>
      </c>
      <c r="BU94" s="127">
        <v>1.0500000000000001E-2</v>
      </c>
      <c r="BV94" s="127">
        <v>1.0500000000000001E-2</v>
      </c>
      <c r="BW94" s="127">
        <v>1.1599999999999999E-2</v>
      </c>
      <c r="BX94" s="127">
        <v>18</v>
      </c>
      <c r="BY94" s="247" t="str">
        <f>IF(((BJ93^2)*BU94)&lt;=((115^2)*($BN$94^2)),"Sim","Não")</f>
        <v>Sim</v>
      </c>
      <c r="BZ94" s="247" t="str">
        <f t="shared" ref="BZ94:CB94" si="119">IF(((BK93^2)*BV94)&lt;=((115^2)*($BN$94^2)),"Sim","Não")</f>
        <v>Sim</v>
      </c>
      <c r="CA94" s="247" t="str">
        <f t="shared" si="119"/>
        <v>Sim</v>
      </c>
      <c r="CB94" s="247" t="str">
        <f t="shared" si="119"/>
        <v>Sim</v>
      </c>
      <c r="CC94" s="127">
        <f t="shared" si="112"/>
        <v>2.7341462205879841E-2</v>
      </c>
      <c r="CD94" s="355">
        <f t="shared" si="87"/>
        <v>0.68246187363834432</v>
      </c>
      <c r="CE94" s="288">
        <f t="shared" si="113"/>
        <v>60.928572150945961</v>
      </c>
      <c r="CF94" s="297">
        <f t="shared" si="114"/>
        <v>5.3350453606319037E-3</v>
      </c>
      <c r="CG94" s="288">
        <f t="shared" si="115"/>
        <v>1.957942865129374</v>
      </c>
      <c r="CH94" s="126">
        <f t="shared" si="116"/>
        <v>1.9579428651293738E-3</v>
      </c>
      <c r="CI94" s="205" t="s">
        <v>452</v>
      </c>
    </row>
    <row r="95" spans="2:87" ht="12.75" customHeight="1" thickBot="1">
      <c r="B95" s="413"/>
      <c r="C95" s="282" t="s">
        <v>374</v>
      </c>
      <c r="D95" s="209">
        <v>2660.7656010486799</v>
      </c>
      <c r="E95" s="209">
        <v>2304.29060402393</v>
      </c>
      <c r="F95" s="209">
        <v>2481.0946249948202</v>
      </c>
      <c r="G95" s="209">
        <v>1485.1024925070101</v>
      </c>
      <c r="H95" s="124"/>
      <c r="I95" s="416" t="s">
        <v>256</v>
      </c>
      <c r="J95" s="252" t="s">
        <v>356</v>
      </c>
      <c r="K95" s="253">
        <v>2002.7862014110799</v>
      </c>
      <c r="L95" s="253">
        <v>1734.4637287709299</v>
      </c>
      <c r="M95" s="253">
        <v>1775.8868349547399</v>
      </c>
      <c r="N95" s="254">
        <v>1399.57936933429</v>
      </c>
      <c r="O95" s="503" t="s">
        <v>442</v>
      </c>
      <c r="P95" s="504"/>
      <c r="Q95" s="308">
        <f>0.00402+0.983*LOG10(K95/1000)</f>
        <v>0.30052680254018144</v>
      </c>
      <c r="R95" s="262">
        <f t="shared" ref="R95:R126" si="120">EXP(Q95)*1000</f>
        <v>1350.5701039646426</v>
      </c>
      <c r="S95" s="308">
        <f>-0.792-0.133+1.081*LOG10(R95/1000)+0.0011*13</f>
        <v>-0.7696109803001856</v>
      </c>
      <c r="T95" s="308">
        <f t="shared" ref="T95:T126" si="121">EXP(S95)</f>
        <v>0.46319322455596473</v>
      </c>
      <c r="U95" s="266"/>
      <c r="V95" s="308">
        <f>4.184*1*T95*(0.08/0.2)*(610^2/910^2)</f>
        <v>0.3483298963984236</v>
      </c>
      <c r="W95" s="129">
        <f>(4.184*1*T95*(0.08/0.2)*(610^2/V95))^(1/2)</f>
        <v>909.99999999999989</v>
      </c>
      <c r="X95" s="158"/>
      <c r="Y95" s="274"/>
      <c r="AA95" s="199"/>
      <c r="AB95" s="412" t="s">
        <v>264</v>
      </c>
      <c r="AC95" s="118" t="s">
        <v>266</v>
      </c>
      <c r="AD95" s="236">
        <v>2949.92</v>
      </c>
      <c r="AE95" s="236">
        <v>2554.71</v>
      </c>
      <c r="AF95" s="236">
        <v>3117.41</v>
      </c>
      <c r="AG95" s="236">
        <v>2647.82</v>
      </c>
      <c r="AH95" s="232">
        <v>50</v>
      </c>
      <c r="AI95" s="232">
        <v>25</v>
      </c>
      <c r="AJ95" s="137">
        <v>150</v>
      </c>
      <c r="AK95" s="328">
        <f t="shared" si="31"/>
        <v>19.666133333333335</v>
      </c>
      <c r="AL95" s="250">
        <f t="shared" si="38"/>
        <v>17.031400000000001</v>
      </c>
      <c r="AM95" s="329">
        <f t="shared" si="32"/>
        <v>20.782733333333333</v>
      </c>
      <c r="AN95" s="250">
        <f t="shared" si="33"/>
        <v>17.652133333333335</v>
      </c>
      <c r="AO95" s="137" t="s">
        <v>249</v>
      </c>
      <c r="AP95" s="247">
        <v>1.9E-2</v>
      </c>
      <c r="AQ95" s="247">
        <v>0.03</v>
      </c>
      <c r="AR95" s="125">
        <v>1.9E-2</v>
      </c>
      <c r="AS95" s="247">
        <v>0.03</v>
      </c>
      <c r="AT95" s="247" t="str">
        <f>IF(((AD95^2)*AP95)&lt;=((115^2)*($AH$95^2)),"Sim","Não")</f>
        <v>Sim</v>
      </c>
      <c r="AU95" s="247" t="str">
        <f t="shared" ref="AU95:AW95" si="122">IF(((AE95^2)*AQ95)&lt;=((115^2)*($AH$95^2)),"Sim","Não")</f>
        <v>Sim</v>
      </c>
      <c r="AV95" s="247" t="str">
        <f t="shared" si="122"/>
        <v>Sim</v>
      </c>
      <c r="AW95" s="247" t="str">
        <f t="shared" si="122"/>
        <v>Sim</v>
      </c>
      <c r="AX95" s="269">
        <f t="shared" si="35"/>
        <v>0.66972631225996593</v>
      </c>
      <c r="AY95" s="270">
        <f>(1-((0.106)*((1-100/21)/((2*0.1)+0.106))))</f>
        <v>2.303143479614068</v>
      </c>
      <c r="AZ95" s="264">
        <f>(1000+1.5*21*AY95)*AX95</f>
        <v>718.31429962000266</v>
      </c>
      <c r="BA95" s="295">
        <f t="shared" si="36"/>
        <v>1.2206005734883136E-2</v>
      </c>
      <c r="BB95" s="279" t="str">
        <f>BK23</f>
        <v>0,01044+0,006324i</v>
      </c>
      <c r="BC95" s="135">
        <f t="shared" si="104"/>
        <v>32.319306104938264</v>
      </c>
      <c r="BD95" s="290">
        <f t="shared" si="41"/>
        <v>3.2319306104938265E-2</v>
      </c>
      <c r="BE95" s="205" t="s">
        <v>452</v>
      </c>
      <c r="BH95" s="337"/>
      <c r="BI95" s="255" t="s">
        <v>378</v>
      </c>
      <c r="BJ95" s="251">
        <v>5034.7077001078296</v>
      </c>
      <c r="BK95" s="334">
        <v>4360.1847689225096</v>
      </c>
      <c r="BL95" s="334">
        <v>4448.5262204649998</v>
      </c>
      <c r="BM95" s="354">
        <v>374.836375055102</v>
      </c>
      <c r="BN95" s="154">
        <v>70</v>
      </c>
      <c r="BO95" s="152">
        <v>200</v>
      </c>
      <c r="BP95" s="330">
        <f>BJ95/$BO$95</f>
        <v>25.173538500539149</v>
      </c>
      <c r="BQ95" s="330">
        <f t="shared" ref="BQ95:BS95" si="123">BK95/$BO$95</f>
        <v>21.800923844612548</v>
      </c>
      <c r="BR95" s="330">
        <f t="shared" si="123"/>
        <v>22.242631102324999</v>
      </c>
      <c r="BS95" s="251">
        <f t="shared" si="123"/>
        <v>1.8741818752755099</v>
      </c>
      <c r="BT95" s="152" t="s">
        <v>245</v>
      </c>
      <c r="BU95" s="246">
        <v>1.7000000000000001E-2</v>
      </c>
      <c r="BV95" s="246">
        <v>1.7999999999999999E-2</v>
      </c>
      <c r="BW95" s="246">
        <v>1.7500000000000002E-2</v>
      </c>
      <c r="BX95" s="246">
        <v>400</v>
      </c>
      <c r="BY95" s="283" t="str">
        <f>IF(((BJ94^2)*BU95)&lt;=((115^2)*($BN$95^2)),"Sim","Não")</f>
        <v>Sim</v>
      </c>
      <c r="BZ95" s="283" t="str">
        <f t="shared" ref="BZ95:CB95" si="124">IF(((BK94^2)*BV95)&lt;=((115^2)*($BN$95^2)),"Sim","Não")</f>
        <v>Sim</v>
      </c>
      <c r="CA95" s="283" t="str">
        <f t="shared" si="124"/>
        <v>Sim</v>
      </c>
      <c r="CB95" s="283" t="str">
        <f t="shared" si="124"/>
        <v>Sim</v>
      </c>
      <c r="CC95" s="246">
        <f t="shared" si="112"/>
        <v>5.8000000000000005E-3</v>
      </c>
      <c r="CD95" s="356">
        <f t="shared" si="87"/>
        <v>0.68246187363834432</v>
      </c>
      <c r="CE95" s="289">
        <f t="shared" si="113"/>
        <v>12.924901960784315</v>
      </c>
      <c r="CF95" s="296">
        <f t="shared" si="114"/>
        <v>5.3350453606319037E-3</v>
      </c>
      <c r="CG95" s="289">
        <f t="shared" si="115"/>
        <v>1.9997690637338021</v>
      </c>
      <c r="CH95" s="144">
        <f t="shared" si="116"/>
        <v>1.9997690637338023E-3</v>
      </c>
      <c r="CI95" s="145" t="s">
        <v>452</v>
      </c>
    </row>
    <row r="96" spans="2:87" ht="14.25" customHeight="1" thickBot="1">
      <c r="B96" s="414"/>
      <c r="C96" s="207" t="s">
        <v>375</v>
      </c>
      <c r="D96" s="210">
        <v>5054.5074805843396</v>
      </c>
      <c r="E96" s="210">
        <v>4377.33188180452</v>
      </c>
      <c r="F96" s="210">
        <v>4924.1619046362803</v>
      </c>
      <c r="G96" s="210">
        <v>3675.5544235776001</v>
      </c>
      <c r="H96" s="124"/>
      <c r="I96" s="417"/>
      <c r="J96" s="252" t="s">
        <v>357</v>
      </c>
      <c r="K96" s="253">
        <v>1972.12917840932</v>
      </c>
      <c r="L96" s="253">
        <v>1707.913968047</v>
      </c>
      <c r="M96" s="253">
        <v>1745.6682245265799</v>
      </c>
      <c r="N96" s="254">
        <v>1385.47478517836</v>
      </c>
      <c r="O96" s="503" t="s">
        <v>442</v>
      </c>
      <c r="P96" s="504"/>
      <c r="Q96" s="308">
        <f>0.00402+0.983*LOG10(K96/1000)</f>
        <v>0.29394145759709966</v>
      </c>
      <c r="R96" s="262">
        <f t="shared" si="120"/>
        <v>1341.7053547123223</v>
      </c>
      <c r="S96" s="308">
        <f t="shared" ref="S96:S104" si="125">-0.555-0.133+1.081*LOG10(R96/1000)+0.0011*13</f>
        <v>-0.53570261756698256</v>
      </c>
      <c r="T96" s="308">
        <f t="shared" si="121"/>
        <v>0.58525793314334651</v>
      </c>
      <c r="U96" s="266"/>
      <c r="V96" s="308">
        <f>4.184*1*T96*(0.08/0.2)*(610^2/910^2)</f>
        <v>0.44012482137148773</v>
      </c>
      <c r="W96" s="129">
        <f>(4.184*1*T96*(0.08/0.2)*(610^2/V96))^(1/2)</f>
        <v>910</v>
      </c>
      <c r="X96" s="285"/>
      <c r="Y96" s="274"/>
      <c r="AA96" s="128"/>
      <c r="AB96" s="414"/>
      <c r="AC96" s="207" t="s">
        <v>396</v>
      </c>
      <c r="AD96" s="237">
        <v>2695.26</v>
      </c>
      <c r="AE96" s="237">
        <v>2334.17</v>
      </c>
      <c r="AF96" s="237">
        <v>2750.24</v>
      </c>
      <c r="AG96" s="237">
        <v>2048.4899999999998</v>
      </c>
      <c r="AH96" s="154">
        <v>50</v>
      </c>
      <c r="AI96" s="154">
        <v>25</v>
      </c>
      <c r="AJ96" s="152">
        <v>150</v>
      </c>
      <c r="AK96" s="330">
        <f t="shared" si="31"/>
        <v>17.968400000000003</v>
      </c>
      <c r="AL96" s="251">
        <f t="shared" si="38"/>
        <v>15.561133333333334</v>
      </c>
      <c r="AM96" s="331">
        <f t="shared" si="32"/>
        <v>18.334933333333332</v>
      </c>
      <c r="AN96" s="251">
        <f t="shared" si="33"/>
        <v>13.656599999999999</v>
      </c>
      <c r="AO96" s="152" t="s">
        <v>249</v>
      </c>
      <c r="AP96" s="246">
        <v>0.03</v>
      </c>
      <c r="AQ96" s="246">
        <v>0.03</v>
      </c>
      <c r="AR96" s="246">
        <v>1.9E-2</v>
      </c>
      <c r="AS96" s="246">
        <v>0.04</v>
      </c>
      <c r="AT96" s="246" t="str">
        <f>IF(((AD96^2)*AP96)&lt;=((115^2)*($AH$96^2)),"Sim","Não")</f>
        <v>Sim</v>
      </c>
      <c r="AU96" s="246" t="str">
        <f t="shared" ref="AU96:AW96" si="126">IF(((AE96^2)*AQ96)&lt;=((115^2)*($AH$96^2)),"Sim","Não")</f>
        <v>Sim</v>
      </c>
      <c r="AV96" s="246" t="str">
        <f t="shared" si="126"/>
        <v>Sim</v>
      </c>
      <c r="AW96" s="246" t="str">
        <f t="shared" si="126"/>
        <v>Sim</v>
      </c>
      <c r="AX96" s="267">
        <f t="shared" si="35"/>
        <v>0.57999999999999996</v>
      </c>
      <c r="AY96" s="268">
        <f>(1-((0.106)*((1-100/21)/((2*0.1)+0.106))))</f>
        <v>2.303143479614068</v>
      </c>
      <c r="AZ96" s="263">
        <f>(1000+1.5*21*AY96)*AX96</f>
        <v>622.07843137254895</v>
      </c>
      <c r="BA96" s="296">
        <f t="shared" si="36"/>
        <v>2.4412011469766272E-2</v>
      </c>
      <c r="BB96" s="144" t="str">
        <f>IMSUM(BK23,BK22)</f>
        <v>0,02088+0,012648i</v>
      </c>
      <c r="BC96" s="156">
        <f t="shared" si="104"/>
        <v>50.007761375701506</v>
      </c>
      <c r="BD96" s="291">
        <f t="shared" si="41"/>
        <v>5.0007761375701502E-2</v>
      </c>
      <c r="BE96" s="145" t="s">
        <v>452</v>
      </c>
      <c r="BH96" s="412" t="s">
        <v>395</v>
      </c>
      <c r="BI96" s="282" t="s">
        <v>391</v>
      </c>
      <c r="BJ96" s="205">
        <v>4741.32</v>
      </c>
      <c r="BK96" s="205">
        <v>4106.1000000000004</v>
      </c>
      <c r="BL96" s="205">
        <v>4912.59</v>
      </c>
      <c r="BM96" s="347">
        <v>5087.8599999999997</v>
      </c>
      <c r="BN96" s="429"/>
      <c r="BO96" s="430"/>
      <c r="BP96" s="430"/>
      <c r="BQ96" s="430"/>
      <c r="BR96" s="430"/>
      <c r="BS96" s="430"/>
      <c r="BT96" s="430"/>
      <c r="BU96" s="430"/>
      <c r="BV96" s="430"/>
      <c r="BW96" s="430"/>
      <c r="BX96" s="430"/>
      <c r="BY96" s="430"/>
      <c r="BZ96" s="430"/>
      <c r="CA96" s="430"/>
      <c r="CB96" s="430"/>
      <c r="CC96" s="430"/>
      <c r="CD96" s="430"/>
      <c r="CE96" s="430"/>
      <c r="CF96" s="430"/>
      <c r="CG96" s="430"/>
      <c r="CH96" s="430"/>
      <c r="CI96" s="431"/>
    </row>
    <row r="97" spans="2:87">
      <c r="B97" s="419" t="s">
        <v>285</v>
      </c>
      <c r="C97" s="312" t="s">
        <v>356</v>
      </c>
      <c r="D97" s="250">
        <v>2002.7862014110799</v>
      </c>
      <c r="E97" s="332">
        <v>1734.4637287709299</v>
      </c>
      <c r="F97" s="332">
        <v>1775.8868349547399</v>
      </c>
      <c r="G97" s="332">
        <v>1399.57936933429</v>
      </c>
      <c r="H97" s="124"/>
      <c r="I97" s="417"/>
      <c r="J97" s="252" t="s">
        <v>358</v>
      </c>
      <c r="K97" s="253">
        <v>12621.9323714435</v>
      </c>
      <c r="L97" s="253">
        <v>10930.914078519199</v>
      </c>
      <c r="M97" s="253">
        <v>13255.643899865599</v>
      </c>
      <c r="N97" s="254">
        <v>13996.485813991099</v>
      </c>
      <c r="O97" s="503" t="s">
        <v>442</v>
      </c>
      <c r="P97" s="504"/>
      <c r="Q97" s="308">
        <f>0.00402+0.983*LOG10(K97/1000)</f>
        <v>1.0864267094557247</v>
      </c>
      <c r="R97" s="262">
        <f t="shared" si="120"/>
        <v>2963.6650929151333</v>
      </c>
      <c r="S97" s="308">
        <f t="shared" si="125"/>
        <v>-0.16365271597344819</v>
      </c>
      <c r="T97" s="308">
        <f t="shared" si="121"/>
        <v>0.8490368276147674</v>
      </c>
      <c r="U97" s="266"/>
      <c r="V97" s="308">
        <f>4.184*1.5*T97*(0.025/0.2)*(610^2/910^2)</f>
        <v>0.29929286377159087</v>
      </c>
      <c r="W97" s="129">
        <f t="shared" ref="W97:W104" si="127">(4.184*1.5*T97*(0.025/0.2)*(610^2/V97))^(1/2)</f>
        <v>910</v>
      </c>
      <c r="X97" s="227"/>
      <c r="Y97" s="274"/>
      <c r="AA97" s="128"/>
      <c r="AB97" s="412" t="s">
        <v>399</v>
      </c>
      <c r="AC97" s="282" t="s">
        <v>275</v>
      </c>
      <c r="AD97" s="236">
        <v>4166.33</v>
      </c>
      <c r="AE97" s="236">
        <v>3608.15</v>
      </c>
      <c r="AF97" s="236">
        <v>4306.8</v>
      </c>
      <c r="AG97" s="236">
        <v>3419.38</v>
      </c>
      <c r="AH97" s="232">
        <v>70</v>
      </c>
      <c r="AI97" s="239">
        <v>50</v>
      </c>
      <c r="AJ97" s="241">
        <v>200</v>
      </c>
      <c r="AK97" s="328">
        <f t="shared" ref="AK97:AK99" si="128">AD97/$AJ97</f>
        <v>20.83165</v>
      </c>
      <c r="AL97" s="250">
        <f t="shared" ref="AL97:AL99" si="129">AE97/$AJ97</f>
        <v>18.040749999999999</v>
      </c>
      <c r="AM97" s="329">
        <f t="shared" ref="AM97:AM99" si="130">AF97/$AJ97</f>
        <v>21.534000000000002</v>
      </c>
      <c r="AN97" s="250">
        <f t="shared" ref="AN97:AN99" si="131">AG97/$AJ97</f>
        <v>17.096900000000002</v>
      </c>
      <c r="AO97" s="137" t="s">
        <v>245</v>
      </c>
      <c r="AP97" s="247">
        <v>1.7999999999999999E-2</v>
      </c>
      <c r="AQ97" s="247">
        <v>1.7999999999999999E-2</v>
      </c>
      <c r="AR97" s="125">
        <v>1.7500000000000002E-2</v>
      </c>
      <c r="AS97" s="247">
        <v>2.5999999999999999E-2</v>
      </c>
      <c r="AT97" s="247" t="str">
        <f>IF(((AD97^2)*AP97)&lt;=((115^2)*($AH$97^2)),"Sim","Não")</f>
        <v>Sim</v>
      </c>
      <c r="AU97" s="247" t="str">
        <f t="shared" ref="AU97:AW97" si="132">IF(((AE97^2)*AQ97)&lt;=((115^2)*($AH$97^2)),"Sim","Não")</f>
        <v>Sim</v>
      </c>
      <c r="AV97" s="247" t="str">
        <f t="shared" si="132"/>
        <v>Sim</v>
      </c>
      <c r="AW97" s="247" t="str">
        <f t="shared" si="132"/>
        <v>Sim</v>
      </c>
      <c r="AX97" s="269">
        <f t="shared" si="35"/>
        <v>0.71940146061740906</v>
      </c>
      <c r="AY97" s="270">
        <f>(1-((0.106)*((1-100/1200)/((2*0.1)+0.106))))</f>
        <v>0.68246187363834432</v>
      </c>
      <c r="AZ97" s="264">
        <f>(1000+1.5*1200*AY97)*AX97</f>
        <v>1603.1367842974223</v>
      </c>
      <c r="BA97" s="295">
        <f t="shared" si="36"/>
        <v>6.6947633266606233E-3</v>
      </c>
      <c r="BB97" s="279" t="str">
        <f>BK40</f>
        <v>0,00384+0,005484i</v>
      </c>
      <c r="BC97" s="135">
        <f t="shared" si="104"/>
        <v>22.891939823916804</v>
      </c>
      <c r="BD97" s="290">
        <f t="shared" si="41"/>
        <v>2.2891939823916803E-2</v>
      </c>
      <c r="BE97" s="136" t="s">
        <v>452</v>
      </c>
      <c r="BH97" s="413"/>
      <c r="BI97" s="282" t="s">
        <v>392</v>
      </c>
      <c r="BJ97" s="205">
        <v>4539.42</v>
      </c>
      <c r="BK97" s="205">
        <v>3931.25</v>
      </c>
      <c r="BL97" s="205">
        <v>4707.53</v>
      </c>
      <c r="BM97" s="205">
        <v>4429.1000000000004</v>
      </c>
      <c r="BN97" s="242">
        <v>120</v>
      </c>
      <c r="BO97" s="232">
        <v>300</v>
      </c>
      <c r="BP97" s="328">
        <f>BJ96/$BO$97</f>
        <v>15.804399999999999</v>
      </c>
      <c r="BQ97" s="328">
        <f>BK96/$BO$97</f>
        <v>13.687000000000001</v>
      </c>
      <c r="BR97" s="328">
        <f>BL96/$BO$97</f>
        <v>16.375299999999999</v>
      </c>
      <c r="BS97" s="328">
        <f>BM96/$BO$97</f>
        <v>16.959533333333333</v>
      </c>
      <c r="BT97" s="137" t="s">
        <v>240</v>
      </c>
      <c r="BU97" s="247">
        <v>2.5000000000000001E-2</v>
      </c>
      <c r="BV97" s="247">
        <v>0.04</v>
      </c>
      <c r="BW97" s="247">
        <v>2.5000000000000001E-2</v>
      </c>
      <c r="BX97" s="247">
        <v>2.5000000000000001E-2</v>
      </c>
      <c r="BY97" s="247" t="str">
        <f>IF(((BJ96^2)*BU97)&lt;=((115^2)*($BN$97^2)),"Sim","Não")</f>
        <v>Sim</v>
      </c>
      <c r="BZ97" s="247" t="str">
        <f t="shared" ref="BZ97:CB97" si="133">IF(((BK96^2)*BV97)&lt;=((115^2)*($BN$97^2)),"Sim","Não")</f>
        <v>Sim</v>
      </c>
      <c r="CA97" s="247" t="str">
        <f t="shared" si="133"/>
        <v>Sim</v>
      </c>
      <c r="CB97" s="247" t="str">
        <f t="shared" si="133"/>
        <v>Sim</v>
      </c>
      <c r="CC97" s="127">
        <f>(0.116/SQRT(BX97))</f>
        <v>0.73364841715906404</v>
      </c>
      <c r="CD97" s="355">
        <f>AY92</f>
        <v>0.68246187363834432</v>
      </c>
      <c r="CE97" s="288">
        <f>(1000+1.5*1200*CD97)*CC97</f>
        <v>1634.8851492181889</v>
      </c>
      <c r="CF97" s="293">
        <f>$BA$92</f>
        <v>6.6947633266606233E-3</v>
      </c>
      <c r="CG97" s="288">
        <f>CF97*BM97</f>
        <v>29.651776250112569</v>
      </c>
      <c r="CH97" s="293">
        <f>CG97/1000</f>
        <v>2.9651776250112567E-2</v>
      </c>
      <c r="CI97" s="129" t="s">
        <v>452</v>
      </c>
    </row>
    <row r="98" spans="2:87">
      <c r="B98" s="417"/>
      <c r="C98" s="252" t="s">
        <v>357</v>
      </c>
      <c r="D98" s="319">
        <v>1878.0346283234801</v>
      </c>
      <c r="E98" s="333">
        <v>1626.425697315</v>
      </c>
      <c r="F98" s="333">
        <v>1654.2841281829801</v>
      </c>
      <c r="G98" s="333">
        <v>1341.5236576034399</v>
      </c>
      <c r="H98" s="124"/>
      <c r="I98" s="417"/>
      <c r="J98" s="252" t="s">
        <v>389</v>
      </c>
      <c r="K98" s="253">
        <v>12263.607504056199</v>
      </c>
      <c r="L98" s="253">
        <v>10620.5956405542</v>
      </c>
      <c r="M98" s="253">
        <v>12620.278817160999</v>
      </c>
      <c r="N98" s="254">
        <v>12578.2022084688</v>
      </c>
      <c r="O98" s="501" t="s">
        <v>336</v>
      </c>
      <c r="P98" s="501"/>
      <c r="Q98" s="308">
        <f t="shared" ref="Q98:Q104" si="134">-0.097+0.662*LOG10(K98/1000)+0.0966*0.38+0.000526*13+0.5588*0.38*LOG10(K98/1000)-0.00304*13*LOG10(K98/1000)</f>
        <v>0.85535063567906344</v>
      </c>
      <c r="R98" s="262">
        <f t="shared" si="120"/>
        <v>2352.1990008897706</v>
      </c>
      <c r="S98" s="308">
        <f t="shared" si="125"/>
        <v>-0.27213653987754777</v>
      </c>
      <c r="T98" s="308">
        <f t="shared" si="121"/>
        <v>0.76175024470367303</v>
      </c>
      <c r="U98" s="266"/>
      <c r="V98" s="308">
        <f t="shared" ref="V98:V103" si="135">4.184*1.5*T98*(0.025/0.2)*(610^2/455^2)</f>
        <v>1.0740943374932916</v>
      </c>
      <c r="W98" s="129">
        <f t="shared" si="127"/>
        <v>455</v>
      </c>
      <c r="X98" s="227"/>
      <c r="Y98" s="274"/>
      <c r="AA98" s="128"/>
      <c r="AB98" s="413"/>
      <c r="AC98" s="282" t="s">
        <v>397</v>
      </c>
      <c r="AD98" s="236">
        <v>2994.63</v>
      </c>
      <c r="AE98" s="236">
        <v>2593.42</v>
      </c>
      <c r="AF98" s="236">
        <v>2860.51</v>
      </c>
      <c r="AG98" s="236">
        <v>1655.55</v>
      </c>
      <c r="AH98" s="218">
        <v>25</v>
      </c>
      <c r="AI98" s="235">
        <v>25</v>
      </c>
      <c r="AJ98" s="184">
        <v>100</v>
      </c>
      <c r="AK98" s="258">
        <f t="shared" si="128"/>
        <v>29.946300000000001</v>
      </c>
      <c r="AL98" s="234">
        <f t="shared" si="129"/>
        <v>25.934200000000001</v>
      </c>
      <c r="AM98" s="259">
        <f t="shared" si="130"/>
        <v>28.605100000000004</v>
      </c>
      <c r="AN98" s="234">
        <f t="shared" si="131"/>
        <v>16.555499999999999</v>
      </c>
      <c r="AO98" s="129" t="s">
        <v>249</v>
      </c>
      <c r="AP98" s="127">
        <v>1.6E-2</v>
      </c>
      <c r="AQ98" s="127">
        <v>1.7000000000000001E-2</v>
      </c>
      <c r="AR98" s="127">
        <v>1.6E-2</v>
      </c>
      <c r="AS98" s="127">
        <v>0.03</v>
      </c>
      <c r="AT98" s="127" t="str">
        <f>IF(((AD98^2)*AP98)&lt;=((115^2)*($AH$98^2)),"Sim","Não")</f>
        <v>Sim</v>
      </c>
      <c r="AU98" s="127" t="str">
        <f t="shared" ref="AU98:AW98" si="136">IF(((AE98^2)*AQ98)&lt;=((115^2)*($AH$98^2)),"Sim","Não")</f>
        <v>Sim</v>
      </c>
      <c r="AV98" s="127" t="str">
        <f t="shared" si="136"/>
        <v>Sim</v>
      </c>
      <c r="AW98" s="127" t="str">
        <f t="shared" si="136"/>
        <v>Sim</v>
      </c>
      <c r="AX98" s="265">
        <f t="shared" si="35"/>
        <v>0.66972631225996593</v>
      </c>
      <c r="AY98" s="266">
        <f t="shared" ref="AY98:AY99" si="137">(1-((0.106)*((1-100/1200)/((2*0.1)+0.106))))</f>
        <v>0.68246187363834432</v>
      </c>
      <c r="AZ98" s="262">
        <f t="shared" ref="AZ98:AZ99" si="138">(1000+1.5*1200*AY98)*AX98</f>
        <v>1492.4391252616692</v>
      </c>
      <c r="BA98" s="297">
        <f t="shared" ref="BA98:BA99" si="139">IMABS(BB98)</f>
        <v>1.9536497255137626E-2</v>
      </c>
      <c r="BB98" s="126" t="str">
        <f>IMSUM($BK$40,BK38)</f>
        <v>0,01515+0,012335i</v>
      </c>
      <c r="BC98" s="122">
        <f t="shared" si="104"/>
        <v>32.343648030743097</v>
      </c>
      <c r="BD98" s="292">
        <f t="shared" si="41"/>
        <v>3.2343648030743098E-2</v>
      </c>
      <c r="BE98" s="205" t="s">
        <v>452</v>
      </c>
      <c r="BH98" s="413"/>
      <c r="BI98" s="282" t="s">
        <v>393</v>
      </c>
      <c r="BJ98" s="126">
        <v>4220.62</v>
      </c>
      <c r="BK98" s="205">
        <v>3655.17</v>
      </c>
      <c r="BL98" s="236">
        <v>4395.5200000000004</v>
      </c>
      <c r="BM98" s="236">
        <v>3541.79</v>
      </c>
      <c r="BN98" s="218">
        <v>50</v>
      </c>
      <c r="BO98" s="129">
        <v>160</v>
      </c>
      <c r="BP98" s="328">
        <f>BJ97/$BO$98</f>
        <v>28.371375</v>
      </c>
      <c r="BQ98" s="328">
        <f>BK97/$BO$98</f>
        <v>24.5703125</v>
      </c>
      <c r="BR98" s="328">
        <f>BL97/$BO$98</f>
        <v>29.422062499999999</v>
      </c>
      <c r="BS98" s="328">
        <f>BM97/$BO$98</f>
        <v>27.681875000000002</v>
      </c>
      <c r="BT98" s="129" t="s">
        <v>249</v>
      </c>
      <c r="BU98" s="127">
        <v>1.6E-2</v>
      </c>
      <c r="BV98" s="127">
        <v>1.7000000000000001E-2</v>
      </c>
      <c r="BW98" s="127">
        <v>1.6E-2</v>
      </c>
      <c r="BX98" s="127">
        <v>1.7000000000000001E-2</v>
      </c>
      <c r="BY98" s="247" t="str">
        <f>IF(((BJ97^2)*BU98)&lt;=((115^2)*($BN$98^2)),"Sim","Não")</f>
        <v>Sim</v>
      </c>
      <c r="BZ98" s="247" t="str">
        <f t="shared" ref="BZ98:CB98" si="140">IF(((BK97^2)*BV98)&lt;=((115^2)*($BN$98^2)),"Sim","Não")</f>
        <v>Sim</v>
      </c>
      <c r="CA98" s="247" t="str">
        <f t="shared" si="140"/>
        <v>Sim</v>
      </c>
      <c r="CB98" s="247" t="str">
        <f t="shared" si="140"/>
        <v>Sim</v>
      </c>
      <c r="CC98" s="127">
        <f t="shared" ref="CC98:CC99" si="141">(0.116/SQRT(BX98))</f>
        <v>0.88967938706294969</v>
      </c>
      <c r="CD98" s="355">
        <f t="shared" ref="CD98:CD99" si="142">AY93</f>
        <v>0.68246187363834432</v>
      </c>
      <c r="CE98" s="288">
        <f t="shared" ref="CE98:CE99" si="143">(1000+1.5*1200*CD98)*CC98</f>
        <v>1982.5894576412595</v>
      </c>
      <c r="CF98" s="293">
        <f t="shared" ref="CF98:CF99" si="144">$BA$92</f>
        <v>6.6947633266606233E-3</v>
      </c>
      <c r="CG98" s="288">
        <f t="shared" ref="CG98:CG99" si="145">CF98*BM98</f>
        <v>23.71144580273333</v>
      </c>
      <c r="CH98" s="293">
        <f t="shared" ref="CH98:CH99" si="146">CG98/1000</f>
        <v>2.3711445802733329E-2</v>
      </c>
      <c r="CI98" s="129" t="s">
        <v>452</v>
      </c>
    </row>
    <row r="99" spans="2:87" ht="13.5" thickBot="1">
      <c r="B99" s="417"/>
      <c r="C99" s="252" t="s">
        <v>358</v>
      </c>
      <c r="D99" s="234">
        <v>6243.9457303009203</v>
      </c>
      <c r="E99" s="333">
        <v>5407.4156222919801</v>
      </c>
      <c r="F99" s="333">
        <v>6478.2355220385898</v>
      </c>
      <c r="G99" s="333">
        <v>6747.7742231847997</v>
      </c>
      <c r="H99" s="124"/>
      <c r="I99" s="417"/>
      <c r="J99" s="252" t="s">
        <v>359</v>
      </c>
      <c r="K99" s="253">
        <v>1779.9162914808401</v>
      </c>
      <c r="L99" s="253">
        <v>1541.4527250322001</v>
      </c>
      <c r="M99" s="253">
        <v>1610.7813475427399</v>
      </c>
      <c r="N99" s="254">
        <v>912.77044125120801</v>
      </c>
      <c r="O99" s="501" t="s">
        <v>335</v>
      </c>
      <c r="P99" s="501"/>
      <c r="Q99" s="308">
        <f t="shared" si="134"/>
        <v>0.15558557742950826</v>
      </c>
      <c r="R99" s="262">
        <f t="shared" si="120"/>
        <v>1168.3419154871142</v>
      </c>
      <c r="S99" s="308">
        <f t="shared" si="125"/>
        <v>-0.60065687568158288</v>
      </c>
      <c r="T99" s="308">
        <f t="shared" si="121"/>
        <v>0.54845125345276147</v>
      </c>
      <c r="U99" s="266"/>
      <c r="V99" s="308">
        <f t="shared" si="135"/>
        <v>0.77333534163007644</v>
      </c>
      <c r="W99" s="129">
        <f t="shared" si="127"/>
        <v>454.99999999999994</v>
      </c>
      <c r="X99" s="221"/>
      <c r="Y99" s="274"/>
      <c r="AA99" s="128"/>
      <c r="AB99" s="414"/>
      <c r="AC99" s="207" t="s">
        <v>398</v>
      </c>
      <c r="AD99" s="237">
        <v>3368.49</v>
      </c>
      <c r="AE99" s="237">
        <v>2917.2</v>
      </c>
      <c r="AF99" s="237">
        <v>3285.43</v>
      </c>
      <c r="AG99" s="237">
        <v>2055.33</v>
      </c>
      <c r="AH99" s="154">
        <v>25</v>
      </c>
      <c r="AI99" s="244">
        <v>25</v>
      </c>
      <c r="AJ99" s="191">
        <v>100</v>
      </c>
      <c r="AK99" s="251">
        <f t="shared" si="128"/>
        <v>33.684899999999999</v>
      </c>
      <c r="AL99" s="251">
        <f t="shared" si="129"/>
        <v>29.171999999999997</v>
      </c>
      <c r="AM99" s="251">
        <f t="shared" si="130"/>
        <v>32.854299999999995</v>
      </c>
      <c r="AN99" s="251">
        <f t="shared" si="131"/>
        <v>20.5533</v>
      </c>
      <c r="AO99" s="152" t="s">
        <v>249</v>
      </c>
      <c r="AP99" s="246">
        <v>1.4999999999999999E-2</v>
      </c>
      <c r="AQ99" s="246">
        <v>1.6E-2</v>
      </c>
      <c r="AR99" s="246">
        <v>1.4999999999999999E-2</v>
      </c>
      <c r="AS99" s="246">
        <v>1.9E-2</v>
      </c>
      <c r="AT99" s="246" t="str">
        <f>IF(((AD99^2)*AP99)&lt;=((115^2)*($AH$99^2)),"Sim","Não")</f>
        <v>Sim</v>
      </c>
      <c r="AU99" s="246" t="str">
        <f t="shared" ref="AU99:AW99" si="147">IF(((AE99^2)*AQ99)&lt;=((115^2)*($AH$99^2)),"Sim","Não")</f>
        <v>Sim</v>
      </c>
      <c r="AV99" s="246" t="str">
        <f t="shared" si="147"/>
        <v>Sim</v>
      </c>
      <c r="AW99" s="246" t="str">
        <f t="shared" si="147"/>
        <v>Sim</v>
      </c>
      <c r="AX99" s="267">
        <f t="shared" si="35"/>
        <v>0.84155245012761359</v>
      </c>
      <c r="AY99" s="268">
        <f t="shared" si="137"/>
        <v>0.68246187363834432</v>
      </c>
      <c r="AZ99" s="263">
        <f t="shared" si="138"/>
        <v>1875.3418815098685</v>
      </c>
      <c r="BA99" s="296">
        <f t="shared" si="139"/>
        <v>2.5224869177064128E-2</v>
      </c>
      <c r="BB99" s="126" t="str">
        <f>IMSUM($BK$40,BK39)</f>
        <v>0,02178+0,012725i</v>
      </c>
      <c r="BC99" s="156">
        <f t="shared" si="104"/>
        <v>51.845430365695215</v>
      </c>
      <c r="BD99" s="291">
        <f t="shared" si="41"/>
        <v>5.1845430365695215E-2</v>
      </c>
      <c r="BE99" s="145" t="s">
        <v>452</v>
      </c>
      <c r="BH99" s="414"/>
      <c r="BI99" s="207" t="s">
        <v>394</v>
      </c>
      <c r="BJ99" s="237">
        <v>4160.9799999999996</v>
      </c>
      <c r="BK99" s="237">
        <v>3603.51</v>
      </c>
      <c r="BL99" s="237">
        <v>4340.66</v>
      </c>
      <c r="BM99" s="145">
        <v>3286.64</v>
      </c>
      <c r="BN99" s="216">
        <v>35</v>
      </c>
      <c r="BO99" s="152">
        <v>125</v>
      </c>
      <c r="BP99" s="346">
        <f>BJ98/$BO$99</f>
        <v>33.764960000000002</v>
      </c>
      <c r="BQ99" s="346">
        <f>BK98/$BO$99</f>
        <v>29.24136</v>
      </c>
      <c r="BR99" s="346">
        <f>BL98/$BO$99</f>
        <v>35.164160000000003</v>
      </c>
      <c r="BS99" s="346">
        <f>BM98/$BO$99</f>
        <v>28.334319999999998</v>
      </c>
      <c r="BT99" s="152" t="s">
        <v>249</v>
      </c>
      <c r="BU99" s="246">
        <v>1.4999999999999999E-2</v>
      </c>
      <c r="BV99" s="246">
        <v>1.6E-2</v>
      </c>
      <c r="BW99" s="246">
        <v>1.4500000000000001E-2</v>
      </c>
      <c r="BX99" s="246">
        <v>1.6E-2</v>
      </c>
      <c r="BY99" s="283" t="str">
        <f>IF(((BJ98^2)*BU99)&lt;=((115^2)*($BN$99^2)),"Sim","Não")</f>
        <v>Sim</v>
      </c>
      <c r="BZ99" s="283" t="str">
        <f t="shared" ref="BZ99:CB99" si="148">IF(((BK98^2)*BV99)&lt;=((115^2)*($BN$99^2)),"Sim","Não")</f>
        <v>Sim</v>
      </c>
      <c r="CA99" s="283" t="str">
        <f t="shared" si="148"/>
        <v>Sim</v>
      </c>
      <c r="CB99" s="283" t="str">
        <f t="shared" si="148"/>
        <v>Sim</v>
      </c>
      <c r="CC99" s="246">
        <f t="shared" si="141"/>
        <v>0.9170605214488301</v>
      </c>
      <c r="CD99" s="356">
        <f t="shared" si="142"/>
        <v>0.68246187363834432</v>
      </c>
      <c r="CE99" s="289">
        <f t="shared" si="143"/>
        <v>2043.6064365227362</v>
      </c>
      <c r="CF99" s="294">
        <f t="shared" si="144"/>
        <v>6.6947633266606233E-3</v>
      </c>
      <c r="CG99" s="289">
        <f t="shared" si="145"/>
        <v>22.003276939935869</v>
      </c>
      <c r="CH99" s="294">
        <f t="shared" si="146"/>
        <v>2.2003276939935871E-2</v>
      </c>
      <c r="CI99" s="152" t="s">
        <v>452</v>
      </c>
    </row>
    <row r="100" spans="2:87" ht="15" customHeight="1">
      <c r="B100" s="417"/>
      <c r="C100" s="252" t="s">
        <v>376</v>
      </c>
      <c r="D100" s="234">
        <v>5958.5257211135804</v>
      </c>
      <c r="E100" s="333">
        <v>5160.2346435873496</v>
      </c>
      <c r="F100" s="333">
        <v>5257.4169866929997</v>
      </c>
      <c r="G100" s="333">
        <v>392.69836393290302</v>
      </c>
      <c r="H100" s="124"/>
      <c r="I100" s="417"/>
      <c r="J100" s="252" t="s">
        <v>360</v>
      </c>
      <c r="K100" s="253">
        <v>1205.20241521659</v>
      </c>
      <c r="L100" s="253">
        <v>1043.7359082799301</v>
      </c>
      <c r="M100" s="253">
        <v>1083.8905425990699</v>
      </c>
      <c r="N100" s="254">
        <v>612.23978804092201</v>
      </c>
      <c r="O100" s="501" t="s">
        <v>335</v>
      </c>
      <c r="P100" s="501"/>
      <c r="Q100" s="308">
        <f t="shared" si="134"/>
        <v>1.4216827867610048E-2</v>
      </c>
      <c r="R100" s="262">
        <f t="shared" si="120"/>
        <v>1014.3183675851906</v>
      </c>
      <c r="S100" s="308">
        <f t="shared" si="125"/>
        <v>-0.6670255926255898</v>
      </c>
      <c r="T100" s="308">
        <f t="shared" si="121"/>
        <v>0.51323287336806955</v>
      </c>
      <c r="U100" s="266"/>
      <c r="V100" s="308">
        <f t="shared" si="135"/>
        <v>0.72367620087145479</v>
      </c>
      <c r="W100" s="129">
        <f t="shared" si="127"/>
        <v>455</v>
      </c>
      <c r="X100" s="158"/>
      <c r="Y100" s="274"/>
      <c r="BH100" s="412" t="s">
        <v>264</v>
      </c>
      <c r="BI100" s="282" t="s">
        <v>358</v>
      </c>
      <c r="BJ100" s="236">
        <v>3195.32</v>
      </c>
      <c r="BK100" s="236">
        <v>2767.23</v>
      </c>
      <c r="BL100" s="236">
        <v>3297.62</v>
      </c>
      <c r="BM100" s="243">
        <v>3389.73</v>
      </c>
      <c r="BN100" s="426"/>
      <c r="BO100" s="427"/>
      <c r="BP100" s="427"/>
      <c r="BQ100" s="427"/>
      <c r="BR100" s="427"/>
      <c r="BS100" s="427"/>
      <c r="BT100" s="427"/>
      <c r="BU100" s="427"/>
      <c r="BV100" s="427"/>
      <c r="BW100" s="427"/>
      <c r="BX100" s="427"/>
      <c r="BY100" s="427"/>
      <c r="BZ100" s="427"/>
      <c r="CA100" s="427"/>
      <c r="CB100" s="427"/>
      <c r="CC100" s="427"/>
      <c r="CD100" s="427"/>
      <c r="CE100" s="427"/>
      <c r="CF100" s="427"/>
      <c r="CG100" s="427"/>
      <c r="CH100" s="427"/>
      <c r="CI100" s="428"/>
    </row>
    <row r="101" spans="2:87" ht="12" customHeight="1">
      <c r="B101" s="417"/>
      <c r="C101" s="252" t="s">
        <v>377</v>
      </c>
      <c r="D101" s="319">
        <v>4896.4368829713603</v>
      </c>
      <c r="E101" s="333">
        <v>4240.4387286802903</v>
      </c>
      <c r="F101" s="333">
        <v>4322.0833062429901</v>
      </c>
      <c r="G101" s="333">
        <v>367.16822190996902</v>
      </c>
      <c r="H101" s="124"/>
      <c r="I101" s="417"/>
      <c r="J101" s="252" t="s">
        <v>361</v>
      </c>
      <c r="K101" s="253">
        <v>1037.2589331465899</v>
      </c>
      <c r="L101" s="253">
        <v>898.29258640728904</v>
      </c>
      <c r="M101" s="253">
        <v>931.17272114440198</v>
      </c>
      <c r="N101" s="254">
        <v>525.64293692311298</v>
      </c>
      <c r="O101" s="501" t="s">
        <v>335</v>
      </c>
      <c r="P101" s="501"/>
      <c r="Q101" s="308">
        <f t="shared" si="134"/>
        <v>-4.0190997691922893E-2</v>
      </c>
      <c r="R101" s="262">
        <f t="shared" si="120"/>
        <v>960.60594811076169</v>
      </c>
      <c r="S101" s="308">
        <f t="shared" si="125"/>
        <v>-0.69256856152989144</v>
      </c>
      <c r="T101" s="308">
        <f t="shared" si="121"/>
        <v>0.50028939323116828</v>
      </c>
      <c r="U101" s="266"/>
      <c r="V101" s="308">
        <f t="shared" si="135"/>
        <v>0.70542544372478566</v>
      </c>
      <c r="W101" s="129">
        <f t="shared" si="127"/>
        <v>455</v>
      </c>
      <c r="X101" s="158"/>
      <c r="Y101" s="274"/>
      <c r="BH101" s="413"/>
      <c r="BI101" s="282" t="s">
        <v>266</v>
      </c>
      <c r="BJ101" s="236">
        <v>2949.92</v>
      </c>
      <c r="BK101" s="236">
        <v>2554.71</v>
      </c>
      <c r="BL101" s="236">
        <v>3117.41</v>
      </c>
      <c r="BM101" s="236">
        <v>2647.82</v>
      </c>
      <c r="BN101" s="232">
        <v>50</v>
      </c>
      <c r="BO101" s="137">
        <v>150</v>
      </c>
      <c r="BP101" s="328">
        <f>BJ100/$BO$101</f>
        <v>21.302133333333334</v>
      </c>
      <c r="BQ101" s="328">
        <f>BK100/$BO$101</f>
        <v>18.4482</v>
      </c>
      <c r="BR101" s="328">
        <f>BL100/$BO$101</f>
        <v>21.984133333333332</v>
      </c>
      <c r="BS101" s="328">
        <f>BM100/$BO$101</f>
        <v>22.598199999999999</v>
      </c>
      <c r="BT101" s="137" t="s">
        <v>249</v>
      </c>
      <c r="BU101" s="247">
        <v>1.7999999999999999E-2</v>
      </c>
      <c r="BV101" s="247">
        <v>1.9E-2</v>
      </c>
      <c r="BW101" s="125">
        <v>1.7999999999999999E-2</v>
      </c>
      <c r="BX101" s="247">
        <v>1.7999999999999999E-2</v>
      </c>
      <c r="BY101" s="247" t="str">
        <f>IF(((BJ100^2)*BU101)&lt;=((115^2)*($BN$101^2)),"Sim","Não")</f>
        <v>Sim</v>
      </c>
      <c r="BZ101" s="247" t="str">
        <f t="shared" ref="BZ101:CB101" si="149">IF(((BK100^2)*BV101)&lt;=((115^2)*($BN$101^2)),"Sim","Não")</f>
        <v>Sim</v>
      </c>
      <c r="CA101" s="247" t="str">
        <f t="shared" si="149"/>
        <v>Sim</v>
      </c>
      <c r="CB101" s="247" t="str">
        <f t="shared" si="149"/>
        <v>Sim</v>
      </c>
      <c r="CC101" s="127">
        <f>(0.116/SQRT(BX101))</f>
        <v>0.86461295129991866</v>
      </c>
      <c r="CD101" s="293">
        <f>BA95</f>
        <v>1.2206005734883136E-2</v>
      </c>
      <c r="CE101" s="288">
        <f>(1000+1.5*1200*CD101)*CC101</f>
        <v>883.60919845555657</v>
      </c>
      <c r="CF101" s="293">
        <f>BA95</f>
        <v>1.2206005734883136E-2</v>
      </c>
      <c r="CG101" s="288">
        <f>CF101*BM101</f>
        <v>32.319306104938264</v>
      </c>
      <c r="CH101" s="288">
        <f>CG101/1000</f>
        <v>3.2319306104938265E-2</v>
      </c>
      <c r="CI101" s="129" t="s">
        <v>452</v>
      </c>
    </row>
    <row r="102" spans="2:87" ht="13.5" thickBot="1">
      <c r="B102" s="417"/>
      <c r="C102" s="252" t="s">
        <v>287</v>
      </c>
      <c r="D102" s="234">
        <v>4693.8026910345297</v>
      </c>
      <c r="E102" s="333">
        <v>4064.9523707876601</v>
      </c>
      <c r="F102" s="333">
        <v>4142.5835960779496</v>
      </c>
      <c r="G102" s="333">
        <v>366.99647946338501</v>
      </c>
      <c r="H102" s="124"/>
      <c r="I102" s="417"/>
      <c r="J102" s="252" t="s">
        <v>362</v>
      </c>
      <c r="K102" s="253">
        <v>11332.3962530523</v>
      </c>
      <c r="L102" s="253">
        <v>9814.14304089486</v>
      </c>
      <c r="M102" s="253">
        <v>11488.626800304301</v>
      </c>
      <c r="N102" s="254">
        <v>9916.5428007008995</v>
      </c>
      <c r="O102" s="501" t="s">
        <v>335</v>
      </c>
      <c r="P102" s="501"/>
      <c r="Q102" s="308">
        <f t="shared" si="134"/>
        <v>0.82671910214691591</v>
      </c>
      <c r="R102" s="262">
        <f t="shared" si="120"/>
        <v>2285.8069252200171</v>
      </c>
      <c r="S102" s="308">
        <f t="shared" si="125"/>
        <v>-0.28557825277772397</v>
      </c>
      <c r="T102" s="308">
        <f t="shared" si="121"/>
        <v>0.75157952569156627</v>
      </c>
      <c r="U102" s="266"/>
      <c r="V102" s="308">
        <f t="shared" si="135"/>
        <v>1.0597532699648016</v>
      </c>
      <c r="W102" s="129">
        <f t="shared" si="127"/>
        <v>455</v>
      </c>
      <c r="X102" s="158"/>
      <c r="Y102" s="274"/>
      <c r="BH102" s="414"/>
      <c r="BI102" s="207" t="s">
        <v>396</v>
      </c>
      <c r="BJ102" s="237">
        <v>2695.26</v>
      </c>
      <c r="BK102" s="237">
        <v>2334.17</v>
      </c>
      <c r="BL102" s="237">
        <v>2750.24</v>
      </c>
      <c r="BM102" s="237">
        <v>2048.4899999999998</v>
      </c>
      <c r="BN102" s="154">
        <v>50</v>
      </c>
      <c r="BO102" s="152">
        <v>150</v>
      </c>
      <c r="BP102" s="346">
        <f>BJ101/$BO$102</f>
        <v>19.666133333333335</v>
      </c>
      <c r="BQ102" s="346">
        <f>BK101/$BO$102</f>
        <v>17.031400000000001</v>
      </c>
      <c r="BR102" s="346">
        <f>BL101/$BO$102</f>
        <v>20.782733333333333</v>
      </c>
      <c r="BS102" s="346">
        <f>BM101/$BO$102</f>
        <v>17.652133333333335</v>
      </c>
      <c r="BT102" s="152" t="s">
        <v>249</v>
      </c>
      <c r="BU102" s="246">
        <v>1.9E-2</v>
      </c>
      <c r="BV102" s="246">
        <v>0.03</v>
      </c>
      <c r="BW102" s="246">
        <v>1.9E-2</v>
      </c>
      <c r="BX102" s="246">
        <v>0.03</v>
      </c>
      <c r="BY102" s="283" t="str">
        <f>IF(((BJ101^2)*BU102)&lt;=((115^2)*($BN$102^2)),"Sim","Não")</f>
        <v>Sim</v>
      </c>
      <c r="BZ102" s="283" t="str">
        <f t="shared" ref="BZ102:CB102" si="150">IF(((BK101^2)*BV102)&lt;=((115^2)*($BN$102^2)),"Sim","Não")</f>
        <v>Sim</v>
      </c>
      <c r="CA102" s="283" t="str">
        <f t="shared" si="150"/>
        <v>Sim</v>
      </c>
      <c r="CB102" s="283" t="str">
        <f t="shared" si="150"/>
        <v>Sim</v>
      </c>
      <c r="CC102" s="246">
        <f>(0.116/SQRT(BX102))</f>
        <v>0.66972631225996593</v>
      </c>
      <c r="CD102" s="294">
        <f>BA96</f>
        <v>2.4412011469766272E-2</v>
      </c>
      <c r="CE102" s="289">
        <f>(1000+1.5*1200*CD102)*CC102</f>
        <v>699.15517180965617</v>
      </c>
      <c r="CF102" s="294">
        <f>BA95</f>
        <v>1.2206005734883136E-2</v>
      </c>
      <c r="CG102" s="289">
        <f>CF102*BM102</f>
        <v>25.003880687850753</v>
      </c>
      <c r="CH102" s="289">
        <f>CG102/1000</f>
        <v>2.5003880687850751E-2</v>
      </c>
      <c r="CI102" s="152" t="s">
        <v>452</v>
      </c>
    </row>
    <row r="103" spans="2:87" ht="13.5" thickBot="1">
      <c r="B103" s="418"/>
      <c r="C103" s="255" t="s">
        <v>378</v>
      </c>
      <c r="D103" s="251">
        <v>5034.7077001078296</v>
      </c>
      <c r="E103" s="334">
        <v>4360.1847689225096</v>
      </c>
      <c r="F103" s="334">
        <v>4448.5262204649998</v>
      </c>
      <c r="G103" s="334">
        <v>374.836375055102</v>
      </c>
      <c r="H103" s="124"/>
      <c r="I103" s="417"/>
      <c r="J103" s="252" t="s">
        <v>363</v>
      </c>
      <c r="K103" s="253">
        <v>2637.4033843785</v>
      </c>
      <c r="L103" s="253">
        <v>2284.0583308988398</v>
      </c>
      <c r="M103" s="253">
        <v>2383.1955420033</v>
      </c>
      <c r="N103" s="254">
        <v>1365.97428355739</v>
      </c>
      <c r="O103" s="501" t="s">
        <v>335</v>
      </c>
      <c r="P103" s="501"/>
      <c r="Q103" s="308">
        <f t="shared" si="134"/>
        <v>0.29815429981535341</v>
      </c>
      <c r="R103" s="262">
        <f t="shared" si="120"/>
        <v>1347.3696707324054</v>
      </c>
      <c r="S103" s="309">
        <f t="shared" si="125"/>
        <v>-0.53372480469405603</v>
      </c>
      <c r="T103" s="309">
        <f t="shared" si="121"/>
        <v>0.58641660926206773</v>
      </c>
      <c r="U103" s="298"/>
      <c r="V103" s="309">
        <f t="shared" si="135"/>
        <v>0.82686781369584772</v>
      </c>
      <c r="W103" s="129">
        <f t="shared" si="127"/>
        <v>455</v>
      </c>
      <c r="X103" s="158"/>
      <c r="Y103" s="274"/>
      <c r="BH103" s="412" t="s">
        <v>399</v>
      </c>
      <c r="BI103" s="282" t="s">
        <v>358</v>
      </c>
      <c r="BJ103" s="236">
        <v>4736.62</v>
      </c>
      <c r="BK103" s="236">
        <v>4102.04</v>
      </c>
      <c r="BL103" s="236">
        <v>4894.62</v>
      </c>
      <c r="BM103" s="243">
        <v>5042.1899999999996</v>
      </c>
      <c r="BN103" s="426"/>
      <c r="BO103" s="427"/>
      <c r="BP103" s="427"/>
      <c r="BQ103" s="427"/>
      <c r="BR103" s="427"/>
      <c r="BS103" s="427"/>
      <c r="BT103" s="427"/>
      <c r="BU103" s="427"/>
      <c r="BV103" s="427"/>
      <c r="BW103" s="427"/>
      <c r="BX103" s="427"/>
      <c r="BY103" s="427"/>
      <c r="BZ103" s="427"/>
      <c r="CA103" s="427"/>
      <c r="CB103" s="427"/>
      <c r="CC103" s="427"/>
      <c r="CD103" s="427"/>
      <c r="CE103" s="427"/>
      <c r="CF103" s="427"/>
      <c r="CG103" s="427"/>
      <c r="CH103" s="427"/>
      <c r="CI103" s="428"/>
    </row>
    <row r="104" spans="2:87" ht="13.5" customHeight="1" thickBot="1">
      <c r="B104" s="412" t="s">
        <v>395</v>
      </c>
      <c r="C104" s="208" t="s">
        <v>356</v>
      </c>
      <c r="D104" s="150">
        <v>2002.79</v>
      </c>
      <c r="E104" s="150">
        <v>1734.46</v>
      </c>
      <c r="F104" s="149">
        <v>1775.89</v>
      </c>
      <c r="G104" s="279">
        <v>1399.58</v>
      </c>
      <c r="H104" s="124"/>
      <c r="I104" s="418"/>
      <c r="J104" s="255" t="s">
        <v>364</v>
      </c>
      <c r="K104" s="256">
        <v>10752.125138244701</v>
      </c>
      <c r="L104" s="256">
        <v>9311.6135143891806</v>
      </c>
      <c r="M104" s="256">
        <v>10711.512316689499</v>
      </c>
      <c r="N104" s="310">
        <v>8593.2131640377193</v>
      </c>
      <c r="O104" s="505" t="s">
        <v>335</v>
      </c>
      <c r="P104" s="505"/>
      <c r="Q104" s="311">
        <f t="shared" si="134"/>
        <v>0.80766220606916217</v>
      </c>
      <c r="R104" s="263">
        <f t="shared" si="120"/>
        <v>2242.6589789679274</v>
      </c>
      <c r="S104" s="311">
        <f t="shared" si="125"/>
        <v>-0.29452493827600673</v>
      </c>
      <c r="T104" s="311">
        <f t="shared" si="121"/>
        <v>0.7448853699530239</v>
      </c>
      <c r="U104" s="268"/>
      <c r="V104" s="311">
        <f>4.184*1.5*T104*(0.025/0.2)*(610^2/610^2)</f>
        <v>0.58436257272814718</v>
      </c>
      <c r="W104" s="152">
        <f t="shared" si="127"/>
        <v>610</v>
      </c>
      <c r="X104" s="125"/>
      <c r="Y104" s="274"/>
      <c r="AA104" s="128"/>
      <c r="AB104" s="130"/>
      <c r="AC104" s="304"/>
      <c r="AD104" s="285"/>
      <c r="AE104" s="285"/>
      <c r="AF104" s="125"/>
      <c r="AG104" s="125"/>
      <c r="AH104" s="280"/>
      <c r="AI104" s="280"/>
      <c r="AJ104" s="125"/>
      <c r="AK104" s="305"/>
      <c r="AL104" s="305"/>
      <c r="AM104" s="305"/>
      <c r="AN104" s="30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300"/>
      <c r="AY104" s="301"/>
      <c r="AZ104" s="302"/>
      <c r="BA104" s="125"/>
      <c r="BB104" s="125"/>
      <c r="BC104" s="125"/>
      <c r="BH104" s="413"/>
      <c r="BI104" s="282" t="s">
        <v>275</v>
      </c>
      <c r="BJ104" s="236">
        <v>4166.33</v>
      </c>
      <c r="BK104" s="236">
        <v>3608.15</v>
      </c>
      <c r="BL104" s="236">
        <v>4306.8</v>
      </c>
      <c r="BM104" s="236">
        <v>3419.38</v>
      </c>
      <c r="BN104" s="232">
        <v>70</v>
      </c>
      <c r="BO104" s="232">
        <v>200</v>
      </c>
      <c r="BP104" s="328">
        <f>BJ103/$BO$104</f>
        <v>23.6831</v>
      </c>
      <c r="BQ104" s="328">
        <f>BK103/$BO$104</f>
        <v>20.510200000000001</v>
      </c>
      <c r="BR104" s="328">
        <f>BL103/$BO$104</f>
        <v>24.473099999999999</v>
      </c>
      <c r="BS104" s="328">
        <f>BM103/$BO$104</f>
        <v>25.210949999999997</v>
      </c>
      <c r="BT104" s="137" t="s">
        <v>245</v>
      </c>
      <c r="BU104" s="247">
        <v>1.7500000000000002E-2</v>
      </c>
      <c r="BV104" s="247">
        <v>1.7999999999999999E-2</v>
      </c>
      <c r="BW104" s="125">
        <v>1.7500000000000002E-2</v>
      </c>
      <c r="BX104" s="247">
        <v>1.7000000000000001E-2</v>
      </c>
      <c r="BY104" s="247" t="str">
        <f>IF(((BJ103^2)*BU104)&lt;=((115^2)*($BN$104^2)),"Sim","Não")</f>
        <v>Sim</v>
      </c>
      <c r="BZ104" s="247" t="str">
        <f t="shared" ref="BZ104:CB104" si="151">IF(((BK103^2)*BV104)&lt;=((115^2)*($BN$104^2)),"Sim","Não")</f>
        <v>Sim</v>
      </c>
      <c r="CA104" s="247" t="str">
        <f t="shared" si="151"/>
        <v>Sim</v>
      </c>
      <c r="CB104" s="247" t="str">
        <f t="shared" si="151"/>
        <v>Sim</v>
      </c>
      <c r="CC104" s="260">
        <f>(0.116/SQRT(BX104))</f>
        <v>0.88967938706294969</v>
      </c>
      <c r="CD104" s="293">
        <f>BA97</f>
        <v>6.6947633266606233E-3</v>
      </c>
      <c r="CE104" s="288">
        <f>(1000+1.5*1200*CD104)*CC104</f>
        <v>900.40053434234051</v>
      </c>
      <c r="CF104" s="293">
        <f>$BA$97</f>
        <v>6.6947633266606233E-3</v>
      </c>
      <c r="CG104" s="288">
        <f>CF104*BM104</f>
        <v>22.891939823916804</v>
      </c>
      <c r="CH104" s="127">
        <f>CG104/1000</f>
        <v>2.2891939823916803E-2</v>
      </c>
      <c r="CI104" s="129" t="s">
        <v>452</v>
      </c>
    </row>
    <row r="105" spans="2:87">
      <c r="B105" s="413"/>
      <c r="C105" s="282" t="s">
        <v>390</v>
      </c>
      <c r="D105" s="205">
        <v>1968.71</v>
      </c>
      <c r="E105" s="205">
        <v>1704.95</v>
      </c>
      <c r="F105" s="205">
        <v>1740.89</v>
      </c>
      <c r="G105" s="126">
        <v>1384.23</v>
      </c>
      <c r="H105" s="124"/>
      <c r="I105" s="419" t="s">
        <v>267</v>
      </c>
      <c r="J105" s="312" t="s">
        <v>356</v>
      </c>
      <c r="K105" s="313">
        <v>2002.7862014110799</v>
      </c>
      <c r="L105" s="313">
        <v>1734.4637287709299</v>
      </c>
      <c r="M105" s="313">
        <v>1775.8868349547399</v>
      </c>
      <c r="N105" s="314">
        <v>1399.57936933429</v>
      </c>
      <c r="O105" s="503" t="s">
        <v>442</v>
      </c>
      <c r="P105" s="504"/>
      <c r="Q105" s="315">
        <f>0.00402+0.983*LOG10(K105/1000)</f>
        <v>0.30052680254018144</v>
      </c>
      <c r="R105" s="264">
        <f t="shared" si="120"/>
        <v>1350.5701039646426</v>
      </c>
      <c r="S105" s="315">
        <f>-0.792-0.133+1.081*LOG10(R105/1000)+0.0011*13</f>
        <v>-0.7696109803001856</v>
      </c>
      <c r="T105" s="315">
        <f t="shared" si="121"/>
        <v>0.46319322455596473</v>
      </c>
      <c r="U105" s="270"/>
      <c r="V105" s="315">
        <f>4.184*1*T105*(0.08/0.2)*(610^2/910^2)</f>
        <v>0.3483298963984236</v>
      </c>
      <c r="W105" s="327">
        <f>(4.184*1*T105*(0.08/0.2)*(610^2/V105))^(1/2)</f>
        <v>909.99999999999989</v>
      </c>
      <c r="X105" s="280"/>
      <c r="Y105" s="274"/>
      <c r="AA105" s="128"/>
      <c r="AB105" s="130"/>
      <c r="AC105" s="304"/>
      <c r="AD105" s="285"/>
      <c r="AE105" s="285"/>
      <c r="AF105" s="285"/>
      <c r="AG105" s="125"/>
      <c r="AH105" s="280"/>
      <c r="AI105" s="280"/>
      <c r="AJ105" s="125"/>
      <c r="AK105" s="305"/>
      <c r="AL105" s="305"/>
      <c r="AM105" s="305"/>
      <c r="AN105" s="30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300"/>
      <c r="AY105" s="301"/>
      <c r="AZ105" s="302"/>
      <c r="BA105" s="125"/>
      <c r="BB105" s="125"/>
      <c r="BC105" s="125"/>
      <c r="BH105" s="413"/>
      <c r="BI105" s="282" t="s">
        <v>397</v>
      </c>
      <c r="BJ105" s="236">
        <v>2994.63</v>
      </c>
      <c r="BK105" s="236">
        <v>2593.42</v>
      </c>
      <c r="BL105" s="236">
        <v>2860.51</v>
      </c>
      <c r="BM105" s="236">
        <v>1655.55</v>
      </c>
      <c r="BN105" s="218">
        <v>25</v>
      </c>
      <c r="BO105" s="129">
        <v>100</v>
      </c>
      <c r="BP105" s="328">
        <f>BJ104/$BO$105</f>
        <v>41.6633</v>
      </c>
      <c r="BQ105" s="328">
        <f>BK104/$BO$105</f>
        <v>36.081499999999998</v>
      </c>
      <c r="BR105" s="328">
        <f>BL104/$BO$105</f>
        <v>43.068000000000005</v>
      </c>
      <c r="BS105" s="328">
        <f>BM104/$BO$105</f>
        <v>34.193800000000003</v>
      </c>
      <c r="BT105" s="129" t="s">
        <v>249</v>
      </c>
      <c r="BU105" s="127">
        <v>1.35E-2</v>
      </c>
      <c r="BV105" s="127">
        <v>1.4500000000000001E-2</v>
      </c>
      <c r="BW105" s="127">
        <v>1.2999999999999999E-2</v>
      </c>
      <c r="BX105" s="127">
        <v>1.4500000000000001E-2</v>
      </c>
      <c r="BY105" s="247" t="str">
        <f>IF(((BJ104^2)*BU105)&lt;=((115^2)*($BN$105^2)),"Sim","Não")</f>
        <v>Sim</v>
      </c>
      <c r="BZ105" s="247" t="str">
        <f t="shared" ref="BZ105:CB105" si="152">IF(((BK104^2)*BV105)&lt;=((115^2)*($BN$105^2)),"Sim","Não")</f>
        <v>Sim</v>
      </c>
      <c r="CA105" s="247" t="str">
        <f t="shared" si="152"/>
        <v>Sim</v>
      </c>
      <c r="CB105" s="247" t="str">
        <f t="shared" si="152"/>
        <v>Sim</v>
      </c>
      <c r="CC105" s="260">
        <f t="shared" ref="CC105:CC106" si="153">(0.116/SQRT(BX105))</f>
        <v>0.96332756630338368</v>
      </c>
      <c r="CD105" s="293">
        <f t="shared" ref="CD105:CD106" si="154">BA98</f>
        <v>1.9536497255137626E-2</v>
      </c>
      <c r="CE105" s="288">
        <f t="shared" ref="CE105:CE106" si="155">(1000+1.5*1200*CD105)*CC105</f>
        <v>997.2036497421758</v>
      </c>
      <c r="CF105" s="293">
        <f t="shared" ref="CF105:CF106" si="156">$BA$97</f>
        <v>6.6947633266606233E-3</v>
      </c>
      <c r="CG105" s="288">
        <f t="shared" ref="CG105:CG106" si="157">CF105*BM105</f>
        <v>11.083515425452994</v>
      </c>
      <c r="CH105" s="127">
        <f t="shared" ref="CH105:CH106" si="158">CG105/1000</f>
        <v>1.1083515425452994E-2</v>
      </c>
      <c r="CI105" s="129" t="s">
        <v>452</v>
      </c>
    </row>
    <row r="106" spans="2:87" ht="13.5" thickBot="1">
      <c r="B106" s="413"/>
      <c r="C106" s="282" t="s">
        <v>391</v>
      </c>
      <c r="D106" s="205">
        <v>4741.32</v>
      </c>
      <c r="E106" s="205">
        <v>4106.1000000000004</v>
      </c>
      <c r="F106" s="205">
        <v>4912.59</v>
      </c>
      <c r="G106" s="205">
        <v>5087.8599999999997</v>
      </c>
      <c r="H106" s="124"/>
      <c r="I106" s="417"/>
      <c r="J106" s="252" t="s">
        <v>357</v>
      </c>
      <c r="K106" s="253">
        <v>1905.9282577316901</v>
      </c>
      <c r="L106" s="253">
        <v>1650.58228898626</v>
      </c>
      <c r="M106" s="253">
        <v>1681.1688765041699</v>
      </c>
      <c r="N106" s="254">
        <v>1354.66639295554</v>
      </c>
      <c r="O106" s="503" t="s">
        <v>442</v>
      </c>
      <c r="P106" s="504"/>
      <c r="Q106" s="308">
        <f>0.00402+0.983*LOG10(K106/1000)</f>
        <v>0.27936473771885972</v>
      </c>
      <c r="R106" s="262">
        <f t="shared" si="120"/>
        <v>1322.2895447980015</v>
      </c>
      <c r="S106" s="308">
        <f t="shared" ref="S106:S112" si="159">-0.555-0.133+1.081*LOG10(R106/1000)+0.0011*13</f>
        <v>-0.5425459842839484</v>
      </c>
      <c r="T106" s="308">
        <f t="shared" si="121"/>
        <v>0.58126647157766986</v>
      </c>
      <c r="U106" s="266"/>
      <c r="V106" s="308">
        <f>4.184*1*T106*(0.08/0.2)*(610^2/910^2)</f>
        <v>0.43712316823853603</v>
      </c>
      <c r="W106" s="129">
        <f>(4.184*1*T106*(0.08/0.2)*(610^2/V106))^(1/2)</f>
        <v>910</v>
      </c>
      <c r="X106" s="158"/>
      <c r="Y106" s="274"/>
      <c r="AA106" s="128"/>
      <c r="AB106" s="130"/>
      <c r="AC106" s="304"/>
      <c r="AD106" s="285"/>
      <c r="AE106" s="285"/>
      <c r="AF106" s="285"/>
      <c r="AG106" s="285"/>
      <c r="AH106" s="280"/>
      <c r="AI106" s="280"/>
      <c r="AJ106" s="125"/>
      <c r="AK106" s="305"/>
      <c r="AL106" s="305"/>
      <c r="AM106" s="305"/>
      <c r="AN106" s="30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300"/>
      <c r="AY106" s="301"/>
      <c r="AZ106" s="302"/>
      <c r="BA106" s="125"/>
      <c r="BB106" s="125"/>
      <c r="BC106" s="125"/>
      <c r="BH106" s="414"/>
      <c r="BI106" s="207" t="s">
        <v>398</v>
      </c>
      <c r="BJ106" s="237">
        <v>3368.49</v>
      </c>
      <c r="BK106" s="237">
        <v>2917.2</v>
      </c>
      <c r="BL106" s="237">
        <v>3285.43</v>
      </c>
      <c r="BM106" s="237">
        <v>2055.33</v>
      </c>
      <c r="BN106" s="154">
        <v>25</v>
      </c>
      <c r="BO106" s="152">
        <v>100</v>
      </c>
      <c r="BP106" s="330">
        <f>BJ105/$BO$106</f>
        <v>29.946300000000001</v>
      </c>
      <c r="BQ106" s="330">
        <f>BK105/$BO$106</f>
        <v>25.934200000000001</v>
      </c>
      <c r="BR106" s="330">
        <f>BL105/$BO$106</f>
        <v>28.605100000000004</v>
      </c>
      <c r="BS106" s="251">
        <f>BM105/$BO$106</f>
        <v>16.555499999999999</v>
      </c>
      <c r="BT106" s="152" t="s">
        <v>249</v>
      </c>
      <c r="BU106" s="246">
        <v>1.6E-2</v>
      </c>
      <c r="BV106" s="246">
        <v>1.7000000000000001E-2</v>
      </c>
      <c r="BW106" s="246">
        <v>1.6E-2</v>
      </c>
      <c r="BX106" s="246">
        <v>0.03</v>
      </c>
      <c r="BY106" s="246" t="str">
        <f>IF(((BJ105^2)*BU106)&lt;=((115^2)*($BN$106^2)),"Sim","Não")</f>
        <v>Sim</v>
      </c>
      <c r="BZ106" s="246" t="str">
        <f t="shared" ref="BZ106:CB106" si="160">IF(((BK105^2)*BV106)&lt;=((115^2)*($BN$106^2)),"Sim","Não")</f>
        <v>Sim</v>
      </c>
      <c r="CA106" s="246" t="str">
        <f t="shared" si="160"/>
        <v>Sim</v>
      </c>
      <c r="CB106" s="246" t="str">
        <f t="shared" si="160"/>
        <v>Sim</v>
      </c>
      <c r="CC106" s="357">
        <f t="shared" si="153"/>
        <v>0.66972631225996593</v>
      </c>
      <c r="CD106" s="294">
        <f t="shared" si="154"/>
        <v>2.5224869177064128E-2</v>
      </c>
      <c r="CE106" s="289">
        <f t="shared" si="155"/>
        <v>700.13507776011738</v>
      </c>
      <c r="CF106" s="294">
        <f t="shared" si="156"/>
        <v>6.6947633266606233E-3</v>
      </c>
      <c r="CG106" s="289">
        <f t="shared" si="157"/>
        <v>13.759947908185378</v>
      </c>
      <c r="CH106" s="246">
        <f t="shared" si="158"/>
        <v>1.3759947908185377E-2</v>
      </c>
      <c r="CI106" s="152" t="s">
        <v>452</v>
      </c>
    </row>
    <row r="107" spans="2:87">
      <c r="B107" s="413"/>
      <c r="C107" s="282" t="s">
        <v>392</v>
      </c>
      <c r="D107" s="205">
        <v>4539.42</v>
      </c>
      <c r="E107" s="205">
        <v>3931.25</v>
      </c>
      <c r="F107" s="205">
        <v>4707.53</v>
      </c>
      <c r="G107" s="205">
        <v>4429.1000000000004</v>
      </c>
      <c r="H107" s="124"/>
      <c r="I107" s="417"/>
      <c r="J107" s="252" t="s">
        <v>358</v>
      </c>
      <c r="K107" s="253">
        <v>12570.6673372518</v>
      </c>
      <c r="L107" s="253">
        <v>10886.5172565833</v>
      </c>
      <c r="M107" s="253">
        <v>13182.426660237799</v>
      </c>
      <c r="N107" s="254">
        <v>13955.689383455299</v>
      </c>
      <c r="O107" s="503" t="s">
        <v>442</v>
      </c>
      <c r="P107" s="504"/>
      <c r="Q107" s="308">
        <f>0.00402+0.983*LOG10(K107/1000)</f>
        <v>1.0846892419564471</v>
      </c>
      <c r="R107" s="262">
        <f t="shared" si="120"/>
        <v>2958.520291893989</v>
      </c>
      <c r="S107" s="308">
        <f t="shared" si="159"/>
        <v>-0.1644684088972119</v>
      </c>
      <c r="T107" s="308">
        <f t="shared" si="121"/>
        <v>0.84834455666111008</v>
      </c>
      <c r="U107" s="266"/>
      <c r="V107" s="308">
        <f>4.184*1.5*T107*(0.025/0.2)*(610^2/910^2)</f>
        <v>0.29904883224140622</v>
      </c>
      <c r="W107" s="129">
        <f t="shared" ref="W107:W112" si="161">(4.184*1.5*T107*(0.025/0.2)*(610^2/V107))^(1/2)</f>
        <v>909.99999999999989</v>
      </c>
      <c r="X107" s="158"/>
      <c r="Y107" s="274"/>
      <c r="AA107" s="128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</row>
    <row r="108" spans="2:87">
      <c r="B108" s="413"/>
      <c r="C108" s="282" t="s">
        <v>393</v>
      </c>
      <c r="D108" s="126">
        <v>4220.62</v>
      </c>
      <c r="E108" s="205">
        <v>3655.17</v>
      </c>
      <c r="F108" s="236">
        <v>4395.5200000000004</v>
      </c>
      <c r="G108" s="236">
        <v>3541.79</v>
      </c>
      <c r="H108" s="124"/>
      <c r="I108" s="417"/>
      <c r="J108" s="252" t="s">
        <v>369</v>
      </c>
      <c r="K108" s="253">
        <v>11989.400275996601</v>
      </c>
      <c r="L108" s="253">
        <v>10383.125215153301</v>
      </c>
      <c r="M108" s="253">
        <v>12408.254752432</v>
      </c>
      <c r="N108" s="254">
        <v>11959.952686639501</v>
      </c>
      <c r="O108" s="501" t="s">
        <v>336</v>
      </c>
      <c r="P108" s="501"/>
      <c r="Q108" s="308">
        <f>-0.097+0.662*LOG10(K108/1000)+0.0966*0.38+0.000526*13+0.5588*0.38*LOG10(K108/1000)-0.00304*13*LOG10(K108/1000)</f>
        <v>0.8471520105114082</v>
      </c>
      <c r="R108" s="262">
        <f t="shared" si="120"/>
        <v>2332.9930417728219</v>
      </c>
      <c r="S108" s="308">
        <f t="shared" si="159"/>
        <v>-0.27598556757828352</v>
      </c>
      <c r="T108" s="308">
        <f t="shared" si="121"/>
        <v>0.75882388234849085</v>
      </c>
      <c r="U108" s="266"/>
      <c r="V108" s="308">
        <f>4.184*1.5*T108*(0.025/0.2)*(610^2/455^2)</f>
        <v>1.0699680647982597</v>
      </c>
      <c r="W108" s="129">
        <f t="shared" si="161"/>
        <v>455</v>
      </c>
      <c r="X108" s="158"/>
      <c r="Y108" s="274"/>
      <c r="AA108" s="128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</row>
    <row r="109" spans="2:87" ht="13.5" thickBot="1">
      <c r="B109" s="414"/>
      <c r="C109" s="207" t="s">
        <v>394</v>
      </c>
      <c r="D109" s="237">
        <v>4160.9799999999996</v>
      </c>
      <c r="E109" s="237">
        <v>3603.51</v>
      </c>
      <c r="F109" s="237">
        <v>4340.66</v>
      </c>
      <c r="G109" s="145">
        <v>3286.64</v>
      </c>
      <c r="H109" s="124"/>
      <c r="I109" s="417"/>
      <c r="J109" s="252" t="s">
        <v>365</v>
      </c>
      <c r="K109" s="253">
        <v>7789.6109583950802</v>
      </c>
      <c r="L109" s="253">
        <v>6746.0009755677802</v>
      </c>
      <c r="M109" s="253">
        <v>7414.9105798990204</v>
      </c>
      <c r="N109" s="254">
        <v>4187.0059312172398</v>
      </c>
      <c r="O109" s="501" t="s">
        <v>335</v>
      </c>
      <c r="P109" s="501"/>
      <c r="Q109" s="308">
        <f>-0.097+0.662*LOG10(K109/1000)+0.0966*0.38+0.000526*13+0.5588*0.38*LOG10(K109/1000)-0.00304*13*LOG10(K109/1000)</f>
        <v>0.69080475947352815</v>
      </c>
      <c r="R109" s="262">
        <f t="shared" si="120"/>
        <v>1995.3206404819807</v>
      </c>
      <c r="S109" s="308">
        <f t="shared" si="159"/>
        <v>-0.34938627658408333</v>
      </c>
      <c r="T109" s="308">
        <f t="shared" si="121"/>
        <v>0.70512070604009569</v>
      </c>
      <c r="U109" s="266"/>
      <c r="V109" s="308">
        <f>4.184*1.5*T109*(0.025/0.2)*(610^2/455^2)</f>
        <v>0.99424471849242424</v>
      </c>
      <c r="W109" s="129">
        <f t="shared" si="161"/>
        <v>454.99999999999994</v>
      </c>
      <c r="X109" s="280"/>
      <c r="Y109" s="274"/>
      <c r="AA109" s="203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</row>
    <row r="110" spans="2:87" ht="12.75" customHeight="1">
      <c r="B110" s="412" t="s">
        <v>264</v>
      </c>
      <c r="C110" s="208" t="s">
        <v>356</v>
      </c>
      <c r="D110" s="238">
        <v>2002.79</v>
      </c>
      <c r="E110" s="238">
        <v>1734.46</v>
      </c>
      <c r="F110" s="238">
        <v>1775.89</v>
      </c>
      <c r="G110" s="352">
        <v>1399.58</v>
      </c>
      <c r="H110" s="124"/>
      <c r="I110" s="417"/>
      <c r="J110" s="252" t="s">
        <v>366</v>
      </c>
      <c r="K110" s="253">
        <v>8718.6036028158105</v>
      </c>
      <c r="L110" s="253">
        <v>7550.5322055650304</v>
      </c>
      <c r="M110" s="253">
        <v>8506.9626189001992</v>
      </c>
      <c r="N110" s="254">
        <v>5279.7822139039499</v>
      </c>
      <c r="O110" s="501" t="s">
        <v>335</v>
      </c>
      <c r="P110" s="501"/>
      <c r="Q110" s="308">
        <f>-0.097+0.662*LOG10(K110/1000)+0.0966*0.38+0.000526*13+0.5588*0.38*LOG10(K110/1000)-0.00304*13*LOG10(K110/1000)</f>
        <v>0.73165367007864324</v>
      </c>
      <c r="R110" s="262">
        <f t="shared" si="120"/>
        <v>2078.5149452338019</v>
      </c>
      <c r="S110" s="308">
        <f t="shared" si="159"/>
        <v>-0.33020884314265014</v>
      </c>
      <c r="T110" s="308">
        <f t="shared" si="121"/>
        <v>0.71877360681711311</v>
      </c>
      <c r="U110" s="266"/>
      <c r="V110" s="308">
        <f>4.184*1.5*T110*(0.025/0.2)*(610^2/455^2)</f>
        <v>1.0134957834141778</v>
      </c>
      <c r="W110" s="129">
        <f t="shared" si="161"/>
        <v>455</v>
      </c>
      <c r="X110" s="225"/>
      <c r="Y110" s="203"/>
      <c r="Z110" s="201"/>
      <c r="AA110" s="203"/>
      <c r="AB110" s="130"/>
      <c r="AC110" s="304"/>
      <c r="AD110" s="306"/>
      <c r="AE110" s="306"/>
      <c r="AF110" s="306"/>
      <c r="AG110" s="306"/>
      <c r="AH110" s="280"/>
      <c r="AI110" s="280"/>
      <c r="AJ110" s="125"/>
      <c r="AK110" s="305"/>
      <c r="AL110" s="305"/>
      <c r="AM110" s="305"/>
      <c r="AN110" s="30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300"/>
      <c r="AY110" s="301"/>
      <c r="AZ110" s="302"/>
      <c r="BA110" s="125"/>
      <c r="BB110" s="125"/>
      <c r="BC110" s="125"/>
      <c r="BH110" s="130"/>
      <c r="BI110" s="304"/>
      <c r="BJ110" s="306"/>
      <c r="BK110" s="306"/>
      <c r="BL110" s="306"/>
      <c r="BM110" s="306"/>
      <c r="BN110" s="221"/>
      <c r="BO110" s="227"/>
      <c r="BP110" s="240"/>
      <c r="BQ110" s="240"/>
      <c r="BR110" s="240"/>
      <c r="BS110" s="240"/>
      <c r="BT110" s="227"/>
      <c r="BU110" s="227"/>
      <c r="BV110" s="227"/>
      <c r="BW110" s="227"/>
      <c r="BX110" s="227"/>
      <c r="BY110" s="227"/>
      <c r="BZ110" s="227"/>
      <c r="CA110" s="227"/>
      <c r="CB110" s="227"/>
    </row>
    <row r="111" spans="2:87">
      <c r="B111" s="413"/>
      <c r="C111" s="282" t="s">
        <v>357</v>
      </c>
      <c r="D111" s="236">
        <v>1907.86</v>
      </c>
      <c r="E111" s="236">
        <v>1652.26</v>
      </c>
      <c r="F111" s="236">
        <v>1676.01</v>
      </c>
      <c r="G111" s="236">
        <v>1357.64</v>
      </c>
      <c r="H111" s="124"/>
      <c r="I111" s="417"/>
      <c r="J111" s="252" t="s">
        <v>367</v>
      </c>
      <c r="K111" s="253">
        <v>9794.1263143625401</v>
      </c>
      <c r="L111" s="253">
        <v>8481.96219611161</v>
      </c>
      <c r="M111" s="253">
        <v>9525.0004598597698</v>
      </c>
      <c r="N111" s="254">
        <v>6934.5835960788199</v>
      </c>
      <c r="O111" s="501" t="s">
        <v>335</v>
      </c>
      <c r="P111" s="501"/>
      <c r="Q111" s="308">
        <f>-0.097+0.662*LOG10(K111/1000)+0.0966*0.38+0.000526*13+0.5588*0.38*LOG10(K111/1000)-0.00304*13*LOG10(K111/1000)</f>
        <v>0.77382795019861972</v>
      </c>
      <c r="R111" s="262">
        <f t="shared" si="120"/>
        <v>2168.0495754016138</v>
      </c>
      <c r="S111" s="308">
        <f t="shared" si="159"/>
        <v>-0.31040918538042017</v>
      </c>
      <c r="T111" s="308">
        <f t="shared" si="121"/>
        <v>0.73314690184560771</v>
      </c>
      <c r="U111" s="266"/>
      <c r="V111" s="308">
        <f>4.184*1.5*T111*(0.025/0.2)*(610^2/455^2)</f>
        <v>1.03376262928468</v>
      </c>
      <c r="W111" s="129">
        <f t="shared" si="161"/>
        <v>455</v>
      </c>
      <c r="X111" s="225"/>
      <c r="Y111" s="203"/>
      <c r="Z111" s="201"/>
      <c r="AA111" s="203"/>
      <c r="AB111" s="130"/>
      <c r="AC111" s="304"/>
      <c r="AD111" s="306"/>
      <c r="AE111" s="306"/>
      <c r="AF111" s="306"/>
      <c r="AG111" s="306"/>
      <c r="AH111" s="280"/>
      <c r="AI111" s="280"/>
      <c r="AJ111" s="125"/>
      <c r="AK111" s="305"/>
      <c r="AL111" s="305"/>
      <c r="AM111" s="305"/>
      <c r="AN111" s="30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300"/>
      <c r="AY111" s="301"/>
      <c r="AZ111" s="302"/>
      <c r="BA111" s="125"/>
      <c r="BB111" s="125"/>
      <c r="BC111" s="125"/>
      <c r="BH111" s="130"/>
      <c r="BI111" s="304"/>
      <c r="BJ111" s="306"/>
      <c r="BK111" s="306"/>
      <c r="BL111" s="306"/>
      <c r="BM111" s="306"/>
      <c r="BN111" s="221"/>
      <c r="BO111" s="227"/>
      <c r="BP111" s="240"/>
      <c r="BQ111" s="240"/>
      <c r="BR111" s="240"/>
      <c r="BS111" s="240"/>
      <c r="BT111" s="227"/>
      <c r="BU111" s="227"/>
      <c r="BV111" s="227"/>
      <c r="BW111" s="227"/>
      <c r="BX111" s="227"/>
      <c r="BY111" s="227"/>
      <c r="BZ111" s="227"/>
      <c r="CA111" s="227"/>
      <c r="CB111" s="227"/>
    </row>
    <row r="112" spans="2:87" ht="13.5" thickBot="1">
      <c r="B112" s="413"/>
      <c r="C112" s="282" t="s">
        <v>358</v>
      </c>
      <c r="D112" s="236">
        <v>3195.32</v>
      </c>
      <c r="E112" s="236">
        <v>2767.23</v>
      </c>
      <c r="F112" s="236">
        <v>3297.62</v>
      </c>
      <c r="G112" s="236">
        <v>3389.73</v>
      </c>
      <c r="H112" s="124"/>
      <c r="I112" s="418"/>
      <c r="J112" s="255" t="s">
        <v>368</v>
      </c>
      <c r="K112" s="256">
        <v>7898.1427597489401</v>
      </c>
      <c r="L112" s="256">
        <v>6839.9922726587101</v>
      </c>
      <c r="M112" s="256">
        <v>7513.3237002167598</v>
      </c>
      <c r="N112" s="310">
        <v>4358.0462721563699</v>
      </c>
      <c r="O112" s="505" t="s">
        <v>335</v>
      </c>
      <c r="P112" s="505"/>
      <c r="Q112" s="311">
        <f>-0.097+0.662*LOG10(K112/1000)+0.0966*0.38+0.000526*13+0.5588*0.38*LOG10(K112/1000)-0.00304*13*LOG10(K112/1000)</f>
        <v>0.69582139339364346</v>
      </c>
      <c r="R112" s="263">
        <f t="shared" si="120"/>
        <v>2005.3555834607416</v>
      </c>
      <c r="S112" s="311">
        <f t="shared" si="159"/>
        <v>-0.34703110574408058</v>
      </c>
      <c r="T112" s="311">
        <f t="shared" si="121"/>
        <v>0.70678334289403122</v>
      </c>
      <c r="U112" s="268"/>
      <c r="V112" s="311">
        <f>4.184*1.5*T112*(0.025/0.2)*(610^2/610^2)</f>
        <v>0.55447153250036751</v>
      </c>
      <c r="W112" s="152">
        <f t="shared" si="161"/>
        <v>610</v>
      </c>
      <c r="X112" s="225"/>
      <c r="Y112" s="203"/>
      <c r="Z112" s="201"/>
      <c r="AA112" s="203"/>
      <c r="AB112" s="130"/>
      <c r="AC112" s="304"/>
      <c r="AD112" s="306"/>
      <c r="AE112" s="306"/>
      <c r="AF112" s="306"/>
      <c r="AG112" s="306"/>
      <c r="AH112" s="280"/>
      <c r="AI112" s="280"/>
      <c r="AJ112" s="125"/>
      <c r="AK112" s="305"/>
      <c r="AL112" s="305"/>
      <c r="AM112" s="305"/>
      <c r="AN112" s="30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300"/>
      <c r="AY112" s="301"/>
      <c r="AZ112" s="302"/>
      <c r="BA112" s="125"/>
      <c r="BB112" s="125"/>
      <c r="BC112" s="125"/>
      <c r="BH112" s="124"/>
      <c r="BI112" s="124"/>
      <c r="BJ112" s="124"/>
      <c r="BK112" s="124"/>
      <c r="BL112" s="124"/>
      <c r="BM112" s="124"/>
      <c r="BN112" s="128"/>
    </row>
    <row r="113" spans="2:80">
      <c r="B113" s="413"/>
      <c r="C113" s="282" t="s">
        <v>266</v>
      </c>
      <c r="D113" s="236">
        <v>2949.92</v>
      </c>
      <c r="E113" s="236">
        <v>2554.71</v>
      </c>
      <c r="F113" s="236">
        <v>3117.41</v>
      </c>
      <c r="G113" s="236">
        <v>2647.82</v>
      </c>
      <c r="H113" s="124"/>
      <c r="I113" s="419" t="s">
        <v>278</v>
      </c>
      <c r="J113" s="275" t="s">
        <v>356</v>
      </c>
      <c r="K113" s="316">
        <v>2002.7862014110799</v>
      </c>
      <c r="L113" s="316">
        <v>1734.4637287709299</v>
      </c>
      <c r="M113" s="316">
        <v>1775.8868349547399</v>
      </c>
      <c r="N113" s="317">
        <v>1399.57936933429</v>
      </c>
      <c r="O113" s="503" t="s">
        <v>442</v>
      </c>
      <c r="P113" s="504"/>
      <c r="Q113" s="315">
        <f>0.00402+0.983*LOG10(K113/1000)</f>
        <v>0.30052680254018144</v>
      </c>
      <c r="R113" s="264">
        <f t="shared" si="120"/>
        <v>1350.5701039646426</v>
      </c>
      <c r="S113" s="315">
        <f>-0.792-0.133+1.081*LOG10(R113/1000)+0.0011*13</f>
        <v>-0.7696109803001856</v>
      </c>
      <c r="T113" s="315">
        <f t="shared" si="121"/>
        <v>0.46319322455596473</v>
      </c>
      <c r="U113" s="270"/>
      <c r="V113" s="315">
        <f>4.184*1*T113*(0.08/0.2)*(610^2/910^2)</f>
        <v>0.3483298963984236</v>
      </c>
      <c r="W113" s="327">
        <f>(4.184*1*T113*(0.08/0.2)*(610^2/V113))^(1/2)</f>
        <v>909.99999999999989</v>
      </c>
      <c r="X113" s="202"/>
      <c r="Y113" s="201"/>
      <c r="Z113" s="201"/>
      <c r="AA113" s="203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H113" s="124"/>
      <c r="BI113" s="124"/>
      <c r="BJ113" s="124"/>
      <c r="BK113" s="124"/>
      <c r="BL113" s="124"/>
      <c r="BM113" s="124"/>
      <c r="BN113" s="128"/>
    </row>
    <row r="114" spans="2:80" ht="13.5" thickBot="1">
      <c r="B114" s="414"/>
      <c r="C114" s="207" t="s">
        <v>396</v>
      </c>
      <c r="D114" s="237">
        <v>2695.26</v>
      </c>
      <c r="E114" s="237">
        <v>2334.17</v>
      </c>
      <c r="F114" s="237">
        <v>2750.24</v>
      </c>
      <c r="G114" s="237">
        <v>2048.4899999999998</v>
      </c>
      <c r="H114" s="124"/>
      <c r="I114" s="417"/>
      <c r="J114" s="252" t="s">
        <v>357</v>
      </c>
      <c r="K114" s="253">
        <v>1889.0180707320601</v>
      </c>
      <c r="L114" s="253">
        <v>1635.93763746183</v>
      </c>
      <c r="M114" s="253">
        <v>1664.8503781939601</v>
      </c>
      <c r="N114" s="254">
        <v>1346.7110089145599</v>
      </c>
      <c r="O114" s="503" t="s">
        <v>442</v>
      </c>
      <c r="P114" s="504"/>
      <c r="Q114" s="308">
        <f>0.00402+0.983*LOG10(K114/1000)</f>
        <v>0.27556009857892583</v>
      </c>
      <c r="R114" s="262">
        <f t="shared" si="120"/>
        <v>1317.2682683709811</v>
      </c>
      <c r="S114" s="308">
        <f t="shared" ref="S114:S121" si="162">-0.555-0.133+1.081*LOG10(R114/1000)+0.0011*13</f>
        <v>-0.5443321571045675</v>
      </c>
      <c r="T114" s="308">
        <f t="shared" si="121"/>
        <v>0.58022915589293078</v>
      </c>
      <c r="U114" s="266"/>
      <c r="V114" s="308">
        <f>4.184*1*T114*(0.08/0.2)*(610^2/910^2)</f>
        <v>0.4363430876029783</v>
      </c>
      <c r="W114" s="129">
        <f>(4.184*1*T114*(0.08/0.2)*(610^2/V114))^(1/2)</f>
        <v>910</v>
      </c>
      <c r="X114" s="202"/>
      <c r="Y114" s="201"/>
      <c r="Z114" s="201"/>
      <c r="AA114" s="203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H114" s="124"/>
      <c r="BI114" s="124"/>
      <c r="BJ114" s="124"/>
      <c r="BK114" s="124"/>
      <c r="BL114" s="124"/>
      <c r="BM114" s="124"/>
      <c r="BN114" s="128"/>
    </row>
    <row r="115" spans="2:80">
      <c r="B115" s="412" t="s">
        <v>399</v>
      </c>
      <c r="C115" s="208" t="s">
        <v>356</v>
      </c>
      <c r="D115" s="238">
        <v>2002.79</v>
      </c>
      <c r="E115" s="238">
        <v>1734.46</v>
      </c>
      <c r="F115" s="238">
        <v>1775.89</v>
      </c>
      <c r="G115" s="352">
        <v>1399.58</v>
      </c>
      <c r="H115" s="124"/>
      <c r="I115" s="417"/>
      <c r="J115" s="252" t="s">
        <v>358</v>
      </c>
      <c r="K115" s="253">
        <v>6246.0674832180302</v>
      </c>
      <c r="L115" s="253">
        <v>5409.2531142187499</v>
      </c>
      <c r="M115" s="253">
        <v>6481.2846918214</v>
      </c>
      <c r="N115" s="254">
        <v>6749.3976349704299</v>
      </c>
      <c r="O115" s="503" t="s">
        <v>442</v>
      </c>
      <c r="P115" s="504"/>
      <c r="Q115" s="308">
        <f>0.00402+0.983*LOG10(K115/1000)</f>
        <v>0.78610135866066089</v>
      </c>
      <c r="R115" s="262">
        <f t="shared" si="120"/>
        <v>2194.8228972782067</v>
      </c>
      <c r="S115" s="308">
        <f t="shared" si="162"/>
        <v>-0.30464715965210509</v>
      </c>
      <c r="T115" s="308">
        <f t="shared" si="121"/>
        <v>0.73738350714945711</v>
      </c>
      <c r="U115" s="266"/>
      <c r="V115" s="308">
        <f>4.184*1.5*T115*(0.025/0.2)*(610^2/910^2)</f>
        <v>0.25993409752637425</v>
      </c>
      <c r="W115" s="129">
        <f t="shared" ref="W115:W121" si="163">(4.184*1.5*T115*(0.025/0.2)*(610^2/V115))^(1/2)</f>
        <v>910</v>
      </c>
      <c r="X115" s="201"/>
      <c r="Y115" s="201"/>
      <c r="Z115" s="201"/>
      <c r="AA115" s="203"/>
      <c r="AB115" s="130"/>
      <c r="AC115" s="304"/>
      <c r="AD115" s="306"/>
      <c r="AE115" s="306"/>
      <c r="AF115" s="306"/>
      <c r="AG115" s="306"/>
      <c r="AH115" s="280"/>
      <c r="AI115" s="280"/>
      <c r="AJ115" s="125"/>
      <c r="AK115" s="305"/>
      <c r="AL115" s="305"/>
      <c r="AM115" s="305"/>
      <c r="AN115" s="30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300"/>
      <c r="AY115" s="301"/>
      <c r="AZ115" s="302"/>
      <c r="BA115" s="125"/>
      <c r="BB115" s="125"/>
      <c r="BC115" s="125"/>
      <c r="BH115" s="130"/>
      <c r="BI115" s="304"/>
      <c r="BJ115" s="306"/>
      <c r="BK115" s="306"/>
      <c r="BL115" s="306"/>
      <c r="BM115" s="306"/>
      <c r="BN115" s="221"/>
      <c r="BO115" s="227"/>
      <c r="BP115" s="240"/>
      <c r="BQ115" s="240"/>
      <c r="BR115" s="240"/>
      <c r="BS115" s="240"/>
      <c r="BT115" s="227"/>
      <c r="BU115" s="227"/>
      <c r="BV115" s="227"/>
      <c r="BW115" s="227"/>
      <c r="BX115" s="227"/>
      <c r="BY115" s="227"/>
      <c r="BZ115" s="227"/>
      <c r="CA115" s="227"/>
      <c r="CB115" s="227"/>
    </row>
    <row r="116" spans="2:80">
      <c r="B116" s="413"/>
      <c r="C116" s="282" t="s">
        <v>357</v>
      </c>
      <c r="D116" s="236">
        <v>1958.16</v>
      </c>
      <c r="E116" s="236">
        <v>1695.82</v>
      </c>
      <c r="F116" s="236">
        <v>1730.16</v>
      </c>
      <c r="G116" s="236">
        <v>1379.46</v>
      </c>
      <c r="H116" s="124"/>
      <c r="I116" s="417"/>
      <c r="J116" s="252" t="s">
        <v>370</v>
      </c>
      <c r="K116" s="253">
        <v>5986.0556241711502</v>
      </c>
      <c r="L116" s="253">
        <v>5184.0762389989304</v>
      </c>
      <c r="M116" s="253">
        <v>6051.2467019477799</v>
      </c>
      <c r="N116" s="254">
        <v>5798.0188762203197</v>
      </c>
      <c r="O116" s="501" t="s">
        <v>336</v>
      </c>
      <c r="P116" s="501"/>
      <c r="Q116" s="308">
        <f t="shared" ref="Q116:Q121" si="164">-0.097+0.662*LOG10(K116/1000)+0.0966*0.38+0.000526*13+0.5588*0.38*LOG10(K116/1000)-0.00304*13*LOG10(K116/1000)</f>
        <v>0.59532174790323267</v>
      </c>
      <c r="R116" s="262">
        <f t="shared" si="120"/>
        <v>1813.6143777192938</v>
      </c>
      <c r="S116" s="308">
        <f t="shared" si="162"/>
        <v>-0.39421290897284617</v>
      </c>
      <c r="T116" s="308">
        <f t="shared" si="121"/>
        <v>0.67421049549422318</v>
      </c>
      <c r="U116" s="266"/>
      <c r="V116" s="308">
        <f>4.184*1.5*T116*(0.025/0.2)*(610^2/455^2)</f>
        <v>0.95066024661481785</v>
      </c>
      <c r="W116" s="129">
        <f t="shared" si="163"/>
        <v>455</v>
      </c>
      <c r="X116" s="201"/>
      <c r="Y116" s="201"/>
      <c r="Z116" s="201"/>
      <c r="AA116" s="203"/>
      <c r="AB116" s="130"/>
      <c r="AC116" s="304"/>
      <c r="AD116" s="306"/>
      <c r="AE116" s="306"/>
      <c r="AF116" s="306"/>
      <c r="AG116" s="306"/>
      <c r="AH116" s="280"/>
      <c r="AI116" s="280"/>
      <c r="AJ116" s="125"/>
      <c r="AK116" s="305"/>
      <c r="AL116" s="305"/>
      <c r="AM116" s="305"/>
      <c r="AN116" s="30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300"/>
      <c r="AY116" s="301"/>
      <c r="AZ116" s="302"/>
      <c r="BA116" s="125"/>
      <c r="BB116" s="125"/>
      <c r="BC116" s="125"/>
      <c r="BH116" s="130"/>
      <c r="BI116" s="304"/>
      <c r="BJ116" s="306"/>
      <c r="BK116" s="306"/>
      <c r="BL116" s="306"/>
      <c r="BM116" s="306"/>
      <c r="BN116" s="221"/>
      <c r="BO116" s="227"/>
      <c r="BP116" s="240"/>
      <c r="BQ116" s="240"/>
      <c r="BR116" s="240"/>
      <c r="BS116" s="240"/>
      <c r="BT116" s="227"/>
      <c r="BU116" s="227"/>
      <c r="BV116" s="227"/>
      <c r="BW116" s="227"/>
      <c r="BX116" s="227"/>
      <c r="BY116" s="227"/>
      <c r="BZ116" s="227"/>
      <c r="CA116" s="227"/>
      <c r="CB116" s="227"/>
    </row>
    <row r="117" spans="2:80">
      <c r="B117" s="413"/>
      <c r="C117" s="282" t="s">
        <v>358</v>
      </c>
      <c r="D117" s="236">
        <v>4736.62</v>
      </c>
      <c r="E117" s="236">
        <v>4102.04</v>
      </c>
      <c r="F117" s="236">
        <v>4894.62</v>
      </c>
      <c r="G117" s="236">
        <v>5042.1899999999996</v>
      </c>
      <c r="H117" s="124"/>
      <c r="I117" s="417"/>
      <c r="J117" s="252" t="s">
        <v>371</v>
      </c>
      <c r="K117" s="253">
        <v>2285.4407157166702</v>
      </c>
      <c r="L117" s="253">
        <v>1979.2497186539299</v>
      </c>
      <c r="M117" s="253">
        <v>2110.44241807962</v>
      </c>
      <c r="N117" s="254">
        <v>1242.3630816110899</v>
      </c>
      <c r="O117" s="501" t="s">
        <v>335</v>
      </c>
      <c r="P117" s="501"/>
      <c r="Q117" s="308">
        <f t="shared" si="164"/>
        <v>0.24622273803887873</v>
      </c>
      <c r="R117" s="262">
        <f t="shared" si="120"/>
        <v>1279.1844648515598</v>
      </c>
      <c r="S117" s="308">
        <f t="shared" si="162"/>
        <v>-0.55810523625820418</v>
      </c>
      <c r="T117" s="308">
        <f t="shared" si="121"/>
        <v>0.57229239607718552</v>
      </c>
      <c r="U117" s="266"/>
      <c r="V117" s="308">
        <f>4.184*1.5*T117*(0.025/0.2)*(610^2/455^2)</f>
        <v>0.80695218188750928</v>
      </c>
      <c r="W117" s="129">
        <f t="shared" si="163"/>
        <v>455</v>
      </c>
      <c r="X117" s="274"/>
      <c r="Y117" s="274"/>
      <c r="AA117" s="203"/>
      <c r="AB117" s="130"/>
      <c r="AC117" s="304"/>
      <c r="AD117" s="306"/>
      <c r="AE117" s="306"/>
      <c r="AF117" s="306"/>
      <c r="AG117" s="306"/>
      <c r="AH117" s="280"/>
      <c r="AI117" s="280"/>
      <c r="AJ117" s="125"/>
      <c r="AK117" s="305"/>
      <c r="AL117" s="305"/>
      <c r="AM117" s="305"/>
      <c r="AN117" s="30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300"/>
      <c r="AY117" s="301"/>
      <c r="AZ117" s="302"/>
      <c r="BA117" s="125"/>
      <c r="BB117" s="125"/>
      <c r="BC117" s="125"/>
    </row>
    <row r="118" spans="2:80">
      <c r="B118" s="413"/>
      <c r="C118" s="282" t="s">
        <v>275</v>
      </c>
      <c r="D118" s="236">
        <v>4166.33</v>
      </c>
      <c r="E118" s="236">
        <v>3608.15</v>
      </c>
      <c r="F118" s="236">
        <v>4306.8</v>
      </c>
      <c r="G118" s="236">
        <v>3419.38</v>
      </c>
      <c r="H118" s="124"/>
      <c r="I118" s="417"/>
      <c r="J118" s="252" t="s">
        <v>372</v>
      </c>
      <c r="K118" s="253">
        <v>4099.7466613120796</v>
      </c>
      <c r="L118" s="253">
        <v>3550.4847577767</v>
      </c>
      <c r="M118" s="253">
        <v>3994.0545200483998</v>
      </c>
      <c r="N118" s="254">
        <v>2674.8510888012302</v>
      </c>
      <c r="O118" s="501" t="s">
        <v>335</v>
      </c>
      <c r="P118" s="501"/>
      <c r="Q118" s="308">
        <f t="shared" si="164"/>
        <v>0.45809026718881901</v>
      </c>
      <c r="R118" s="262">
        <f t="shared" si="120"/>
        <v>1581.0517137138527</v>
      </c>
      <c r="S118" s="308">
        <f t="shared" si="162"/>
        <v>-0.45863929265076075</v>
      </c>
      <c r="T118" s="308">
        <f t="shared" si="121"/>
        <v>0.63214322248655119</v>
      </c>
      <c r="U118" s="266"/>
      <c r="V118" s="308">
        <f>4.184*1.5*T118*(0.025/0.2)*(610^2/455^2)</f>
        <v>0.89134392864119916</v>
      </c>
      <c r="W118" s="129">
        <f t="shared" si="163"/>
        <v>455</v>
      </c>
      <c r="X118" s="274"/>
      <c r="Y118" s="274"/>
      <c r="AA118" s="203"/>
      <c r="AB118" s="130"/>
      <c r="AC118" s="304"/>
      <c r="AD118" s="306"/>
      <c r="AE118" s="306"/>
      <c r="AF118" s="306"/>
      <c r="AG118" s="306"/>
      <c r="AH118" s="280"/>
      <c r="AI118" s="280"/>
      <c r="AJ118" s="280"/>
      <c r="AK118" s="305"/>
      <c r="AL118" s="305"/>
      <c r="AM118" s="305"/>
      <c r="AN118" s="305"/>
      <c r="AO118" s="285"/>
      <c r="AP118" s="125"/>
      <c r="AQ118" s="125"/>
      <c r="AR118" s="125"/>
      <c r="AS118" s="125"/>
      <c r="AT118" s="125"/>
      <c r="AU118" s="125"/>
      <c r="AV118" s="125"/>
      <c r="AW118" s="125"/>
      <c r="AX118" s="300"/>
      <c r="AY118" s="301"/>
      <c r="AZ118" s="302"/>
      <c r="BA118" s="125"/>
      <c r="BB118" s="125"/>
      <c r="BC118" s="125"/>
    </row>
    <row r="119" spans="2:80">
      <c r="B119" s="413"/>
      <c r="C119" s="282" t="s">
        <v>397</v>
      </c>
      <c r="D119" s="236">
        <v>2994.63</v>
      </c>
      <c r="E119" s="236">
        <v>2593.42</v>
      </c>
      <c r="F119" s="236">
        <v>2860.51</v>
      </c>
      <c r="G119" s="236">
        <v>1655.55</v>
      </c>
      <c r="H119" s="124"/>
      <c r="I119" s="417"/>
      <c r="J119" s="252" t="s">
        <v>373</v>
      </c>
      <c r="K119" s="253">
        <v>2062.5173642970999</v>
      </c>
      <c r="L119" s="253">
        <v>1786.1924332278099</v>
      </c>
      <c r="M119" s="253">
        <v>1894.15346148498</v>
      </c>
      <c r="N119" s="254">
        <v>1105.8655242207301</v>
      </c>
      <c r="O119" s="501" t="s">
        <v>335</v>
      </c>
      <c r="P119" s="501"/>
      <c r="Q119" s="308">
        <f t="shared" si="164"/>
        <v>0.20901267333834966</v>
      </c>
      <c r="R119" s="262">
        <f t="shared" si="120"/>
        <v>1232.4606178216925</v>
      </c>
      <c r="S119" s="308">
        <f t="shared" si="162"/>
        <v>-0.57557433221633381</v>
      </c>
      <c r="T119" s="308">
        <f t="shared" si="121"/>
        <v>0.56238178206095646</v>
      </c>
      <c r="U119" s="266"/>
      <c r="V119" s="308">
        <f>4.184*1.5*T119*(0.025/0.2)*(610^2/455^2)</f>
        <v>0.79297787144924448</v>
      </c>
      <c r="W119" s="129">
        <f t="shared" si="163"/>
        <v>455</v>
      </c>
      <c r="X119" s="274"/>
      <c r="Y119" s="274"/>
      <c r="AA119" s="203"/>
      <c r="AB119" s="130"/>
      <c r="AC119" s="304"/>
      <c r="AD119" s="306"/>
      <c r="AE119" s="306"/>
      <c r="AF119" s="306"/>
      <c r="AG119" s="306"/>
      <c r="AH119" s="280"/>
      <c r="AI119" s="280"/>
      <c r="AJ119" s="285"/>
      <c r="AK119" s="305"/>
      <c r="AL119" s="305"/>
      <c r="AM119" s="305"/>
      <c r="AN119" s="305"/>
      <c r="AO119" s="285"/>
      <c r="AP119" s="125"/>
      <c r="AQ119" s="125"/>
      <c r="AR119" s="125"/>
      <c r="AS119" s="125"/>
      <c r="AT119" s="125"/>
      <c r="AU119" s="125"/>
      <c r="AV119" s="125"/>
      <c r="AW119" s="125"/>
      <c r="AX119" s="300"/>
      <c r="AY119" s="301"/>
      <c r="AZ119" s="302"/>
      <c r="BA119" s="125"/>
      <c r="BB119" s="125"/>
      <c r="BC119" s="125"/>
    </row>
    <row r="120" spans="2:80" ht="13.5" thickBot="1">
      <c r="B120" s="414"/>
      <c r="C120" s="207" t="s">
        <v>398</v>
      </c>
      <c r="D120" s="237">
        <v>3368.49</v>
      </c>
      <c r="E120" s="237">
        <v>2917.2</v>
      </c>
      <c r="F120" s="237">
        <v>3285.43</v>
      </c>
      <c r="G120" s="237">
        <v>2055.33</v>
      </c>
      <c r="H120" s="124"/>
      <c r="I120" s="417"/>
      <c r="J120" s="252" t="s">
        <v>374</v>
      </c>
      <c r="K120" s="253">
        <v>2660.7656010486799</v>
      </c>
      <c r="L120" s="253">
        <v>2304.29060402393</v>
      </c>
      <c r="M120" s="253">
        <v>2481.0946249948202</v>
      </c>
      <c r="N120" s="254">
        <v>1485.1024925070101</v>
      </c>
      <c r="O120" s="507" t="s">
        <v>335</v>
      </c>
      <c r="P120" s="507"/>
      <c r="Q120" s="309">
        <f t="shared" si="164"/>
        <v>0.30135172424666629</v>
      </c>
      <c r="R120" s="299">
        <f t="shared" si="120"/>
        <v>1351.6846782145735</v>
      </c>
      <c r="S120" s="309">
        <f t="shared" si="162"/>
        <v>-0.53222370238050154</v>
      </c>
      <c r="T120" s="309">
        <f t="shared" si="121"/>
        <v>0.58729754161031322</v>
      </c>
      <c r="U120" s="298"/>
      <c r="V120" s="309">
        <f>4.184*1.5*T120*(0.025/0.2)*(610^2/455^2)</f>
        <v>0.82810995894429884</v>
      </c>
      <c r="W120" s="129">
        <f t="shared" si="163"/>
        <v>455</v>
      </c>
      <c r="X120" s="274"/>
      <c r="Y120" s="274"/>
      <c r="AA120" s="203"/>
      <c r="AB120" s="130"/>
      <c r="AC120" s="304"/>
      <c r="AD120" s="306"/>
      <c r="AE120" s="306"/>
      <c r="AF120" s="306"/>
      <c r="AG120" s="306"/>
      <c r="AH120" s="280"/>
      <c r="AI120" s="280"/>
      <c r="AJ120" s="285"/>
      <c r="AK120" s="305"/>
      <c r="AL120" s="305"/>
      <c r="AM120" s="305"/>
      <c r="AN120" s="305"/>
      <c r="AO120" s="285"/>
      <c r="AP120" s="125"/>
      <c r="AQ120" s="125"/>
      <c r="AR120" s="125"/>
      <c r="AS120" s="125"/>
      <c r="AT120" s="125"/>
      <c r="AU120" s="125"/>
      <c r="AV120" s="125"/>
      <c r="AW120" s="125"/>
      <c r="AX120" s="300"/>
      <c r="AY120" s="301"/>
      <c r="AZ120" s="302"/>
      <c r="BA120" s="125"/>
      <c r="BB120" s="125"/>
      <c r="BC120" s="125"/>
    </row>
    <row r="121" spans="2:80" ht="13.5" thickBot="1">
      <c r="C121" s="344"/>
      <c r="D121" s="342"/>
      <c r="E121" s="507"/>
      <c r="F121" s="507"/>
      <c r="G121" s="124"/>
      <c r="H121" s="124"/>
      <c r="I121" s="418"/>
      <c r="J121" s="255" t="s">
        <v>375</v>
      </c>
      <c r="K121" s="256">
        <v>5054.5074805843396</v>
      </c>
      <c r="L121" s="256">
        <v>4377.33188180452</v>
      </c>
      <c r="M121" s="256">
        <v>4924.1619046362803</v>
      </c>
      <c r="N121" s="310">
        <v>3675.5544235776001</v>
      </c>
      <c r="O121" s="505" t="s">
        <v>335</v>
      </c>
      <c r="P121" s="505"/>
      <c r="Q121" s="311">
        <f t="shared" si="164"/>
        <v>0.53399398695391309</v>
      </c>
      <c r="R121" s="263">
        <f t="shared" si="120"/>
        <v>1705.7313907792732</v>
      </c>
      <c r="S121" s="311">
        <f t="shared" si="162"/>
        <v>-0.42300459610220692</v>
      </c>
      <c r="T121" s="311">
        <f t="shared" si="121"/>
        <v>0.65507562231037397</v>
      </c>
      <c r="U121" s="268"/>
      <c r="V121" s="311">
        <f>4.184*1.5*T121*(0.025/0.2)*(610^2/610^2)</f>
        <v>0.51390682570248836</v>
      </c>
      <c r="W121" s="152">
        <f t="shared" si="163"/>
        <v>610</v>
      </c>
      <c r="X121" s="274"/>
      <c r="Y121" s="274"/>
      <c r="AA121" s="203"/>
      <c r="AB121" s="201"/>
      <c r="AC121" s="204"/>
      <c r="AD121" s="203"/>
      <c r="AE121" s="203"/>
      <c r="AF121" s="203"/>
      <c r="AG121" s="203"/>
      <c r="AH121" s="203"/>
      <c r="AN121" s="128"/>
      <c r="AO121" s="128"/>
      <c r="AP121" s="128"/>
    </row>
    <row r="122" spans="2:80">
      <c r="C122" s="343"/>
      <c r="D122" s="224"/>
      <c r="E122" s="506"/>
      <c r="F122" s="506"/>
      <c r="G122" s="124"/>
      <c r="H122" s="124"/>
      <c r="I122" s="419" t="s">
        <v>285</v>
      </c>
      <c r="J122" s="312" t="s">
        <v>356</v>
      </c>
      <c r="K122" s="316">
        <v>2002.7862014110799</v>
      </c>
      <c r="L122" s="264">
        <v>1734.4637287709299</v>
      </c>
      <c r="M122" s="264">
        <v>1775.8868349547399</v>
      </c>
      <c r="N122" s="318">
        <v>1399.57936933429</v>
      </c>
      <c r="O122" s="503" t="s">
        <v>442</v>
      </c>
      <c r="P122" s="504"/>
      <c r="Q122" s="315">
        <f>0.00402+0.983*LOG10(K122/1000)</f>
        <v>0.30052680254018144</v>
      </c>
      <c r="R122" s="264">
        <f t="shared" si="120"/>
        <v>1350.5701039646426</v>
      </c>
      <c r="S122" s="315">
        <f>-0.792-0.133+1.081*LOG10(R122/1000)+0.0011*13</f>
        <v>-0.7696109803001856</v>
      </c>
      <c r="T122" s="315">
        <f t="shared" si="121"/>
        <v>0.46319322455596473</v>
      </c>
      <c r="U122" s="270"/>
      <c r="V122" s="315">
        <f>4.184*1*T122*(0.08/0.2)*(610^2/910^2)</f>
        <v>0.3483298963984236</v>
      </c>
      <c r="W122" s="327">
        <f>(4.184*1*T122*(0.08/0.2)*(610^2/V122))^(1/2)</f>
        <v>909.99999999999989</v>
      </c>
      <c r="X122" s="274"/>
      <c r="Y122" s="274"/>
      <c r="AA122" s="203"/>
      <c r="AB122" s="201"/>
      <c r="AC122" s="203"/>
      <c r="AD122" s="203"/>
      <c r="AE122" s="203"/>
      <c r="AF122" s="203"/>
      <c r="AG122" s="203"/>
      <c r="AH122" s="203"/>
      <c r="AN122" s="128"/>
      <c r="AO122" s="128"/>
      <c r="AP122" s="128"/>
    </row>
    <row r="123" spans="2:80">
      <c r="C123" s="343"/>
      <c r="D123" s="224"/>
      <c r="E123" s="506"/>
      <c r="F123" s="506"/>
      <c r="G123" s="124"/>
      <c r="H123" s="124"/>
      <c r="I123" s="417"/>
      <c r="J123" s="252" t="s">
        <v>357</v>
      </c>
      <c r="K123" s="319">
        <v>1878.0346283234801</v>
      </c>
      <c r="L123" s="262">
        <v>1626.425697315</v>
      </c>
      <c r="M123" s="262">
        <v>1654.2841281829801</v>
      </c>
      <c r="N123" s="320">
        <v>1341.5236576034399</v>
      </c>
      <c r="O123" s="503" t="s">
        <v>442</v>
      </c>
      <c r="P123" s="504"/>
      <c r="Q123" s="308">
        <f>0.00402+0.983*LOG10(K123/1000)</f>
        <v>0.27307063465646614</v>
      </c>
      <c r="R123" s="262">
        <f t="shared" si="120"/>
        <v>1313.993054994932</v>
      </c>
      <c r="S123" s="308">
        <f t="shared" ref="S123:S128" si="165">-0.555-0.133+1.081*LOG10(R123/1000)+0.0011*13</f>
        <v>-0.54550089154498704</v>
      </c>
      <c r="T123" s="308">
        <f t="shared" si="121"/>
        <v>0.57955141821992884</v>
      </c>
      <c r="U123" s="266"/>
      <c r="V123" s="308">
        <f>4.184*1*T123*(0.08/0.2)*(610^2/910^2)</f>
        <v>0.43583341630187417</v>
      </c>
      <c r="W123" s="129">
        <f>(4.184*1*T123*(0.08/0.2)*(610^2/V123))^(1/2)</f>
        <v>910</v>
      </c>
      <c r="X123" s="274"/>
      <c r="Y123" s="274"/>
      <c r="AA123" s="203"/>
      <c r="AB123" s="201"/>
      <c r="AC123" s="203"/>
      <c r="AD123" s="203"/>
      <c r="AE123" s="203"/>
      <c r="AF123" s="203"/>
      <c r="AG123" s="203"/>
      <c r="AH123" s="203"/>
      <c r="AO123" s="128"/>
    </row>
    <row r="124" spans="2:80">
      <c r="C124" s="343"/>
      <c r="D124" s="224"/>
      <c r="E124" s="506"/>
      <c r="F124" s="506"/>
      <c r="G124" s="124"/>
      <c r="H124" s="124"/>
      <c r="I124" s="417"/>
      <c r="J124" s="252" t="s">
        <v>358</v>
      </c>
      <c r="K124" s="253">
        <v>6243.9457303009203</v>
      </c>
      <c r="L124" s="262">
        <v>5407.4156222919801</v>
      </c>
      <c r="M124" s="262">
        <v>6478.2355220385898</v>
      </c>
      <c r="N124" s="320">
        <v>6747.7742231847997</v>
      </c>
      <c r="O124" s="503" t="s">
        <v>442</v>
      </c>
      <c r="P124" s="504"/>
      <c r="Q124" s="308">
        <f>0.00402+0.983*LOG10(K124/1000)</f>
        <v>0.78595631467036786</v>
      </c>
      <c r="R124" s="262">
        <f t="shared" si="120"/>
        <v>2194.5045744931604</v>
      </c>
      <c r="S124" s="308">
        <f t="shared" si="165"/>
        <v>-0.30471525379289666</v>
      </c>
      <c r="T124" s="308">
        <f t="shared" si="121"/>
        <v>0.73733329736261943</v>
      </c>
      <c r="U124" s="266"/>
      <c r="V124" s="308">
        <f>4.184*1.5*T124*(0.025/0.2)*(610^2/910^2)</f>
        <v>0.25991639813995987</v>
      </c>
      <c r="W124" s="129">
        <f>(4.184*1.5*T124*(0.025/0.2)*(610^2/V124))^(1/2)</f>
        <v>909.99999999999989</v>
      </c>
      <c r="X124" s="274"/>
      <c r="Y124" s="274"/>
    </row>
    <row r="125" spans="2:80">
      <c r="C125" s="128"/>
      <c r="D125" s="128"/>
      <c r="E125" s="128"/>
      <c r="F125" s="128"/>
      <c r="G125" s="124"/>
      <c r="H125" s="124"/>
      <c r="I125" s="417"/>
      <c r="J125" s="252" t="s">
        <v>376</v>
      </c>
      <c r="K125" s="253">
        <v>5958.5257211135804</v>
      </c>
      <c r="L125" s="262">
        <v>5160.2346435873496</v>
      </c>
      <c r="M125" s="262">
        <v>5257.4169866929997</v>
      </c>
      <c r="N125" s="320">
        <v>392.69836393290302</v>
      </c>
      <c r="O125" s="501" t="s">
        <v>336</v>
      </c>
      <c r="P125" s="501"/>
      <c r="Q125" s="308">
        <f>-0.097+0.662*LOG10(K125/1000)+0.0966*0.38+0.000526*13+0.5588*0.38*LOG10(K125/1000)-0.00304*13*LOG10(K125/1000)</f>
        <v>0.59365048893198069</v>
      </c>
      <c r="R125" s="262">
        <f t="shared" si="120"/>
        <v>1810.5858898188328</v>
      </c>
      <c r="S125" s="308">
        <f t="shared" si="165"/>
        <v>-0.3949975188243649</v>
      </c>
      <c r="T125" s="308">
        <f t="shared" si="121"/>
        <v>0.6736817107694405</v>
      </c>
      <c r="U125" s="266"/>
      <c r="V125" s="308">
        <f>4.184*1.5*T125*(0.025/0.2)*(610^2/455^2)</f>
        <v>0.94991464176258311</v>
      </c>
      <c r="W125" s="129">
        <f>(4.184*1.5*T125*(0.025/0.2)*(610^2/V125))^(1/2)</f>
        <v>454.99999999999994</v>
      </c>
      <c r="X125" s="274"/>
      <c r="Y125" s="274"/>
    </row>
    <row r="126" spans="2:80">
      <c r="C126" s="128"/>
      <c r="D126" s="128"/>
      <c r="E126" s="128"/>
      <c r="F126" s="128"/>
      <c r="G126" s="124"/>
      <c r="H126" s="124"/>
      <c r="I126" s="417"/>
      <c r="J126" s="252" t="s">
        <v>377</v>
      </c>
      <c r="K126" s="319">
        <v>4896.4368829713603</v>
      </c>
      <c r="L126" s="262">
        <v>4240.4387286802903</v>
      </c>
      <c r="M126" s="262">
        <v>4322.0833062429901</v>
      </c>
      <c r="N126" s="320">
        <v>367.16822190996902</v>
      </c>
      <c r="O126" s="501" t="s">
        <v>335</v>
      </c>
      <c r="P126" s="501"/>
      <c r="Q126" s="308">
        <f>-0.097+0.662*LOG10(K126/1000)+0.0966*0.38+0.000526*13+0.5588*0.38*LOG10(K126/1000)-0.00304*13*LOG10(K126/1000)</f>
        <v>0.52247451523340316</v>
      </c>
      <c r="R126" s="262">
        <f t="shared" si="120"/>
        <v>1686.1950067088017</v>
      </c>
      <c r="S126" s="308">
        <f t="shared" si="165"/>
        <v>-0.42841266938808015</v>
      </c>
      <c r="T126" s="308">
        <f t="shared" si="121"/>
        <v>0.6515424876738557</v>
      </c>
      <c r="U126" s="266"/>
      <c r="V126" s="308">
        <f>4.184*1.5*T126*(0.025/0.2)*(610^2/455^2)</f>
        <v>0.91869756723086593</v>
      </c>
      <c r="W126" s="129">
        <f>(4.184*1.5*T126*(0.025/0.2)*(610^2/V126))^(1/2)</f>
        <v>454.99999999999994</v>
      </c>
      <c r="X126" s="274"/>
      <c r="Y126" s="274"/>
    </row>
    <row r="127" spans="2:80">
      <c r="C127" s="128"/>
      <c r="D127" s="128"/>
      <c r="E127" s="128"/>
      <c r="F127" s="128"/>
      <c r="G127" s="124"/>
      <c r="H127" s="124"/>
      <c r="I127" s="417"/>
      <c r="J127" s="252" t="s">
        <v>287</v>
      </c>
      <c r="K127" s="253">
        <v>4693.8026910345297</v>
      </c>
      <c r="L127" s="262">
        <v>4064.9523707876601</v>
      </c>
      <c r="M127" s="262">
        <v>4142.5835960779496</v>
      </c>
      <c r="N127" s="320">
        <v>366.99647946338501</v>
      </c>
      <c r="O127" s="507" t="s">
        <v>335</v>
      </c>
      <c r="P127" s="507"/>
      <c r="Q127" s="309">
        <f>-0.097+0.662*LOG10(K127/1000)+0.0966*0.38+0.000526*13+0.5588*0.38*LOG10(K127/1000)-0.00304*13*LOG10(K127/1000)</f>
        <v>0.5071510443609607</v>
      </c>
      <c r="R127" s="299">
        <f t="shared" ref="R127:R145" si="166">EXP(Q127)*1000</f>
        <v>1660.5536060001793</v>
      </c>
      <c r="S127" s="309">
        <f t="shared" si="165"/>
        <v>-0.4356066150379112</v>
      </c>
      <c r="T127" s="309">
        <f t="shared" ref="T127:T145" si="167">EXP(S127)</f>
        <v>0.64687214566420936</v>
      </c>
      <c r="U127" s="298"/>
      <c r="V127" s="309">
        <f>4.184*1.5*T127*(0.025/0.2)*(610^2/455^2)</f>
        <v>0.91211222257020275</v>
      </c>
      <c r="W127" s="129">
        <f>(4.184*1.5*T127*(0.025/0.2)*(610^2/V127))^(1/2)</f>
        <v>455</v>
      </c>
      <c r="X127" s="274"/>
      <c r="Y127" s="274"/>
    </row>
    <row r="128" spans="2:80" ht="13.5" thickBot="1">
      <c r="C128" s="128"/>
      <c r="D128" s="128"/>
      <c r="E128" s="128"/>
      <c r="F128" s="128"/>
      <c r="G128" s="124"/>
      <c r="H128" s="124"/>
      <c r="I128" s="418"/>
      <c r="J128" s="255" t="s">
        <v>378</v>
      </c>
      <c r="K128" s="256">
        <v>5034.7077001078296</v>
      </c>
      <c r="L128" s="263">
        <v>4360.1847689225096</v>
      </c>
      <c r="M128" s="263">
        <v>4448.5262204649998</v>
      </c>
      <c r="N128" s="302">
        <v>374.836375055102</v>
      </c>
      <c r="O128" s="505" t="s">
        <v>335</v>
      </c>
      <c r="P128" s="505"/>
      <c r="Q128" s="311">
        <f>-0.097+0.662*LOG10(K128/1000)+0.0966*0.38+0.000526*13+0.5588*0.38*LOG10(K128/1000)-0.00304*13*LOG10(K128/1000)</f>
        <v>0.53257096113145819</v>
      </c>
      <c r="R128" s="263">
        <f t="shared" si="166"/>
        <v>1703.305817200257</v>
      </c>
      <c r="S128" s="311">
        <f t="shared" si="165"/>
        <v>-0.423672667357751</v>
      </c>
      <c r="T128" s="311">
        <f t="shared" si="167"/>
        <v>0.65463813127076653</v>
      </c>
      <c r="U128" s="268"/>
      <c r="V128" s="311">
        <f>4.184*1.5*T128*(0.025/0.2)*(610^2/610^2)</f>
        <v>0.5135636139819163</v>
      </c>
      <c r="W128" s="152">
        <f>(4.184*1.5*T128*(0.025/0.2)*(610^2/V128))^(1/2)</f>
        <v>610</v>
      </c>
      <c r="X128" s="274"/>
      <c r="Y128" s="274"/>
    </row>
    <row r="129" spans="7:25">
      <c r="G129" s="124"/>
      <c r="H129" s="124"/>
      <c r="I129" s="419" t="s">
        <v>395</v>
      </c>
      <c r="J129" s="312" t="s">
        <v>356</v>
      </c>
      <c r="K129" s="151">
        <v>2002.79</v>
      </c>
      <c r="L129" s="151">
        <v>1734.46</v>
      </c>
      <c r="M129" s="321">
        <v>1775.89</v>
      </c>
      <c r="N129" s="322">
        <v>1399.58</v>
      </c>
      <c r="O129" s="503" t="s">
        <v>442</v>
      </c>
      <c r="P129" s="504"/>
      <c r="Q129" s="315">
        <f>0.00402+0.983*LOG10(K129/1000)</f>
        <v>0.30052761224201713</v>
      </c>
      <c r="R129" s="264">
        <f t="shared" si="166"/>
        <v>1350.5711975241779</v>
      </c>
      <c r="S129" s="315">
        <f>-0.792-0.133+1.081*LOG10(R129/1000)+0.0011*13</f>
        <v>-0.7696106001675741</v>
      </c>
      <c r="T129" s="315">
        <f t="shared" si="167"/>
        <v>0.4631934006308483</v>
      </c>
      <c r="U129" s="270"/>
      <c r="V129" s="315">
        <f>4.184*1*T129*(0.08/0.2)*(610^2/910^2)</f>
        <v>0.34833002881000197</v>
      </c>
      <c r="W129" s="327">
        <f>(4.184*1*T129*(0.08/0.2)*(610^2/V129))^(1/2)</f>
        <v>909.99999999999989</v>
      </c>
      <c r="X129" s="274"/>
      <c r="Y129" s="274"/>
    </row>
    <row r="130" spans="7:25">
      <c r="G130" s="124"/>
      <c r="H130" s="124"/>
      <c r="I130" s="417"/>
      <c r="J130" s="252" t="s">
        <v>390</v>
      </c>
      <c r="K130" s="129">
        <v>1968.71</v>
      </c>
      <c r="L130" s="129">
        <v>1704.95</v>
      </c>
      <c r="M130" s="129">
        <v>1740.89</v>
      </c>
      <c r="N130" s="323">
        <v>1384.23</v>
      </c>
      <c r="O130" s="503" t="s">
        <v>442</v>
      </c>
      <c r="P130" s="504"/>
      <c r="Q130" s="308">
        <f>0.00402+0.983*LOG10(K130/1000)</f>
        <v>0.29320065757932084</v>
      </c>
      <c r="R130" s="262">
        <f t="shared" si="166"/>
        <v>1340.7117874244677</v>
      </c>
      <c r="S130" s="308">
        <f>-0.555-0.133+1.081*LOG10(R130/1000)+0.0011*13</f>
        <v>-0.53605040268105075</v>
      </c>
      <c r="T130" s="308">
        <f t="shared" si="167"/>
        <v>0.58505442453699219</v>
      </c>
      <c r="U130" s="266"/>
      <c r="V130" s="308">
        <f>4.184*1*T130*(0.08/0.2)*(610^2/910^2)</f>
        <v>0.43997177912473306</v>
      </c>
      <c r="W130" s="129">
        <f>(4.184*1*T130*(0.08/0.2)*(610^2/V130))^(1/2)</f>
        <v>910</v>
      </c>
      <c r="X130" s="274"/>
      <c r="Y130" s="274"/>
    </row>
    <row r="131" spans="7:25">
      <c r="G131" s="124"/>
      <c r="H131" s="124"/>
      <c r="I131" s="417"/>
      <c r="J131" s="252" t="s">
        <v>391</v>
      </c>
      <c r="K131" s="129">
        <v>4741.32</v>
      </c>
      <c r="L131" s="129">
        <v>4106.1000000000004</v>
      </c>
      <c r="M131" s="129">
        <v>4912.59</v>
      </c>
      <c r="N131" s="277">
        <v>5087.8599999999997</v>
      </c>
      <c r="O131" s="503" t="s">
        <v>442</v>
      </c>
      <c r="P131" s="504"/>
      <c r="Q131" s="308">
        <f>0.00402+0.983*LOG10(K131/1000)</f>
        <v>0.6684289800549198</v>
      </c>
      <c r="R131" s="262">
        <f t="shared" si="166"/>
        <v>1951.1695851955392</v>
      </c>
      <c r="S131" s="308">
        <f>-0.555-0.133+1.081*LOG10(R131/1000)+0.0011*13</f>
        <v>-0.35989108599378195</v>
      </c>
      <c r="T131" s="308">
        <f t="shared" si="167"/>
        <v>0.6977523169329064</v>
      </c>
      <c r="U131" s="266"/>
      <c r="V131" s="308">
        <f>4.184*1.5*T131*(0.025/0.2)*(610^2/910^2)</f>
        <v>0.24596375839761042</v>
      </c>
      <c r="W131" s="129">
        <f>(4.184*1.5*T131*(0.025/0.2)*(610^2/V131))^(1/2)</f>
        <v>910</v>
      </c>
      <c r="X131" s="274"/>
      <c r="Y131" s="274"/>
    </row>
    <row r="132" spans="7:25">
      <c r="G132" s="124"/>
      <c r="H132" s="124"/>
      <c r="I132" s="417"/>
      <c r="J132" s="252" t="s">
        <v>392</v>
      </c>
      <c r="K132" s="129">
        <v>4539.42</v>
      </c>
      <c r="L132" s="129">
        <v>3931.25</v>
      </c>
      <c r="M132" s="129">
        <v>4707.53</v>
      </c>
      <c r="N132" s="277">
        <v>4429.1000000000004</v>
      </c>
      <c r="O132" s="501" t="s">
        <v>336</v>
      </c>
      <c r="P132" s="501"/>
      <c r="Q132" s="308">
        <f>-0.097+0.662*LOG10(K132/1000)+0.0966*0.38+0.000526*13+0.5588*0.38*LOG10(K132/1000)-0.00304*13*LOG10(K132/1000)</f>
        <v>0.49502567417821813</v>
      </c>
      <c r="R132" s="262">
        <f t="shared" si="166"/>
        <v>1640.5403580418829</v>
      </c>
      <c r="S132" s="308">
        <f>-0.555-0.133+1.081*LOG10(R132/1000)+0.0011*13</f>
        <v>-0.44129914088958389</v>
      </c>
      <c r="T132" s="308">
        <f t="shared" si="167"/>
        <v>0.64320027029057558</v>
      </c>
      <c r="U132" s="266"/>
      <c r="V132" s="308">
        <f>4.184*1.5*T132*(0.025/0.2)*(610^2/455^2)</f>
        <v>0.90693475059139783</v>
      </c>
      <c r="W132" s="129">
        <f>(4.184*1.5*T132*(0.025/0.2)*(610^2/V132))^(1/2)</f>
        <v>455</v>
      </c>
      <c r="X132" s="274"/>
      <c r="Y132" s="274"/>
    </row>
    <row r="133" spans="7:25">
      <c r="G133" s="124"/>
      <c r="H133" s="124"/>
      <c r="I133" s="417"/>
      <c r="J133" s="252" t="s">
        <v>393</v>
      </c>
      <c r="K133" s="324">
        <v>4220.62</v>
      </c>
      <c r="L133" s="129">
        <v>3655.17</v>
      </c>
      <c r="M133" s="324">
        <v>4395.5200000000004</v>
      </c>
      <c r="N133" s="323">
        <v>3541.79</v>
      </c>
      <c r="O133" s="507" t="s">
        <v>335</v>
      </c>
      <c r="P133" s="507"/>
      <c r="Q133" s="309">
        <f>-0.097+0.662*LOG10(K133/1000)+0.0966*0.38+0.000526*13+0.5588*0.38*LOG10(K133/1000)-0.00304*13*LOG10(K133/1000)</f>
        <v>0.46862510467819374</v>
      </c>
      <c r="R133" s="299">
        <f t="shared" si="166"/>
        <v>1597.7958802575868</v>
      </c>
      <c r="S133" s="309">
        <f>-0.555-0.133+1.081*LOG10(R133/1000)+0.0011*13</f>
        <v>-0.45369347789643782</v>
      </c>
      <c r="T133" s="309">
        <f t="shared" si="167"/>
        <v>0.63527742997916037</v>
      </c>
      <c r="U133" s="298"/>
      <c r="V133" s="309">
        <f>4.184*1.5*T133*(0.025/0.2)*(610^2/455^2)</f>
        <v>0.8957632702085262</v>
      </c>
      <c r="W133" s="129">
        <f>(4.184*1.5*T133*(0.025/0.2)*(610^2/V133))^(1/2)</f>
        <v>455</v>
      </c>
      <c r="X133" s="274"/>
      <c r="Y133" s="274"/>
    </row>
    <row r="134" spans="7:25" ht="13.5" thickBot="1">
      <c r="G134" s="124"/>
      <c r="H134" s="124"/>
      <c r="I134" s="418"/>
      <c r="J134" s="255" t="s">
        <v>394</v>
      </c>
      <c r="K134" s="325">
        <v>4160.9799999999996</v>
      </c>
      <c r="L134" s="325">
        <v>3603.51</v>
      </c>
      <c r="M134" s="325">
        <v>4340.66</v>
      </c>
      <c r="N134" s="276">
        <v>3286.64</v>
      </c>
      <c r="O134" s="505" t="s">
        <v>335</v>
      </c>
      <c r="P134" s="505"/>
      <c r="Q134" s="311">
        <f>-0.097+0.662*LOG10(K134/1000)+0.0966*0.38+0.000526*13+0.5588*0.38*LOG10(K134/1000)-0.00304*13*LOG10(K134/1000)</f>
        <v>0.46346537122954046</v>
      </c>
      <c r="R134" s="263">
        <f t="shared" si="166"/>
        <v>1589.5729118159882</v>
      </c>
      <c r="S134" s="311">
        <f>-0.555-0.133+1.081*LOG10(R134/1000)+0.0011*13</f>
        <v>-0.45611583000623179</v>
      </c>
      <c r="T134" s="311">
        <f t="shared" si="167"/>
        <v>0.63374042668949426</v>
      </c>
      <c r="U134" s="268"/>
      <c r="V134" s="311">
        <f>4.184*1.5*T134*(0.025/0.2)*(610^2/455^2)</f>
        <v>0.89359604211556898</v>
      </c>
      <c r="W134" s="152">
        <f>(4.184*1.5*T134*(0.025/0.2)*(610^2/V134))^(1/2)</f>
        <v>454.99999999999994</v>
      </c>
      <c r="X134" s="274"/>
      <c r="Y134" s="274"/>
    </row>
    <row r="135" spans="7:25">
      <c r="G135" s="124"/>
      <c r="H135" s="124"/>
      <c r="I135" s="419" t="s">
        <v>264</v>
      </c>
      <c r="J135" s="312" t="s">
        <v>356</v>
      </c>
      <c r="K135" s="321">
        <v>2002.79</v>
      </c>
      <c r="L135" s="321">
        <v>1734.46</v>
      </c>
      <c r="M135" s="321">
        <v>1775.89</v>
      </c>
      <c r="N135" s="322">
        <v>1399.58</v>
      </c>
      <c r="O135" s="503" t="s">
        <v>442</v>
      </c>
      <c r="P135" s="504"/>
      <c r="Q135" s="315">
        <f>0.00402+0.983*LOG10(K135/1000)</f>
        <v>0.30052761224201713</v>
      </c>
      <c r="R135" s="264">
        <f t="shared" si="166"/>
        <v>1350.5711975241779</v>
      </c>
      <c r="S135" s="315">
        <f>-0.792-0.133+1.081*LOG10(R135/1000)+0.0011*13</f>
        <v>-0.7696106001675741</v>
      </c>
      <c r="T135" s="315">
        <f t="shared" si="167"/>
        <v>0.4631934006308483</v>
      </c>
      <c r="U135" s="270"/>
      <c r="V135" s="315">
        <f>4.184*1*T135*(0.08/0.2)*(610^2/610^2)</f>
        <v>0.77520047529578773</v>
      </c>
      <c r="W135" s="327">
        <f>(4.184*1*T135*(0.08/0.2)*(610^2/V135))^(1/2)</f>
        <v>610</v>
      </c>
      <c r="X135" s="274"/>
      <c r="Y135" s="274"/>
    </row>
    <row r="136" spans="7:25">
      <c r="G136" s="124"/>
      <c r="H136" s="124"/>
      <c r="I136" s="417"/>
      <c r="J136" s="252" t="s">
        <v>357</v>
      </c>
      <c r="K136" s="324">
        <v>1907.86</v>
      </c>
      <c r="L136" s="324">
        <v>1652.26</v>
      </c>
      <c r="M136" s="324">
        <v>1676.01</v>
      </c>
      <c r="N136" s="323">
        <v>1357.64</v>
      </c>
      <c r="O136" s="503" t="s">
        <v>442</v>
      </c>
      <c r="P136" s="504"/>
      <c r="Q136" s="308">
        <f>0.00402+0.983*LOG10(K136/1000)</f>
        <v>0.27979721218112785</v>
      </c>
      <c r="R136" s="262">
        <f t="shared" si="166"/>
        <v>1322.8615249323366</v>
      </c>
      <c r="S136" s="308">
        <f>-0.555-0.133+1.081*LOG10(R136/1000)+0.0011*13</f>
        <v>-0.5423429494883466</v>
      </c>
      <c r="T136" s="308">
        <f t="shared" si="167"/>
        <v>0.58138450087853888</v>
      </c>
      <c r="U136" s="266"/>
      <c r="V136" s="308">
        <f>4.184*1*T136*(0.08/0.2)*(610^2/910^2)</f>
        <v>0.4372119284620542</v>
      </c>
      <c r="W136" s="129">
        <f>(4.184*1*T136*(0.08/0.2)*(610^2/V136))^(1/2)</f>
        <v>910</v>
      </c>
      <c r="X136" s="274"/>
      <c r="Y136" s="274"/>
    </row>
    <row r="137" spans="7:25">
      <c r="G137" s="124"/>
      <c r="H137" s="124"/>
      <c r="I137" s="417"/>
      <c r="J137" s="252" t="s">
        <v>358</v>
      </c>
      <c r="K137" s="324">
        <v>3195.32</v>
      </c>
      <c r="L137" s="324">
        <v>2767.23</v>
      </c>
      <c r="M137" s="324">
        <v>3297.62</v>
      </c>
      <c r="N137" s="323">
        <v>3389.73</v>
      </c>
      <c r="O137" s="503" t="s">
        <v>442</v>
      </c>
      <c r="P137" s="504"/>
      <c r="Q137" s="308">
        <f>0.00402+0.983*LOG10(K137/1000)</f>
        <v>0.49995761364779201</v>
      </c>
      <c r="R137" s="262">
        <f t="shared" si="166"/>
        <v>1648.6513889006833</v>
      </c>
      <c r="S137" s="308">
        <f>-0.555-0.133+1.081*LOG10(R137/1000)+0.0011*13</f>
        <v>-0.438983731751033</v>
      </c>
      <c r="T137" s="308">
        <f t="shared" si="167"/>
        <v>0.64469126754253825</v>
      </c>
      <c r="U137" s="266"/>
      <c r="V137" s="308">
        <f>4.184*1.5*T137*(0.025/0.2)*(610^2/910^2)</f>
        <v>0.22725927714279412</v>
      </c>
      <c r="W137" s="129">
        <f>(4.184*1.5*T137*(0.025/0.2)*(610^2/V137))^(1/2)</f>
        <v>909.99999999999989</v>
      </c>
      <c r="X137" s="274"/>
      <c r="Y137" s="274"/>
    </row>
    <row r="138" spans="7:25">
      <c r="G138" s="124"/>
      <c r="H138" s="124"/>
      <c r="I138" s="417"/>
      <c r="J138" s="252" t="s">
        <v>266</v>
      </c>
      <c r="K138" s="324">
        <v>2949.92</v>
      </c>
      <c r="L138" s="324">
        <v>2554.71</v>
      </c>
      <c r="M138" s="324">
        <v>3117.41</v>
      </c>
      <c r="N138" s="323">
        <v>2647.82</v>
      </c>
      <c r="O138" s="507" t="s">
        <v>338</v>
      </c>
      <c r="P138" s="507"/>
      <c r="Q138" s="309">
        <f>-0.097+0.662*LOG10(K138/1000)+0.0966*0.38+0.000526*0+0.5588*0.38*LOG10(K138/1000)-0.00304*0*LOG10(K138/1000)</f>
        <v>0.35048376303201473</v>
      </c>
      <c r="R138" s="299">
        <f t="shared" si="166"/>
        <v>1419.7542070898053</v>
      </c>
      <c r="S138" s="309">
        <f>-0.555-0.133+1.081*LOG10(R138/1000)+0.0011*13</f>
        <v>-0.50915756941170831</v>
      </c>
      <c r="T138" s="309">
        <f t="shared" si="167"/>
        <v>0.60100166779848196</v>
      </c>
      <c r="U138" s="298"/>
      <c r="V138" s="309">
        <f>4.184*1.5*T138*(0.025/0.2)*(610^2/455^2)</f>
        <v>0.84743325347731424</v>
      </c>
      <c r="W138" s="129">
        <f>(4.184*1.5*T138*(0.025/0.2)*(610^2/V138))^(1/2)</f>
        <v>454.99999999999994</v>
      </c>
      <c r="X138" s="274"/>
      <c r="Y138" s="274"/>
    </row>
    <row r="139" spans="7:25" ht="13.5" thickBot="1">
      <c r="G139" s="124"/>
      <c r="H139" s="124"/>
      <c r="I139" s="418"/>
      <c r="J139" s="255" t="s">
        <v>396</v>
      </c>
      <c r="K139" s="325">
        <v>2695.26</v>
      </c>
      <c r="L139" s="325">
        <v>2334.17</v>
      </c>
      <c r="M139" s="325">
        <v>2750.24</v>
      </c>
      <c r="N139" s="326">
        <v>2048.4899999999998</v>
      </c>
      <c r="O139" s="505" t="s">
        <v>337</v>
      </c>
      <c r="P139" s="505"/>
      <c r="Q139" s="311">
        <f>-0.097+0.662*LOG10(K139/1000)+0.0966*0.38+0.000526*0+0.5588*0.38*LOG10(K139/1000)-0.00304*0*LOG10(K139/1000)</f>
        <v>0.31620110874965657</v>
      </c>
      <c r="R139" s="263">
        <f t="shared" si="166"/>
        <v>1371.9061302112095</v>
      </c>
      <c r="S139" s="311">
        <f>-0.555-0.133+1.081*LOG10(R139/1000)+0.0011*13</f>
        <v>-0.5252523271654993</v>
      </c>
      <c r="T139" s="311">
        <f t="shared" si="167"/>
        <v>0.59140611770877349</v>
      </c>
      <c r="U139" s="268"/>
      <c r="V139" s="311">
        <f>4.184*1.5*T139*(0.025/0.2)*(610^2/610^2)</f>
        <v>0.46395809934253279</v>
      </c>
      <c r="W139" s="152">
        <f>(4.184*1.5*T139*(0.025/0.2)*(610^2/V139))^(1/2)</f>
        <v>610</v>
      </c>
    </row>
    <row r="140" spans="7:25">
      <c r="G140" s="124"/>
      <c r="H140" s="124"/>
      <c r="I140" s="419" t="s">
        <v>399</v>
      </c>
      <c r="J140" s="312" t="s">
        <v>356</v>
      </c>
      <c r="K140" s="321">
        <v>2002.79</v>
      </c>
      <c r="L140" s="321">
        <v>1734.46</v>
      </c>
      <c r="M140" s="321">
        <v>1775.89</v>
      </c>
      <c r="N140" s="322">
        <v>1399.58</v>
      </c>
      <c r="O140" s="503" t="s">
        <v>442</v>
      </c>
      <c r="P140" s="504"/>
      <c r="Q140" s="315">
        <f>0.00402+0.983*LOG10(K140/1000)</f>
        <v>0.30052761224201713</v>
      </c>
      <c r="R140" s="264">
        <f t="shared" si="166"/>
        <v>1350.5711975241779</v>
      </c>
      <c r="S140" s="315">
        <f>-0.792-0.133+1.081*LOG10(R140/1000)+0.0011*13</f>
        <v>-0.7696106001675741</v>
      </c>
      <c r="T140" s="315">
        <f t="shared" si="167"/>
        <v>0.4631934006308483</v>
      </c>
      <c r="U140" s="270"/>
      <c r="V140" s="315">
        <f>4.184*1*T140*(0.08/0.2)*(610^2/910^2)</f>
        <v>0.34833002881000197</v>
      </c>
      <c r="W140" s="327">
        <f>(4.184*1*T140*(0.08/0.2)*(610^2/V140))^(1/2)</f>
        <v>909.99999999999989</v>
      </c>
    </row>
    <row r="141" spans="7:25">
      <c r="G141" s="124"/>
      <c r="H141" s="124"/>
      <c r="I141" s="417"/>
      <c r="J141" s="252" t="s">
        <v>357</v>
      </c>
      <c r="K141" s="324">
        <v>1958.16</v>
      </c>
      <c r="L141" s="324">
        <v>1695.82</v>
      </c>
      <c r="M141" s="324">
        <v>1730.16</v>
      </c>
      <c r="N141" s="323">
        <v>1379.46</v>
      </c>
      <c r="O141" s="503" t="s">
        <v>442</v>
      </c>
      <c r="P141" s="504"/>
      <c r="Q141" s="308">
        <f>0.00402+0.983*LOG10(K141/1000)</f>
        <v>0.29090675586875037</v>
      </c>
      <c r="R141" s="262">
        <f t="shared" si="166"/>
        <v>1337.639851068983</v>
      </c>
      <c r="S141" s="308">
        <f>-0.555-0.133+1.081*LOG10(R141/1000)+0.0011*13</f>
        <v>-0.53712732607322922</v>
      </c>
      <c r="T141" s="308">
        <f t="shared" si="167"/>
        <v>0.5844247048822846</v>
      </c>
      <c r="U141" s="266"/>
      <c r="V141" s="308">
        <f>4.184*1*T141*(0.08/0.2)*(610^2/910^2)</f>
        <v>0.43949821826404772</v>
      </c>
      <c r="W141" s="129">
        <f>(4.184*1*T141*(0.08/0.2)*(610^2/V141))^(1/2)</f>
        <v>910</v>
      </c>
    </row>
    <row r="142" spans="7:25">
      <c r="G142" s="124"/>
      <c r="H142" s="124"/>
      <c r="I142" s="417"/>
      <c r="J142" s="252" t="s">
        <v>358</v>
      </c>
      <c r="K142" s="324">
        <v>4736.62</v>
      </c>
      <c r="L142" s="324">
        <v>4102.04</v>
      </c>
      <c r="M142" s="324">
        <v>4894.62</v>
      </c>
      <c r="N142" s="323">
        <v>5042.1899999999996</v>
      </c>
      <c r="O142" s="503" t="s">
        <v>442</v>
      </c>
      <c r="P142" s="504"/>
      <c r="Q142" s="308">
        <f>0.00402+0.983*LOG10(K142/1000)</f>
        <v>0.66800557916816394</v>
      </c>
      <c r="R142" s="262">
        <f t="shared" si="166"/>
        <v>1950.3436331297139</v>
      </c>
      <c r="S142" s="308">
        <f>-0.555-0.133+1.081*LOG10(R142/1000)+0.0011*13</f>
        <v>-0.36008986099670182</v>
      </c>
      <c r="T142" s="308">
        <f t="shared" si="167"/>
        <v>0.6976136349977784</v>
      </c>
      <c r="U142" s="266"/>
      <c r="V142" s="308">
        <f>4.184*1.5*T142*(0.025/0.2)*(610^2/910^2)</f>
        <v>0.24591487180969354</v>
      </c>
      <c r="W142" s="129">
        <f>(4.184*1.5*T142*(0.025/0.2)*(610^2/V142))^(1/2)</f>
        <v>910</v>
      </c>
    </row>
    <row r="143" spans="7:25">
      <c r="G143" s="124"/>
      <c r="H143" s="124"/>
      <c r="I143" s="417"/>
      <c r="J143" s="252" t="s">
        <v>275</v>
      </c>
      <c r="K143" s="324">
        <v>4166.33</v>
      </c>
      <c r="L143" s="324">
        <v>3608.15</v>
      </c>
      <c r="M143" s="324">
        <v>4306.8</v>
      </c>
      <c r="N143" s="323">
        <v>3419.38</v>
      </c>
      <c r="O143" s="501" t="s">
        <v>338</v>
      </c>
      <c r="P143" s="501"/>
      <c r="Q143" s="308">
        <f>-0.097+0.662*LOG10(K143/1000)+0.0966*0.38+0.000526*0+0.5588*0.38*LOG10(K143/1000)-0.00304*0*LOG10(K143/1000)</f>
        <v>0.48158589923712575</v>
      </c>
      <c r="R143" s="262">
        <f t="shared" si="166"/>
        <v>1618.6393667045104</v>
      </c>
      <c r="S143" s="308">
        <f>-0.555-0.133+1.081*LOG10(R143/1000)+0.0011*13</f>
        <v>-0.44760874341221191</v>
      </c>
      <c r="T143" s="308">
        <f t="shared" si="167"/>
        <v>0.63915470860720391</v>
      </c>
      <c r="U143" s="266"/>
      <c r="V143" s="308">
        <f>4.184*1.5*T143*(0.025/0.2)*(610^2/455^2)</f>
        <v>0.90123036791964739</v>
      </c>
      <c r="W143" s="129">
        <f>(4.184*1.5*T143*(0.025/0.2)*(610^2/V143))^(1/2)</f>
        <v>454.99999999999994</v>
      </c>
    </row>
    <row r="144" spans="7:25">
      <c r="G144" s="124"/>
      <c r="H144" s="124"/>
      <c r="I144" s="417"/>
      <c r="J144" s="252" t="s">
        <v>397</v>
      </c>
      <c r="K144" s="324">
        <v>2994.63</v>
      </c>
      <c r="L144" s="324">
        <v>2593.42</v>
      </c>
      <c r="M144" s="324">
        <v>2860.51</v>
      </c>
      <c r="N144" s="323">
        <v>1655.55</v>
      </c>
      <c r="O144" s="507" t="s">
        <v>338</v>
      </c>
      <c r="P144" s="507"/>
      <c r="Q144" s="309">
        <f>-0.097+0.662*LOG10(K144/1000)+0.0966*0.38+0.000526*0+0.5588*0.38*LOG10(K144/1000)-0.00304*0*LOG10(K144/1000)</f>
        <v>0.35619579350848685</v>
      </c>
      <c r="R144" s="299">
        <f t="shared" si="166"/>
        <v>1427.8870919199853</v>
      </c>
      <c r="S144" s="309">
        <f>-0.555-0.133+1.081*LOG10(R144/1000)+0.0011*13</f>
        <v>-0.50647592912668538</v>
      </c>
      <c r="T144" s="309">
        <f t="shared" si="167"/>
        <v>0.60261550097513072</v>
      </c>
      <c r="U144" s="298"/>
      <c r="V144" s="309">
        <f>4.184*1.5*T144*(0.025/0.2)*(610^2/455^2)</f>
        <v>0.84970881438293822</v>
      </c>
      <c r="W144" s="129">
        <f>(4.184*1.5*T144*(0.025/0.2)*(610^2/V144))^(1/2)</f>
        <v>455</v>
      </c>
    </row>
    <row r="145" spans="7:23" ht="13.5" thickBot="1">
      <c r="G145" s="124"/>
      <c r="H145" s="124"/>
      <c r="I145" s="418"/>
      <c r="J145" s="255" t="s">
        <v>398</v>
      </c>
      <c r="K145" s="325">
        <v>3368.49</v>
      </c>
      <c r="L145" s="325">
        <v>2917.2</v>
      </c>
      <c r="M145" s="325">
        <v>3285.43</v>
      </c>
      <c r="N145" s="326">
        <v>2055.33</v>
      </c>
      <c r="O145" s="505" t="s">
        <v>337</v>
      </c>
      <c r="P145" s="505"/>
      <c r="Q145" s="311">
        <f>-0.097+0.662*LOG10(K145/1000)+0.0966*0.38+0.000526*0+0.5588*0.38*LOG10(K145/1000)-0.00304*0*LOG10(K145/1000)</f>
        <v>0.4008678570724627</v>
      </c>
      <c r="R145" s="263">
        <f t="shared" si="166"/>
        <v>1493.119950221753</v>
      </c>
      <c r="S145" s="311">
        <f>-0.555-0.133+1.081*LOG10(R145/1000)+0.0011*13</f>
        <v>-0.48550363113883299</v>
      </c>
      <c r="T145" s="311">
        <f t="shared" si="167"/>
        <v>0.61538719055484514</v>
      </c>
      <c r="U145" s="268"/>
      <c r="V145" s="311">
        <f>4.184*1.5*T145*(0.025/0.2)*(610^2/610^2)</f>
        <v>0.48277125099027601</v>
      </c>
      <c r="W145" s="152">
        <f>(4.184*1.5*T145*(0.025/0.2)*(610^2/V145))^(1/2)</f>
        <v>610</v>
      </c>
    </row>
    <row r="146" spans="7:23"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</row>
    <row r="147" spans="7:23"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</row>
    <row r="148" spans="7:23"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</row>
    <row r="149" spans="7:23"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</row>
    <row r="150" spans="7:23"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</row>
    <row r="191" spans="14:15">
      <c r="N191" t="str">
        <f>COMPLEX(1.38,0.567)</f>
        <v>1,38+0,567i</v>
      </c>
      <c r="O191" s="112" t="str">
        <f>IMPRODUCT(N191,T38)</f>
        <v>0,02346+0,009639i</v>
      </c>
    </row>
    <row r="192" spans="14:15">
      <c r="N192" s="274" t="str">
        <f>COMPLEX(1.38,0.587)</f>
        <v>1,38+0,587i</v>
      </c>
      <c r="O192" s="274" t="str">
        <f t="shared" ref="O192:O194" si="168">IMPRODUCT(N192,T39)</f>
        <v>0,01932+0,008218i</v>
      </c>
    </row>
    <row r="193" spans="14:15">
      <c r="N193" s="274" t="str">
        <f>COMPLEX(0.63,0.507)</f>
        <v>0,63+0,507i</v>
      </c>
      <c r="O193" s="274" t="str">
        <f t="shared" si="168"/>
        <v>0,01701+0,013689i</v>
      </c>
    </row>
    <row r="194" spans="14:15">
      <c r="N194" s="274" t="str">
        <f>COMPLEX(0.23,0.427)</f>
        <v>0,23+0,427i</v>
      </c>
      <c r="O194" s="274" t="str">
        <f t="shared" si="168"/>
        <v>0,00253+0,004697i</v>
      </c>
    </row>
  </sheetData>
  <mergeCells count="175">
    <mergeCell ref="O133:P133"/>
    <mergeCell ref="O134:P134"/>
    <mergeCell ref="O135:P135"/>
    <mergeCell ref="O144:P144"/>
    <mergeCell ref="O145:P145"/>
    <mergeCell ref="O143:P143"/>
    <mergeCell ref="O140:P140"/>
    <mergeCell ref="O141:P141"/>
    <mergeCell ref="O142:P142"/>
    <mergeCell ref="O136:P136"/>
    <mergeCell ref="O137:P137"/>
    <mergeCell ref="O138:P138"/>
    <mergeCell ref="O139:P139"/>
    <mergeCell ref="O129:P129"/>
    <mergeCell ref="O130:P130"/>
    <mergeCell ref="O131:P131"/>
    <mergeCell ref="O132:P132"/>
    <mergeCell ref="O123:P123"/>
    <mergeCell ref="O124:P124"/>
    <mergeCell ref="O125:P125"/>
    <mergeCell ref="O126:P126"/>
    <mergeCell ref="O127:P127"/>
    <mergeCell ref="I129:I134"/>
    <mergeCell ref="I135:I139"/>
    <mergeCell ref="I140:I145"/>
    <mergeCell ref="O99:P99"/>
    <mergeCell ref="O100:P100"/>
    <mergeCell ref="O101:P101"/>
    <mergeCell ref="O102:P102"/>
    <mergeCell ref="O103:P103"/>
    <mergeCell ref="O104:P104"/>
    <mergeCell ref="O108:P108"/>
    <mergeCell ref="O109:P109"/>
    <mergeCell ref="O110:P110"/>
    <mergeCell ref="O111:P111"/>
    <mergeCell ref="O105:P105"/>
    <mergeCell ref="O106:P106"/>
    <mergeCell ref="O107:P107"/>
    <mergeCell ref="O118:P118"/>
    <mergeCell ref="O119:P119"/>
    <mergeCell ref="O120:P120"/>
    <mergeCell ref="O121:P121"/>
    <mergeCell ref="O122:P122"/>
    <mergeCell ref="O113:P113"/>
    <mergeCell ref="O114:P114"/>
    <mergeCell ref="O115:P115"/>
    <mergeCell ref="BA13:BO13"/>
    <mergeCell ref="O98:P98"/>
    <mergeCell ref="O94:P94"/>
    <mergeCell ref="O95:P95"/>
    <mergeCell ref="O96:P96"/>
    <mergeCell ref="O97:P97"/>
    <mergeCell ref="O112:P112"/>
    <mergeCell ref="E124:F124"/>
    <mergeCell ref="I95:I104"/>
    <mergeCell ref="I105:I112"/>
    <mergeCell ref="I113:I121"/>
    <mergeCell ref="I122:I128"/>
    <mergeCell ref="E121:F121"/>
    <mergeCell ref="E122:F122"/>
    <mergeCell ref="E123:F123"/>
    <mergeCell ref="O116:P116"/>
    <mergeCell ref="O117:P117"/>
    <mergeCell ref="O128:P128"/>
    <mergeCell ref="AP68:AW68"/>
    <mergeCell ref="BA32:BA37"/>
    <mergeCell ref="BD32:BD37"/>
    <mergeCell ref="N44:O44"/>
    <mergeCell ref="N36:O36"/>
    <mergeCell ref="N37:O37"/>
    <mergeCell ref="AW49:AY50"/>
    <mergeCell ref="AJ52:AJ53"/>
    <mergeCell ref="AQ65:AV65"/>
    <mergeCell ref="AW65:BA65"/>
    <mergeCell ref="AW66:BA66"/>
    <mergeCell ref="BA38:BA40"/>
    <mergeCell ref="BD38:BD40"/>
    <mergeCell ref="AO49:AT49"/>
    <mergeCell ref="BA15:BA21"/>
    <mergeCell ref="BD15:BD21"/>
    <mergeCell ref="BA22:BA23"/>
    <mergeCell ref="BD22:BD23"/>
    <mergeCell ref="BA24:BA28"/>
    <mergeCell ref="BD24:BD28"/>
    <mergeCell ref="BD29:BD31"/>
    <mergeCell ref="BA30:BA31"/>
    <mergeCell ref="AO50:AT50"/>
    <mergeCell ref="L6:L7"/>
    <mergeCell ref="I6:I7"/>
    <mergeCell ref="N25:O25"/>
    <mergeCell ref="D42:D44"/>
    <mergeCell ref="D38:D41"/>
    <mergeCell ref="D32:D37"/>
    <mergeCell ref="D29:D31"/>
    <mergeCell ref="F42:F44"/>
    <mergeCell ref="F29:F31"/>
    <mergeCell ref="F32:F37"/>
    <mergeCell ref="F38:F41"/>
    <mergeCell ref="D22:D23"/>
    <mergeCell ref="N21:O21"/>
    <mergeCell ref="N20:O20"/>
    <mergeCell ref="D15:D21"/>
    <mergeCell ref="N31:O31"/>
    <mergeCell ref="N30:O30"/>
    <mergeCell ref="N32:O32"/>
    <mergeCell ref="N43:O43"/>
    <mergeCell ref="P11:S13"/>
    <mergeCell ref="Z13:AA13"/>
    <mergeCell ref="N23:O23"/>
    <mergeCell ref="N24:O24"/>
    <mergeCell ref="N14:O14"/>
    <mergeCell ref="I12:O13"/>
    <mergeCell ref="I11:O11"/>
    <mergeCell ref="T11:AC12"/>
    <mergeCell ref="AB13:AC13"/>
    <mergeCell ref="N15:O15"/>
    <mergeCell ref="N16:O16"/>
    <mergeCell ref="N17:O17"/>
    <mergeCell ref="N18:O18"/>
    <mergeCell ref="N19:O19"/>
    <mergeCell ref="N22:O22"/>
    <mergeCell ref="B42:B44"/>
    <mergeCell ref="B15:B21"/>
    <mergeCell ref="B22:B23"/>
    <mergeCell ref="B24:B28"/>
    <mergeCell ref="B30:B31"/>
    <mergeCell ref="B32:B37"/>
    <mergeCell ref="B38:B41"/>
    <mergeCell ref="N29:O29"/>
    <mergeCell ref="F15:F21"/>
    <mergeCell ref="N27:O27"/>
    <mergeCell ref="N28:O28"/>
    <mergeCell ref="D24:D28"/>
    <mergeCell ref="F24:F28"/>
    <mergeCell ref="F22:F23"/>
    <mergeCell ref="N35:O35"/>
    <mergeCell ref="N26:O26"/>
    <mergeCell ref="N33:O33"/>
    <mergeCell ref="N34:O34"/>
    <mergeCell ref="N38:O38"/>
    <mergeCell ref="N39:O39"/>
    <mergeCell ref="N40:O40"/>
    <mergeCell ref="N41:O41"/>
    <mergeCell ref="N42:O42"/>
    <mergeCell ref="BY68:CB68"/>
    <mergeCell ref="BH78:BH83"/>
    <mergeCell ref="BH70:BH77"/>
    <mergeCell ref="BH84:BH90"/>
    <mergeCell ref="BH96:BH99"/>
    <mergeCell ref="BH100:BH102"/>
    <mergeCell ref="BH103:BH106"/>
    <mergeCell ref="BN70:CI70"/>
    <mergeCell ref="BQ14:BU14"/>
    <mergeCell ref="BN78:CI78"/>
    <mergeCell ref="BN84:CI84"/>
    <mergeCell ref="BN91:CI91"/>
    <mergeCell ref="BN96:CI96"/>
    <mergeCell ref="BN100:CI100"/>
    <mergeCell ref="BN103:CI103"/>
    <mergeCell ref="BQ15:BQ18"/>
    <mergeCell ref="B104:B109"/>
    <mergeCell ref="B110:B114"/>
    <mergeCell ref="B115:B120"/>
    <mergeCell ref="B68:G68"/>
    <mergeCell ref="AB97:AB99"/>
    <mergeCell ref="AB95:AB96"/>
    <mergeCell ref="AB92:AB94"/>
    <mergeCell ref="AB82:AB87"/>
    <mergeCell ref="AB77:AB81"/>
    <mergeCell ref="AB70:AB76"/>
    <mergeCell ref="AB88:AB91"/>
    <mergeCell ref="B70:B79"/>
    <mergeCell ref="B80:B87"/>
    <mergeCell ref="B88:B96"/>
    <mergeCell ref="B97:B103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tabSelected="1" topLeftCell="B1" zoomScale="90" zoomScaleNormal="90" workbookViewId="0">
      <selection activeCell="K5" sqref="K5:K6"/>
    </sheetView>
  </sheetViews>
  <sheetFormatPr defaultRowHeight="12.75"/>
  <cols>
    <col min="2" max="2" width="13.5703125" customWidth="1"/>
    <col min="3" max="3" width="10.28515625" bestFit="1" customWidth="1"/>
    <col min="4" max="4" width="13.5703125" customWidth="1"/>
    <col min="5" max="5" width="13.28515625" customWidth="1"/>
    <col min="6" max="6" width="13.7109375" customWidth="1"/>
    <col min="7" max="7" width="10.7109375" customWidth="1"/>
    <col min="9" max="9" width="10.7109375" hidden="1" customWidth="1"/>
    <col min="10" max="11" width="10.7109375" bestFit="1" customWidth="1"/>
    <col min="12" max="12" width="10.85546875" customWidth="1"/>
    <col min="13" max="13" width="17.7109375" bestFit="1" customWidth="1"/>
  </cols>
  <sheetData>
    <row r="2" spans="2:17">
      <c r="B2" s="511" t="s">
        <v>466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3"/>
    </row>
    <row r="3" spans="2:17">
      <c r="B3" s="509"/>
      <c r="C3" s="509"/>
      <c r="D3" s="398" t="s">
        <v>463</v>
      </c>
      <c r="E3" s="398" t="s">
        <v>462</v>
      </c>
      <c r="F3" s="398" t="s">
        <v>461</v>
      </c>
      <c r="G3" s="398" t="s">
        <v>460</v>
      </c>
      <c r="H3" s="252" t="s">
        <v>458</v>
      </c>
      <c r="I3" s="252" t="s">
        <v>459</v>
      </c>
      <c r="J3" s="398" t="s">
        <v>464</v>
      </c>
      <c r="K3" s="398" t="s">
        <v>465</v>
      </c>
      <c r="L3" s="252" t="s">
        <v>467</v>
      </c>
      <c r="M3" s="252" t="s">
        <v>468</v>
      </c>
      <c r="N3" s="252" t="s">
        <v>469</v>
      </c>
    </row>
    <row r="4" spans="2:17">
      <c r="B4" s="399" t="s">
        <v>455</v>
      </c>
      <c r="C4" s="398"/>
      <c r="D4" s="406">
        <v>2002.7862014110799</v>
      </c>
      <c r="E4" s="406">
        <v>1399.57936933429</v>
      </c>
      <c r="F4" s="408">
        <v>497.75</v>
      </c>
      <c r="G4" s="518"/>
      <c r="H4" s="122">
        <f>8*G5+4*G7+4*G9+4*G10+4*G12+4*G14+4*G16</f>
        <v>372.34908665128034</v>
      </c>
      <c r="I4" s="122">
        <f>1725000/(SQRT(3)*13800)</f>
        <v>72.168783648703226</v>
      </c>
      <c r="J4" s="209">
        <f>D4/20</f>
        <v>100.13931007055399</v>
      </c>
      <c r="K4" s="126">
        <v>150</v>
      </c>
      <c r="L4" s="122">
        <f>1725000/(SQRT(3)*13800)</f>
        <v>72.168783648703226</v>
      </c>
      <c r="M4" s="126">
        <v>73</v>
      </c>
      <c r="N4" s="126">
        <v>400</v>
      </c>
    </row>
    <row r="5" spans="2:17">
      <c r="B5" s="411" t="s">
        <v>322</v>
      </c>
      <c r="C5" s="205" t="s">
        <v>456</v>
      </c>
      <c r="D5" s="406">
        <v>1972.12917840932</v>
      </c>
      <c r="E5" s="406">
        <v>1385.47478517836</v>
      </c>
      <c r="F5" s="407">
        <v>494.81</v>
      </c>
      <c r="G5" s="517">
        <f>500000/(SQRT(3)*13800)</f>
        <v>20.918488014116875</v>
      </c>
      <c r="H5" s="517">
        <f>8*G5</f>
        <v>167.347904112935</v>
      </c>
      <c r="I5" s="517">
        <f>552215/(SQRT(3)*13800)</f>
        <v>23.103005717431103</v>
      </c>
      <c r="J5" s="515">
        <f>D5/20</f>
        <v>98.606458920465997</v>
      </c>
      <c r="K5" s="446">
        <v>100</v>
      </c>
      <c r="L5" s="517">
        <f>500000/(SQRT(3)*13800)</f>
        <v>20.918488014116875</v>
      </c>
      <c r="M5" s="514">
        <v>21</v>
      </c>
      <c r="N5" s="514">
        <v>350</v>
      </c>
      <c r="O5" s="397"/>
      <c r="P5" s="397"/>
      <c r="Q5" s="397"/>
    </row>
    <row r="6" spans="2:17">
      <c r="B6" s="411"/>
      <c r="C6" s="205" t="s">
        <v>457</v>
      </c>
      <c r="D6" s="287">
        <f>347.56</f>
        <v>347.56</v>
      </c>
      <c r="E6" s="519"/>
      <c r="F6" s="520"/>
      <c r="G6" s="517"/>
      <c r="H6" s="517"/>
      <c r="I6" s="517"/>
      <c r="J6" s="516"/>
      <c r="K6" s="486"/>
      <c r="L6" s="517"/>
      <c r="M6" s="514"/>
      <c r="N6" s="514"/>
    </row>
    <row r="7" spans="2:17">
      <c r="B7" s="411" t="s">
        <v>267</v>
      </c>
      <c r="C7" s="205" t="s">
        <v>456</v>
      </c>
      <c r="D7" s="407">
        <v>1905.9282577316901</v>
      </c>
      <c r="E7" s="407">
        <v>1354.66639295554</v>
      </c>
      <c r="F7" s="408">
        <v>488.46</v>
      </c>
      <c r="G7" s="517">
        <f>500000/(SQRT(3)*13800)</f>
        <v>20.918488014116875</v>
      </c>
      <c r="H7" s="517">
        <f>8*G7</f>
        <v>167.347904112935</v>
      </c>
      <c r="I7" s="517">
        <f>442940/(SQRT(3)*13800)</f>
        <v>18.531270161945859</v>
      </c>
      <c r="J7" s="515">
        <f>D7/20</f>
        <v>95.296412886584505</v>
      </c>
      <c r="K7" s="446">
        <v>100</v>
      </c>
      <c r="L7" s="517">
        <f>500000/(SQRT(3)*13800)</f>
        <v>20.918488014116875</v>
      </c>
      <c r="M7" s="514">
        <v>21</v>
      </c>
      <c r="N7" s="514">
        <v>350</v>
      </c>
    </row>
    <row r="8" spans="2:17">
      <c r="B8" s="411"/>
      <c r="C8" s="205" t="s">
        <v>457</v>
      </c>
      <c r="D8" s="407">
        <v>346.15</v>
      </c>
      <c r="E8" s="519"/>
      <c r="F8" s="520"/>
      <c r="G8" s="517"/>
      <c r="H8" s="517"/>
      <c r="I8" s="517"/>
      <c r="J8" s="516"/>
      <c r="K8" s="486"/>
      <c r="L8" s="517"/>
      <c r="M8" s="514"/>
      <c r="N8" s="514"/>
    </row>
    <row r="9" spans="2:17" ht="25.5">
      <c r="B9" s="508" t="s">
        <v>264</v>
      </c>
      <c r="C9" s="521"/>
      <c r="D9" s="522"/>
      <c r="E9" s="522"/>
      <c r="F9" s="523"/>
      <c r="G9" s="122">
        <f>50000/(SQRT(3)*13800)</f>
        <v>2.0918488014116874</v>
      </c>
      <c r="H9" s="122">
        <f>8*G9</f>
        <v>16.734790411293499</v>
      </c>
      <c r="I9" s="122">
        <f>45778/(SQRT(3)*13800)</f>
        <v>1.9152130886204848</v>
      </c>
      <c r="J9" s="530"/>
      <c r="K9" s="531"/>
      <c r="L9" s="531"/>
      <c r="M9" s="531"/>
      <c r="N9" s="532"/>
    </row>
    <row r="10" spans="2:17" ht="15" customHeight="1">
      <c r="B10" s="510" t="s">
        <v>323</v>
      </c>
      <c r="C10" s="524"/>
      <c r="D10" s="525"/>
      <c r="E10" s="525"/>
      <c r="F10" s="526"/>
      <c r="G10" s="517">
        <f>75000/(SQRT(3)*13800)</f>
        <v>3.1377732021175313</v>
      </c>
      <c r="H10" s="517">
        <f>9*G10</f>
        <v>28.239958819057783</v>
      </c>
      <c r="I10" s="517">
        <f>60000/(SQRT(3)*13800)</f>
        <v>2.5102185616940251</v>
      </c>
      <c r="J10" s="533"/>
      <c r="K10" s="534"/>
      <c r="L10" s="534"/>
      <c r="M10" s="534"/>
      <c r="N10" s="535"/>
    </row>
    <row r="11" spans="2:17" ht="15" customHeight="1">
      <c r="B11" s="510"/>
      <c r="C11" s="524"/>
      <c r="D11" s="525"/>
      <c r="E11" s="525"/>
      <c r="F11" s="526"/>
      <c r="G11" s="517"/>
      <c r="H11" s="517"/>
      <c r="I11" s="517"/>
      <c r="J11" s="533"/>
      <c r="K11" s="534"/>
      <c r="L11" s="534"/>
      <c r="M11" s="534"/>
      <c r="N11" s="535"/>
    </row>
    <row r="12" spans="2:17" ht="15" customHeight="1">
      <c r="B12" s="411" t="s">
        <v>278</v>
      </c>
      <c r="C12" s="524"/>
      <c r="D12" s="525"/>
      <c r="E12" s="525"/>
      <c r="F12" s="526"/>
      <c r="G12" s="517">
        <f>225000/(SQRT(3)*13800)</f>
        <v>9.4133196063525943</v>
      </c>
      <c r="H12" s="517">
        <f t="shared" ref="H12" si="0">9*G12</f>
        <v>84.719876457173342</v>
      </c>
      <c r="I12" s="517">
        <f>242690/(SQRT(3)*13800)</f>
        <v>10.153415712292048</v>
      </c>
      <c r="J12" s="533"/>
      <c r="K12" s="534"/>
      <c r="L12" s="534"/>
      <c r="M12" s="534"/>
      <c r="N12" s="535"/>
    </row>
    <row r="13" spans="2:17" ht="15" customHeight="1">
      <c r="B13" s="411"/>
      <c r="C13" s="524"/>
      <c r="D13" s="525"/>
      <c r="E13" s="525"/>
      <c r="F13" s="526"/>
      <c r="G13" s="517"/>
      <c r="H13" s="517"/>
      <c r="I13" s="517"/>
      <c r="J13" s="533"/>
      <c r="K13" s="534"/>
      <c r="L13" s="534"/>
      <c r="M13" s="534"/>
      <c r="N13" s="535"/>
    </row>
    <row r="14" spans="2:17" ht="15" customHeight="1">
      <c r="B14" s="411" t="s">
        <v>285</v>
      </c>
      <c r="C14" s="524"/>
      <c r="D14" s="525"/>
      <c r="E14" s="525"/>
      <c r="F14" s="526"/>
      <c r="G14" s="517">
        <f>225000/(SQRT(3)*13800)</f>
        <v>9.4133196063525943</v>
      </c>
      <c r="H14" s="517">
        <f t="shared" ref="H14" si="1">9*G14</f>
        <v>84.719876457173342</v>
      </c>
      <c r="I14" s="517">
        <f>217785/(SQRT(3)*13800)</f>
        <v>9.1114658243088869</v>
      </c>
      <c r="J14" s="533"/>
      <c r="K14" s="534"/>
      <c r="L14" s="534"/>
      <c r="M14" s="534"/>
      <c r="N14" s="535"/>
    </row>
    <row r="15" spans="2:17" ht="15" customHeight="1">
      <c r="B15" s="411"/>
      <c r="C15" s="524"/>
      <c r="D15" s="525"/>
      <c r="E15" s="525"/>
      <c r="F15" s="526"/>
      <c r="G15" s="517"/>
      <c r="H15" s="517"/>
      <c r="I15" s="517"/>
      <c r="J15" s="533"/>
      <c r="K15" s="534"/>
      <c r="L15" s="534"/>
      <c r="M15" s="534"/>
      <c r="N15" s="535"/>
    </row>
    <row r="16" spans="2:17" ht="15" customHeight="1">
      <c r="B16" s="411" t="s">
        <v>289</v>
      </c>
      <c r="C16" s="524"/>
      <c r="D16" s="525"/>
      <c r="E16" s="525"/>
      <c r="F16" s="526"/>
      <c r="G16" s="517">
        <f>150000/(SQRT(3)*13800)</f>
        <v>6.2755464042350626</v>
      </c>
      <c r="H16" s="517">
        <f t="shared" ref="H16" si="2">9*G16</f>
        <v>56.479917638115566</v>
      </c>
      <c r="I16" s="517">
        <f>156364/(SQRT(3)*13800)</f>
        <v>6.5417969196787427</v>
      </c>
      <c r="J16" s="533"/>
      <c r="K16" s="534"/>
      <c r="L16" s="534"/>
      <c r="M16" s="534"/>
      <c r="N16" s="535"/>
    </row>
    <row r="17" spans="2:14" ht="15" customHeight="1">
      <c r="B17" s="411"/>
      <c r="C17" s="527"/>
      <c r="D17" s="528"/>
      <c r="E17" s="528"/>
      <c r="F17" s="529"/>
      <c r="G17" s="517"/>
      <c r="H17" s="517"/>
      <c r="I17" s="517"/>
      <c r="J17" s="536"/>
      <c r="K17" s="537"/>
      <c r="L17" s="537"/>
      <c r="M17" s="537"/>
      <c r="N17" s="538"/>
    </row>
    <row r="20" spans="2:14">
      <c r="B20">
        <f>552215+217785+442940+45778+60000+242690+156364</f>
        <v>1717772</v>
      </c>
      <c r="C20">
        <f>B20*1.3</f>
        <v>2233103.6</v>
      </c>
    </row>
  </sheetData>
  <mergeCells count="40">
    <mergeCell ref="N5:N6"/>
    <mergeCell ref="N7:N8"/>
    <mergeCell ref="B2:N2"/>
    <mergeCell ref="J9:N17"/>
    <mergeCell ref="L5:L6"/>
    <mergeCell ref="L7:L8"/>
    <mergeCell ref="M7:M8"/>
    <mergeCell ref="M5:M6"/>
    <mergeCell ref="J5:J6"/>
    <mergeCell ref="J7:J8"/>
    <mergeCell ref="K7:K8"/>
    <mergeCell ref="K5:K6"/>
    <mergeCell ref="E6:F6"/>
    <mergeCell ref="E8:F8"/>
    <mergeCell ref="H5:H6"/>
    <mergeCell ref="H7:H8"/>
    <mergeCell ref="H10:H11"/>
    <mergeCell ref="H12:H13"/>
    <mergeCell ref="H14:H15"/>
    <mergeCell ref="H16:H17"/>
    <mergeCell ref="I7:I8"/>
    <mergeCell ref="I10:I11"/>
    <mergeCell ref="I12:I13"/>
    <mergeCell ref="I14:I15"/>
    <mergeCell ref="I16:I17"/>
    <mergeCell ref="C9:F17"/>
    <mergeCell ref="B3:C3"/>
    <mergeCell ref="G10:G11"/>
    <mergeCell ref="G12:G13"/>
    <mergeCell ref="G14:G15"/>
    <mergeCell ref="G16:G17"/>
    <mergeCell ref="G7:G8"/>
    <mergeCell ref="G5:G6"/>
    <mergeCell ref="I5:I6"/>
    <mergeCell ref="B14:B15"/>
    <mergeCell ref="B16:B17"/>
    <mergeCell ref="B5:B6"/>
    <mergeCell ref="B7:B8"/>
    <mergeCell ref="B10:B11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Entrega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Mendes</dc:creator>
  <cp:lastModifiedBy>Carlos Castilho</cp:lastModifiedBy>
  <dcterms:created xsi:type="dcterms:W3CDTF">2019-11-15T23:08:20Z</dcterms:created>
  <dcterms:modified xsi:type="dcterms:W3CDTF">2019-12-12T02:17:38Z</dcterms:modified>
</cp:coreProperties>
</file>