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60" windowWidth="20730" windowHeight="11100" activeTab="1"/>
  </bookViews>
  <sheets>
    <sheet name="Sheet1" sheetId="1" r:id="rId1"/>
    <sheet name="Planilha1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M4" i="2"/>
  <c r="Q4" i="2"/>
  <c r="K5" i="2"/>
  <c r="M5" i="2"/>
  <c r="Q5" i="2"/>
  <c r="G15" i="2"/>
  <c r="G21" i="2" s="1"/>
  <c r="L15" i="2"/>
  <c r="Q15" i="2"/>
  <c r="S15" i="2"/>
  <c r="U15" i="2"/>
  <c r="G16" i="2"/>
  <c r="L16" i="2"/>
  <c r="Q16" i="2"/>
  <c r="S16" i="2"/>
  <c r="U16" i="2"/>
  <c r="G17" i="2"/>
  <c r="L17" i="2"/>
  <c r="Q17" i="2"/>
  <c r="S17" i="2"/>
  <c r="U17" i="2"/>
  <c r="G18" i="2"/>
  <c r="L18" i="2"/>
  <c r="Q18" i="2"/>
  <c r="S18" i="2"/>
  <c r="U18" i="2"/>
  <c r="G19" i="2"/>
  <c r="L19" i="2"/>
  <c r="Q19" i="2"/>
  <c r="S19" i="2"/>
  <c r="U19" i="2"/>
  <c r="G20" i="2"/>
  <c r="L20" i="2"/>
  <c r="Q20" i="2"/>
  <c r="S20" i="2"/>
  <c r="U20" i="2"/>
  <c r="E21" i="2"/>
  <c r="L21" i="2"/>
  <c r="Q21" i="2"/>
  <c r="S21" i="2"/>
  <c r="U21" i="2"/>
  <c r="G22" i="2"/>
  <c r="G23" i="2" s="1"/>
  <c r="L22" i="2"/>
  <c r="Q22" i="2"/>
  <c r="S22" i="2"/>
  <c r="U22" i="2"/>
  <c r="E23" i="2"/>
  <c r="E54" i="2" s="1"/>
  <c r="G54" i="2" s="1"/>
  <c r="L23" i="2"/>
  <c r="Q23" i="2"/>
  <c r="S23" i="2"/>
  <c r="U23" i="2"/>
  <c r="G24" i="2"/>
  <c r="L24" i="2"/>
  <c r="Q24" i="2"/>
  <c r="S24" i="2"/>
  <c r="U24" i="2"/>
  <c r="G25" i="2"/>
  <c r="L25" i="2"/>
  <c r="Q25" i="2"/>
  <c r="S25" i="2"/>
  <c r="U25" i="2"/>
  <c r="G26" i="2"/>
  <c r="L26" i="2"/>
  <c r="Q26" i="2"/>
  <c r="S26" i="2"/>
  <c r="U26" i="2"/>
  <c r="G27" i="2"/>
  <c r="L27" i="2"/>
  <c r="Q27" i="2"/>
  <c r="S27" i="2"/>
  <c r="U27" i="2"/>
  <c r="E28" i="2"/>
  <c r="L28" i="2"/>
  <c r="Q28" i="2"/>
  <c r="S28" i="2"/>
  <c r="U28" i="2"/>
  <c r="G29" i="2"/>
  <c r="L29" i="2"/>
  <c r="Q29" i="2"/>
  <c r="S29" i="2"/>
  <c r="U29" i="2"/>
  <c r="G30" i="2"/>
  <c r="L30" i="2"/>
  <c r="Q30" i="2"/>
  <c r="S30" i="2"/>
  <c r="U30" i="2"/>
  <c r="E31" i="2"/>
  <c r="L31" i="2"/>
  <c r="Q31" i="2"/>
  <c r="S31" i="2"/>
  <c r="U31" i="2"/>
  <c r="G32" i="2"/>
  <c r="L32" i="2"/>
  <c r="Q32" i="2"/>
  <c r="S32" i="2"/>
  <c r="U32" i="2"/>
  <c r="G33" i="2"/>
  <c r="L33" i="2"/>
  <c r="Q33" i="2"/>
  <c r="S33" i="2"/>
  <c r="U33" i="2"/>
  <c r="G34" i="2"/>
  <c r="L34" i="2"/>
  <c r="Q34" i="2"/>
  <c r="S34" i="2"/>
  <c r="U34" i="2"/>
  <c r="G35" i="2"/>
  <c r="L35" i="2"/>
  <c r="Q35" i="2"/>
  <c r="S35" i="2"/>
  <c r="U35" i="2"/>
  <c r="G36" i="2"/>
  <c r="L36" i="2"/>
  <c r="Q36" i="2"/>
  <c r="S36" i="2"/>
  <c r="U36" i="2"/>
  <c r="E37" i="2"/>
  <c r="L37" i="2"/>
  <c r="Q37" i="2"/>
  <c r="S37" i="2"/>
  <c r="U37" i="2"/>
  <c r="G38" i="2"/>
  <c r="L38" i="2"/>
  <c r="Q38" i="2"/>
  <c r="S38" i="2"/>
  <c r="U38" i="2"/>
  <c r="G39" i="2"/>
  <c r="L39" i="2"/>
  <c r="Q39" i="2"/>
  <c r="S39" i="2"/>
  <c r="U39" i="2"/>
  <c r="G40" i="2"/>
  <c r="L40" i="2"/>
  <c r="Q40" i="2"/>
  <c r="S40" i="2"/>
  <c r="U40" i="2"/>
  <c r="E41" i="2"/>
  <c r="L41" i="2"/>
  <c r="Q41" i="2"/>
  <c r="S41" i="2"/>
  <c r="U41" i="2"/>
  <c r="G42" i="2"/>
  <c r="G44" i="2" s="1"/>
  <c r="L42" i="2"/>
  <c r="Q42" i="2"/>
  <c r="S42" i="2"/>
  <c r="U42" i="2"/>
  <c r="G43" i="2"/>
  <c r="L43" i="2"/>
  <c r="Q43" i="2"/>
  <c r="S43" i="2"/>
  <c r="U43" i="2"/>
  <c r="E44" i="2"/>
  <c r="L44" i="2"/>
  <c r="Q44" i="2"/>
  <c r="S44" i="2"/>
  <c r="U44" i="2"/>
  <c r="E53" i="2"/>
  <c r="G53" i="2" s="1"/>
  <c r="F53" i="2"/>
  <c r="L53" i="2"/>
  <c r="F54" i="2"/>
  <c r="L54" i="2"/>
  <c r="G31" i="2" l="1"/>
  <c r="G41" i="2"/>
  <c r="G37" i="2"/>
  <c r="G28" i="2"/>
  <c r="V76" i="2" l="1"/>
  <c r="V78" i="2"/>
  <c r="V77" i="2"/>
  <c r="V74" i="2"/>
  <c r="U77" i="2"/>
  <c r="T75" i="2"/>
  <c r="T76" i="2"/>
  <c r="U76" i="2" s="1"/>
  <c r="T77" i="2"/>
  <c r="T78" i="2"/>
  <c r="T74" i="2"/>
  <c r="U74" i="2" s="1"/>
  <c r="V33" i="2" l="1"/>
  <c r="Z23" i="2"/>
  <c r="V21" i="2"/>
  <c r="V37" i="2"/>
  <c r="V28" i="2"/>
  <c r="X28" i="2" s="1"/>
  <c r="V18" i="2"/>
  <c r="X18" i="2" s="1"/>
  <c r="I18" i="1"/>
  <c r="F17" i="1"/>
  <c r="E37" i="1"/>
  <c r="V44" i="2"/>
  <c r="X44" i="2" s="1"/>
  <c r="V41" i="2"/>
  <c r="X41" i="2" s="1"/>
  <c r="V31" i="2"/>
  <c r="X31" i="2" s="1"/>
  <c r="V23" i="2"/>
  <c r="V43" i="2"/>
  <c r="X43" i="2" s="1"/>
  <c r="V42" i="2"/>
  <c r="X42" i="2" s="1"/>
  <c r="V40" i="2"/>
  <c r="X40" i="2" s="1"/>
  <c r="V39" i="2"/>
  <c r="X39" i="2" s="1"/>
  <c r="V36" i="2"/>
  <c r="X36" i="2" s="1"/>
  <c r="V34" i="2"/>
  <c r="V32" i="2"/>
  <c r="X32" i="2" s="1"/>
  <c r="Y32" i="2" s="1"/>
  <c r="V38" i="2"/>
  <c r="X38" i="2" s="1"/>
  <c r="V30" i="2"/>
  <c r="V29" i="2"/>
  <c r="X29" i="2" s="1"/>
  <c r="V27" i="2"/>
  <c r="X27" i="2" s="1"/>
  <c r="Y27" i="2" s="1"/>
  <c r="V26" i="2"/>
  <c r="V25" i="2"/>
  <c r="X25" i="2" s="1"/>
  <c r="V24" i="2"/>
  <c r="X24" i="2" s="1"/>
  <c r="V22" i="2"/>
  <c r="X22" i="2" s="1"/>
  <c r="V19" i="2"/>
  <c r="V20" i="2"/>
  <c r="V17" i="2"/>
  <c r="V16" i="2"/>
  <c r="X16" i="2" s="1"/>
  <c r="V15" i="2"/>
  <c r="X78" i="2"/>
  <c r="AA18" i="2" s="1"/>
  <c r="V35" i="2"/>
  <c r="X35" i="2" s="1"/>
  <c r="Y29" i="2"/>
  <c r="D5" i="1"/>
  <c r="Y35" i="2"/>
  <c r="X77" i="2"/>
  <c r="E38" i="1"/>
  <c r="J38" i="1" s="1"/>
  <c r="J79" i="1"/>
  <c r="E39" i="1"/>
  <c r="J39" i="1" s="1"/>
  <c r="X74" i="2" l="1"/>
  <c r="Y42" i="2"/>
  <c r="Y38" i="2"/>
  <c r="Y24" i="2"/>
  <c r="Y18" i="2"/>
  <c r="Y41" i="2"/>
  <c r="Z38" i="2" s="1"/>
  <c r="Y31" i="2"/>
  <c r="Z29" i="2" s="1"/>
  <c r="X26" i="2"/>
  <c r="Y26" i="2" s="1"/>
  <c r="Y39" i="2"/>
  <c r="Y40" i="2"/>
  <c r="X17" i="2"/>
  <c r="Y17" i="2" s="1"/>
  <c r="X34" i="2"/>
  <c r="Y34" i="2" s="1"/>
  <c r="X15" i="2"/>
  <c r="Y15" i="2" s="1"/>
  <c r="X20" i="2"/>
  <c r="Y20" i="2" s="1"/>
  <c r="Y43" i="2"/>
  <c r="Y36" i="2"/>
  <c r="Y25" i="2"/>
  <c r="X30" i="2"/>
  <c r="Y30" i="2" s="1"/>
  <c r="Z30" i="2" s="1"/>
  <c r="Y16" i="2"/>
  <c r="Y44" i="2"/>
  <c r="X23" i="2"/>
  <c r="Y23" i="2" s="1"/>
  <c r="X19" i="2"/>
  <c r="Y19" i="2" s="1"/>
  <c r="X37" i="2"/>
  <c r="Y22" i="2"/>
  <c r="Z22" i="2" s="1"/>
  <c r="X21" i="2"/>
  <c r="Y28" i="2"/>
  <c r="X33" i="2"/>
  <c r="Y33" i="2" s="1"/>
  <c r="A38" i="1"/>
  <c r="J90" i="1"/>
  <c r="J89" i="1"/>
  <c r="J88" i="1"/>
  <c r="J87" i="1"/>
  <c r="J86" i="1"/>
  <c r="J85" i="1"/>
  <c r="J84" i="1"/>
  <c r="J83" i="1"/>
  <c r="J82" i="1"/>
  <c r="J81" i="1"/>
  <c r="J80" i="1"/>
  <c r="J78" i="1"/>
  <c r="C69" i="1"/>
  <c r="E68" i="1"/>
  <c r="H67" i="1"/>
  <c r="E67" i="1"/>
  <c r="G67" i="1" s="1"/>
  <c r="E66" i="1"/>
  <c r="H65" i="1"/>
  <c r="E65" i="1"/>
  <c r="G65" i="1" s="1"/>
  <c r="C63" i="1"/>
  <c r="B62" i="1"/>
  <c r="D62" i="1" s="1"/>
  <c r="K59" i="1"/>
  <c r="T56" i="1"/>
  <c r="M70" i="1" s="1"/>
  <c r="Q56" i="1"/>
  <c r="E19" i="1" s="1"/>
  <c r="F19" i="1" s="1"/>
  <c r="N56" i="1"/>
  <c r="M71" i="1" s="1"/>
  <c r="H56" i="1"/>
  <c r="M72" i="1" s="1"/>
  <c r="R55" i="1"/>
  <c r="L54" i="1"/>
  <c r="F54" i="1"/>
  <c r="F55" i="1" s="1"/>
  <c r="E55" i="1" s="1"/>
  <c r="Q53" i="1"/>
  <c r="K53" i="1"/>
  <c r="K56" i="1" s="1"/>
  <c r="F53" i="1"/>
  <c r="H53" i="1" s="1"/>
  <c r="E53" i="1"/>
  <c r="E56" i="1" s="1"/>
  <c r="B50" i="1"/>
  <c r="B33" i="1" s="1"/>
  <c r="N49" i="1"/>
  <c r="K49" i="1"/>
  <c r="B49" i="1"/>
  <c r="A49" i="1"/>
  <c r="N48" i="1"/>
  <c r="E48" i="1"/>
  <c r="J48" i="1" s="1"/>
  <c r="A48" i="1"/>
  <c r="N47" i="1"/>
  <c r="E47" i="1"/>
  <c r="J47" i="1" s="1"/>
  <c r="A47" i="1"/>
  <c r="N46" i="1"/>
  <c r="E46" i="1"/>
  <c r="J46" i="1" s="1"/>
  <c r="A46" i="1"/>
  <c r="N45" i="1"/>
  <c r="O45" i="1" s="1"/>
  <c r="E45" i="1"/>
  <c r="J45" i="1" s="1"/>
  <c r="A45" i="1"/>
  <c r="N44" i="1"/>
  <c r="O44" i="1" s="1"/>
  <c r="J44" i="1"/>
  <c r="E44" i="1"/>
  <c r="A44" i="1"/>
  <c r="N43" i="1"/>
  <c r="E43" i="1"/>
  <c r="J43" i="1" s="1"/>
  <c r="A43" i="1"/>
  <c r="A31" i="1" s="1"/>
  <c r="N42" i="1"/>
  <c r="O42" i="1" s="1"/>
  <c r="E42" i="1"/>
  <c r="J42" i="1" s="1"/>
  <c r="A42" i="1"/>
  <c r="N41" i="1"/>
  <c r="O41" i="1" s="1"/>
  <c r="E41" i="1"/>
  <c r="J41" i="1" s="1"/>
  <c r="A41" i="1"/>
  <c r="A30" i="1" s="1"/>
  <c r="N40" i="1"/>
  <c r="O40" i="1" s="1"/>
  <c r="E40" i="1"/>
  <c r="J40" i="1" s="1"/>
  <c r="A40" i="1"/>
  <c r="N39" i="1"/>
  <c r="O39" i="1" s="1"/>
  <c r="A39" i="1"/>
  <c r="N38" i="1"/>
  <c r="N37" i="1"/>
  <c r="O37" i="1" s="1"/>
  <c r="E49" i="1"/>
  <c r="J49" i="1" s="1"/>
  <c r="A37" i="1"/>
  <c r="A50" i="1" s="1"/>
  <c r="A33" i="1" s="1"/>
  <c r="D33" i="1"/>
  <c r="Q32" i="1"/>
  <c r="N32" i="1"/>
  <c r="H32" i="1"/>
  <c r="I32" i="1" s="1"/>
  <c r="B32" i="1"/>
  <c r="A32" i="1"/>
  <c r="Q31" i="1"/>
  <c r="N31" i="1"/>
  <c r="N33" i="1" s="1"/>
  <c r="L31" i="1"/>
  <c r="K31" i="1"/>
  <c r="H31" i="1"/>
  <c r="I31" i="1" s="1"/>
  <c r="J31" i="1" s="1"/>
  <c r="B31" i="1"/>
  <c r="Q30" i="1"/>
  <c r="H30" i="1"/>
  <c r="I30" i="1" s="1"/>
  <c r="B30" i="1"/>
  <c r="Q29" i="1"/>
  <c r="Q33" i="1" s="1"/>
  <c r="H29" i="1"/>
  <c r="I29" i="1" s="1"/>
  <c r="B29" i="1"/>
  <c r="A29" i="1"/>
  <c r="T26" i="1"/>
  <c r="J26" i="1"/>
  <c r="I26" i="1"/>
  <c r="H26" i="1"/>
  <c r="F26" i="1"/>
  <c r="O26" i="1" s="1"/>
  <c r="T25" i="1"/>
  <c r="I25" i="1"/>
  <c r="J25" i="1" s="1"/>
  <c r="F25" i="1"/>
  <c r="T24" i="1"/>
  <c r="I24" i="1"/>
  <c r="J24" i="1" s="1"/>
  <c r="F24" i="1"/>
  <c r="J23" i="1"/>
  <c r="I23" i="1"/>
  <c r="F23" i="1"/>
  <c r="O23" i="1" s="1"/>
  <c r="J20" i="1"/>
  <c r="I7" i="1" s="1"/>
  <c r="I11" i="1" s="1"/>
  <c r="I20" i="1"/>
  <c r="H20" i="1"/>
  <c r="E20" i="1"/>
  <c r="F20" i="1" s="1"/>
  <c r="N20" i="1" s="1"/>
  <c r="I19" i="1"/>
  <c r="J19" i="1" s="1"/>
  <c r="J18" i="1"/>
  <c r="H18" i="1"/>
  <c r="F18" i="1"/>
  <c r="J17" i="1"/>
  <c r="I4" i="1" s="1"/>
  <c r="I17" i="1"/>
  <c r="N17" i="1" s="1"/>
  <c r="F10" i="1"/>
  <c r="AA45" i="1" s="1"/>
  <c r="F9" i="1"/>
  <c r="J7" i="1"/>
  <c r="F6" i="1"/>
  <c r="D6" i="1"/>
  <c r="F5" i="1"/>
  <c r="I3" i="1"/>
  <c r="M3" i="1" s="1"/>
  <c r="C1" i="1"/>
  <c r="Z24" i="2" l="1"/>
  <c r="K29" i="1"/>
  <c r="M29" i="1" s="1"/>
  <c r="J8" i="1" s="1"/>
  <c r="P3" i="1" s="1"/>
  <c r="J29" i="1"/>
  <c r="L29" i="1" s="1"/>
  <c r="K32" i="1"/>
  <c r="M32" i="1" s="1"/>
  <c r="J11" i="1" s="1"/>
  <c r="J32" i="1"/>
  <c r="L32" i="1" s="1"/>
  <c r="K11" i="1"/>
  <c r="O33" i="1" s="1"/>
  <c r="O12" i="1"/>
  <c r="O38" i="1"/>
  <c r="P4" i="1" s="1"/>
  <c r="AA39" i="1"/>
  <c r="AA44" i="1"/>
  <c r="AA40" i="1"/>
  <c r="N19" i="1"/>
  <c r="Z25" i="2"/>
  <c r="AA47" i="1"/>
  <c r="O24" i="1"/>
  <c r="O25" i="1"/>
  <c r="AA43" i="1"/>
  <c r="AA48" i="1"/>
  <c r="L55" i="1"/>
  <c r="K55" i="1" s="1"/>
  <c r="K57" i="1" s="1"/>
  <c r="AA37" i="1"/>
  <c r="Z42" i="2"/>
  <c r="Z39" i="2"/>
  <c r="Z40" i="2"/>
  <c r="Y21" i="2"/>
  <c r="Z18" i="2" s="1"/>
  <c r="Z43" i="2"/>
  <c r="Y37" i="2"/>
  <c r="Z26" i="2"/>
  <c r="Z27" i="2"/>
  <c r="O49" i="1"/>
  <c r="O48" i="1"/>
  <c r="O46" i="1"/>
  <c r="J5" i="1"/>
  <c r="I5" i="1"/>
  <c r="K5" i="1" s="1"/>
  <c r="J6" i="1"/>
  <c r="I6" i="1"/>
  <c r="I10" i="1" s="1"/>
  <c r="L10" i="1" s="1"/>
  <c r="P31" i="1" s="1"/>
  <c r="K30" i="1"/>
  <c r="J30" i="1"/>
  <c r="L30" i="1" s="1"/>
  <c r="L7" i="1"/>
  <c r="L3" i="1"/>
  <c r="M11" i="1"/>
  <c r="N26" i="1" s="1"/>
  <c r="K7" i="1"/>
  <c r="M6" i="1"/>
  <c r="K3" i="1"/>
  <c r="K6" i="1"/>
  <c r="O11" i="1"/>
  <c r="R11" i="1" s="1"/>
  <c r="O13" i="1"/>
  <c r="L11" i="1"/>
  <c r="M15" i="1"/>
  <c r="S32" i="1" s="1"/>
  <c r="N18" i="1"/>
  <c r="R12" i="1"/>
  <c r="S11" i="1"/>
  <c r="K45" i="1" s="1"/>
  <c r="S13" i="1"/>
  <c r="K47" i="1" s="1"/>
  <c r="Q12" i="1"/>
  <c r="S12" i="1"/>
  <c r="K46" i="1" s="1"/>
  <c r="O14" i="1"/>
  <c r="S14" i="1" s="1"/>
  <c r="K48" i="1" s="1"/>
  <c r="U26" i="1"/>
  <c r="O43" i="1"/>
  <c r="E57" i="1"/>
  <c r="K60" i="1"/>
  <c r="J4" i="1"/>
  <c r="I8" i="1"/>
  <c r="O32" i="1"/>
  <c r="Q58" i="1"/>
  <c r="R53" i="1"/>
  <c r="T53" i="1" s="1"/>
  <c r="Q60" i="1"/>
  <c r="R56" i="1"/>
  <c r="Q55" i="1" s="1"/>
  <c r="R54" i="1"/>
  <c r="M7" i="1"/>
  <c r="Q11" i="1"/>
  <c r="M31" i="1"/>
  <c r="J10" i="1" s="1"/>
  <c r="O47" i="1"/>
  <c r="H66" i="1"/>
  <c r="G66" i="1"/>
  <c r="AA38" i="1"/>
  <c r="AA42" i="1"/>
  <c r="AA46" i="1"/>
  <c r="L53" i="1"/>
  <c r="N53" i="1" s="1"/>
  <c r="J37" i="1"/>
  <c r="AA41" i="1"/>
  <c r="M13" i="1" l="1"/>
  <c r="S33" i="1" s="1"/>
  <c r="M5" i="1"/>
  <c r="Z16" i="2"/>
  <c r="Z15" i="2"/>
  <c r="AB18" i="2"/>
  <c r="Z20" i="2"/>
  <c r="Z17" i="2"/>
  <c r="Z19" i="2"/>
  <c r="Z32" i="2"/>
  <c r="Z35" i="2"/>
  <c r="Z34" i="2"/>
  <c r="Z36" i="2"/>
  <c r="Z33" i="2"/>
  <c r="O4" i="1"/>
  <c r="L8" i="1"/>
  <c r="O3" i="1"/>
  <c r="P33" i="1"/>
  <c r="P32" i="1"/>
  <c r="M14" i="1"/>
  <c r="S31" i="1" s="1"/>
  <c r="P9" i="1"/>
  <c r="P10" i="1"/>
  <c r="K4" i="1"/>
  <c r="K65" i="1"/>
  <c r="P13" i="1"/>
  <c r="P14" i="1"/>
  <c r="P12" i="1"/>
  <c r="P11" i="1"/>
  <c r="Q13" i="1"/>
  <c r="R13" i="1"/>
  <c r="M4" i="1"/>
  <c r="M8" i="1"/>
  <c r="N23" i="1" s="1"/>
  <c r="I9" i="1"/>
  <c r="L5" i="1"/>
  <c r="L4" i="1"/>
  <c r="O9" i="1"/>
  <c r="O10" i="1"/>
  <c r="M10" i="1"/>
  <c r="N25" i="1" s="1"/>
  <c r="K8" i="1"/>
  <c r="L6" i="1"/>
  <c r="J65" i="1"/>
  <c r="M18" i="1"/>
  <c r="M20" i="1"/>
  <c r="V2" i="1"/>
  <c r="U24" i="1"/>
  <c r="M19" i="1"/>
  <c r="M17" i="1"/>
  <c r="Q57" i="1"/>
  <c r="Q61" i="1" s="1"/>
  <c r="Q59" i="1"/>
  <c r="Q14" i="1"/>
  <c r="R14" i="1"/>
  <c r="K10" i="1"/>
  <c r="M30" i="1"/>
  <c r="J9" i="1" s="1"/>
  <c r="P7" i="1" l="1"/>
  <c r="P6" i="1"/>
  <c r="P8" i="1"/>
  <c r="P5" i="1"/>
  <c r="Q10" i="1"/>
  <c r="R10" i="1"/>
  <c r="S10" i="1"/>
  <c r="K44" i="1" s="1"/>
  <c r="U25" i="1"/>
  <c r="O31" i="1"/>
  <c r="R9" i="1"/>
  <c r="S9" i="1"/>
  <c r="K43" i="1" s="1"/>
  <c r="Q9" i="1"/>
  <c r="O8" i="1"/>
  <c r="O6" i="1"/>
  <c r="O5" i="1"/>
  <c r="O7" i="1"/>
  <c r="K9" i="1"/>
  <c r="M9" i="1"/>
  <c r="N24" i="1" s="1"/>
  <c r="L9" i="1"/>
  <c r="R3" i="1"/>
  <c r="S3" i="1"/>
  <c r="K37" i="1" s="1"/>
  <c r="Q3" i="1"/>
  <c r="Q4" i="1"/>
  <c r="R4" i="1"/>
  <c r="S4" i="1"/>
  <c r="K38" i="1" s="1"/>
  <c r="R7" i="1" l="1"/>
  <c r="Q7" i="1"/>
  <c r="S7" i="1"/>
  <c r="K41" i="1" s="1"/>
  <c r="R5" i="1"/>
  <c r="Q5" i="1"/>
  <c r="S5" i="1"/>
  <c r="K39" i="1" s="1"/>
  <c r="Q6" i="1"/>
  <c r="S6" i="1"/>
  <c r="K40" i="1" s="1"/>
  <c r="R6" i="1"/>
  <c r="Q8" i="1"/>
  <c r="S8" i="1"/>
  <c r="K42" i="1" s="1"/>
  <c r="R8" i="1"/>
</calcChain>
</file>

<file path=xl/sharedStrings.xml><?xml version="1.0" encoding="utf-8"?>
<sst xmlns="http://schemas.openxmlformats.org/spreadsheetml/2006/main" count="736" uniqueCount="361">
  <si>
    <t>Round Cplx A1:</t>
  </si>
  <si>
    <t>Impedâncias</t>
  </si>
  <si>
    <t>Diagrama Fasorial</t>
  </si>
  <si>
    <t>Curto-circuito</t>
  </si>
  <si>
    <t>Positivo (pu)</t>
  </si>
  <si>
    <t>Zero (pu)</t>
  </si>
  <si>
    <t>Icc trifásico (A)</t>
  </si>
  <si>
    <t>Icc Fase-fase (A)</t>
  </si>
  <si>
    <t>Icc Fase-Terra (A)</t>
  </si>
  <si>
    <t>Curto-Circuito</t>
  </si>
  <si>
    <t>Ip</t>
  </si>
  <si>
    <t>Pbase</t>
  </si>
  <si>
    <t>Rede</t>
  </si>
  <si>
    <t>1.2572+4.6321i</t>
  </si>
  <si>
    <t>SE 1 QDG 1</t>
  </si>
  <si>
    <t>Angulo</t>
  </si>
  <si>
    <t>70°</t>
  </si>
  <si>
    <t>VbaseMT</t>
  </si>
  <si>
    <t>VbaseBT380</t>
  </si>
  <si>
    <t>Primário 1</t>
  </si>
  <si>
    <t>SE 1 QDG 2</t>
  </si>
  <si>
    <t>IbaseMT</t>
  </si>
  <si>
    <t>IbaseBT380</t>
  </si>
  <si>
    <t>Primário 2</t>
  </si>
  <si>
    <t>SE 2 QDG 3</t>
  </si>
  <si>
    <t>ZbaseMT</t>
  </si>
  <si>
    <t>ZbaseBT380</t>
  </si>
  <si>
    <t>Primário 3</t>
  </si>
  <si>
    <t>SE 2 QDG 4</t>
  </si>
  <si>
    <t>Tº Continua MT</t>
  </si>
  <si>
    <t>Primário 4</t>
  </si>
  <si>
    <t>SE 2 QDG 5</t>
  </si>
  <si>
    <t>Tº Curto MT</t>
  </si>
  <si>
    <t>VbaseBT220</t>
  </si>
  <si>
    <t>Secundário 1</t>
  </si>
  <si>
    <t>SE 2 QDG 6</t>
  </si>
  <si>
    <t>T° Curto BT</t>
  </si>
  <si>
    <t>IbaseBT220</t>
  </si>
  <si>
    <t>Secundário 2</t>
  </si>
  <si>
    <t>SE 3 CCM 1</t>
  </si>
  <si>
    <t>T° Continua BT</t>
  </si>
  <si>
    <t>ZbaseBT220</t>
  </si>
  <si>
    <t>Secundário 3</t>
  </si>
  <si>
    <t>SE 3 QDG 7</t>
  </si>
  <si>
    <t>Secundário 4</t>
  </si>
  <si>
    <t>SE 4 QDG 8</t>
  </si>
  <si>
    <t>SE 4 CCM 1</t>
  </si>
  <si>
    <t>P2</t>
  </si>
  <si>
    <t>21+0i</t>
  </si>
  <si>
    <t>SE 4 CCM 2</t>
  </si>
  <si>
    <t>P3</t>
  </si>
  <si>
    <t>SE 4 CCM 3</t>
  </si>
  <si>
    <t>Cabos Média</t>
  </si>
  <si>
    <t>P4</t>
  </si>
  <si>
    <t>Subestação</t>
  </si>
  <si>
    <t>Tensão linha (V)</t>
  </si>
  <si>
    <t>F.P. Ñ Corrigido</t>
  </si>
  <si>
    <t>Corrente (A)</t>
  </si>
  <si>
    <t>Z (Ohm/km)</t>
  </si>
  <si>
    <t>Distância (m)</t>
  </si>
  <si>
    <t>Z (ohms)</t>
  </si>
  <si>
    <t>Impedância (PU)</t>
  </si>
  <si>
    <t>Cap. Cabo(A)</t>
  </si>
  <si>
    <t>Seção (mm²)</t>
  </si>
  <si>
    <t>Seção Mín (mm²)</t>
  </si>
  <si>
    <t>Queda V(%)</t>
  </si>
  <si>
    <t>Cabo</t>
  </si>
  <si>
    <t>Maneira</t>
  </si>
  <si>
    <t>Chave fusível</t>
  </si>
  <si>
    <t>SE1</t>
  </si>
  <si>
    <t>0.4912+0.0403i</t>
  </si>
  <si>
    <t>Eprotenax Compact 105 de 8,7/15kV 3#50(50)mm²</t>
  </si>
  <si>
    <t>Enterrado tripolar no duto</t>
  </si>
  <si>
    <t>10 K</t>
  </si>
  <si>
    <t>SE2</t>
  </si>
  <si>
    <t>Eprotenax Compact 105 de 8,7/15kV 3#50 mm²</t>
  </si>
  <si>
    <t>5 H</t>
  </si>
  <si>
    <t>SE3</t>
  </si>
  <si>
    <t>25 K</t>
  </si>
  <si>
    <t>SE4</t>
  </si>
  <si>
    <t>40 K</t>
  </si>
  <si>
    <t>Cabo BT - Secundário dos Transformadores</t>
  </si>
  <si>
    <t>Disj (A)</t>
  </si>
  <si>
    <t>0.665+0.031i</t>
  </si>
  <si>
    <t>5x151</t>
  </si>
  <si>
    <t>NANBEIFLEX 450/750V 3#5x70(70)35 mm² 1kV</t>
  </si>
  <si>
    <t>Enterrado (61A) D</t>
  </si>
  <si>
    <t>TCs Proteção</t>
  </si>
  <si>
    <t>In primario</t>
  </si>
  <si>
    <t>Icc3f / 20</t>
  </si>
  <si>
    <t>RTC (A)</t>
  </si>
  <si>
    <t>Relação A</t>
  </si>
  <si>
    <t>TP</t>
  </si>
  <si>
    <t>Relação V</t>
  </si>
  <si>
    <t>0.1805+0.031i</t>
  </si>
  <si>
    <t>2x203</t>
  </si>
  <si>
    <t>NANBEIFLEX 450/750V 3#2x120(120)60 mm² 1kV</t>
  </si>
  <si>
    <t>Entrada</t>
  </si>
  <si>
    <t>200-5</t>
  </si>
  <si>
    <t>40:1</t>
  </si>
  <si>
    <t>13800-115 V</t>
  </si>
  <si>
    <t>120:1</t>
  </si>
  <si>
    <t>0.0741+0.03i</t>
  </si>
  <si>
    <t>6x336</t>
  </si>
  <si>
    <t>NANBEIFLEX 450/750V 3#6x300(300)150 mm² 1kV</t>
  </si>
  <si>
    <t>SE 3</t>
  </si>
  <si>
    <t>50-5</t>
  </si>
  <si>
    <t>10:1</t>
  </si>
  <si>
    <t>-</t>
  </si>
  <si>
    <t>12x336</t>
  </si>
  <si>
    <t>NANBEIFLEX 450/750V 3#8x300(300)150 mm² 1kV</t>
  </si>
  <si>
    <t>SE 4</t>
  </si>
  <si>
    <t>100-5</t>
  </si>
  <si>
    <t>20:1</t>
  </si>
  <si>
    <t>Transformadores</t>
  </si>
  <si>
    <t>Demanda W</t>
  </si>
  <si>
    <t>Demanda VA</t>
  </si>
  <si>
    <t>Potência (VA)</t>
  </si>
  <si>
    <t>Impedância(Ohm)</t>
  </si>
  <si>
    <t>Perdas Vazio (W)</t>
  </si>
  <si>
    <t>Perdas Totais (W)</t>
  </si>
  <si>
    <t>Perdas Cobre (W)</t>
  </si>
  <si>
    <t>Resistência(pu)</t>
  </si>
  <si>
    <t>Reatância(pu)</t>
  </si>
  <si>
    <t>Rpu</t>
  </si>
  <si>
    <t>Xpu</t>
  </si>
  <si>
    <t>Impedância (pu)</t>
  </si>
  <si>
    <t>Iinrush (A)</t>
  </si>
  <si>
    <t>Icc3fBT</t>
  </si>
  <si>
    <t>Icc2fBT</t>
  </si>
  <si>
    <t>Sdemanda (VA)</t>
  </si>
  <si>
    <t>Ip Ajustada (A)</t>
  </si>
  <si>
    <t>Icc1fMT (min)</t>
  </si>
  <si>
    <t>Disjuntores Linha Soprano DS</t>
  </si>
  <si>
    <t>Cabos Baixa</t>
  </si>
  <si>
    <t>* ABB</t>
  </si>
  <si>
    <t>F.P.</t>
  </si>
  <si>
    <t>V/A.km</t>
  </si>
  <si>
    <t>Disjuntor CM (A)</t>
  </si>
  <si>
    <t>Cap. Cabo (A)</t>
  </si>
  <si>
    <t>Seção Min(mm²)</t>
  </si>
  <si>
    <t>Distância (km)</t>
  </si>
  <si>
    <t>Z (Ohm)</t>
  </si>
  <si>
    <t>Z (pu)</t>
  </si>
  <si>
    <t>CCM / QDG</t>
  </si>
  <si>
    <t>Maneira de instalar</t>
  </si>
  <si>
    <t>SE 1</t>
  </si>
  <si>
    <t>QDG 1</t>
  </si>
  <si>
    <t>PVC 70°</t>
  </si>
  <si>
    <t>Enterrado (61A)</t>
  </si>
  <si>
    <t>D</t>
  </si>
  <si>
    <t>Trifólio</t>
  </si>
  <si>
    <t>NANBEIFLEX 450/750V 3#120(120)60 mm² 1kV</t>
  </si>
  <si>
    <t>QDG 2</t>
  </si>
  <si>
    <t>0.5985+0.034i</t>
  </si>
  <si>
    <t>SE 2</t>
  </si>
  <si>
    <t>QDG 3</t>
  </si>
  <si>
    <t>NANBEIFLEX 450/750V 3#35(35)16 mm² 1kV</t>
  </si>
  <si>
    <t>1.311+0.0372i</t>
  </si>
  <si>
    <t>QDG 4</t>
  </si>
  <si>
    <t>NANBEIFLEX 450/750V 3#16(16)8 mm² 1kV</t>
  </si>
  <si>
    <t>0.8265+0.0372i</t>
  </si>
  <si>
    <t>QDG 5</t>
  </si>
  <si>
    <t>NANBEIFLEX 450/750V 3#25(25)16 mm² 1kV</t>
  </si>
  <si>
    <t>QDG 6</t>
  </si>
  <si>
    <t>5x336</t>
  </si>
  <si>
    <t>CCM 1</t>
  </si>
  <si>
    <t>NANBEIFLEX 450/750V 3#5x300(300)150 mm² 1kV</t>
  </si>
  <si>
    <t>3x151</t>
  </si>
  <si>
    <t>QDG 7</t>
  </si>
  <si>
    <t>QDG 8</t>
  </si>
  <si>
    <t>NANBEIFLEX 450/750V 3#70(70)35 mm² 1kV</t>
  </si>
  <si>
    <t>2x230</t>
  </si>
  <si>
    <t>0.1425+0.031i</t>
  </si>
  <si>
    <t>CCM 2</t>
  </si>
  <si>
    <t>NANBEIFLEX 450/750V 3#2x150(150)75 mm² 1kV</t>
  </si>
  <si>
    <t>CCM 3</t>
  </si>
  <si>
    <t>8x336</t>
  </si>
  <si>
    <t>CCM 4</t>
  </si>
  <si>
    <t>GERADOR</t>
  </si>
  <si>
    <t>QDG 1/2</t>
  </si>
  <si>
    <t>Correção F.P.</t>
  </si>
  <si>
    <t>CCM4 SE4</t>
  </si>
  <si>
    <t>Angulo (rad)</t>
  </si>
  <si>
    <t>CCM3 SE4</t>
  </si>
  <si>
    <t>CCM1 SE3</t>
  </si>
  <si>
    <t>F.P. =</t>
  </si>
  <si>
    <t>P. Reativa (kVAr)</t>
  </si>
  <si>
    <t>F.P. Desejado =</t>
  </si>
  <si>
    <t>P. Cap (kVAr)</t>
  </si>
  <si>
    <t xml:space="preserve">F.P. Corrigido = </t>
  </si>
  <si>
    <t>N° Cap</t>
  </si>
  <si>
    <t>Corrente inicial (A)</t>
  </si>
  <si>
    <t>Total (kvar)</t>
  </si>
  <si>
    <t>F.P. SE antes =</t>
  </si>
  <si>
    <t>Corrente final (A)</t>
  </si>
  <si>
    <t>Referência</t>
  </si>
  <si>
    <t>UCWT17,5V40 O24</t>
  </si>
  <si>
    <t xml:space="preserve"> UCWT5V40 L16 </t>
  </si>
  <si>
    <t>F.P. SE depois =</t>
  </si>
  <si>
    <t xml:space="preserve"> UCWT7,5V40 N20 </t>
  </si>
  <si>
    <t>Série</t>
  </si>
  <si>
    <t>E</t>
  </si>
  <si>
    <t>Disjunto (A)</t>
  </si>
  <si>
    <t>FP SE 4 antes</t>
  </si>
  <si>
    <t>Gerador</t>
  </si>
  <si>
    <t>FP SE 4 depois</t>
  </si>
  <si>
    <t>I inicial SE (A)</t>
  </si>
  <si>
    <t>Carga Mínima (VA)</t>
  </si>
  <si>
    <t>Carga Mínima (W)</t>
  </si>
  <si>
    <t>I final SE (A)</t>
  </si>
  <si>
    <t>*Corrigindo FP da subestação a partir do CCM1. Maior carga e menor FP</t>
  </si>
  <si>
    <t>Gerador Stamford UCDI274K Winding 311, 60 HZ, Estrela Paralelo, 220/127 V, Stand By - 163/27 C</t>
  </si>
  <si>
    <t>Trifásico</t>
  </si>
  <si>
    <t>Fase-Terra</t>
  </si>
  <si>
    <t>Potência Aparente (VA)</t>
  </si>
  <si>
    <t>Reatância (PU)</t>
  </si>
  <si>
    <t>Icc na Saída do Gerador Permanete</t>
  </si>
  <si>
    <t>Icc Simultâneo no QTA</t>
  </si>
  <si>
    <t>Potência Ativa (W)</t>
  </si>
  <si>
    <t>Reatância Transiente (PU)</t>
  </si>
  <si>
    <t>Icc na Saída do Gerador Transiente</t>
  </si>
  <si>
    <t>Tensão (V)</t>
  </si>
  <si>
    <t>Reatância Subtransiente (PU)</t>
  </si>
  <si>
    <t>Icc na Saída do Gerador Subtransiente</t>
  </si>
  <si>
    <t>P Base</t>
  </si>
  <si>
    <t>Reatância de Zero</t>
  </si>
  <si>
    <t>I Base</t>
  </si>
  <si>
    <t>P/ CCM 1</t>
  </si>
  <si>
    <t>Relação de disjuntores</t>
  </si>
  <si>
    <t>P/ CCM 3</t>
  </si>
  <si>
    <t>Localização</t>
  </si>
  <si>
    <t>In</t>
  </si>
  <si>
    <t>Tipo</t>
  </si>
  <si>
    <t>Modelo</t>
  </si>
  <si>
    <t>Fabricante</t>
  </si>
  <si>
    <t>P/ CCM 4</t>
  </si>
  <si>
    <t>Caixa moldada</t>
  </si>
  <si>
    <t>DS800-S</t>
  </si>
  <si>
    <t>Soprano</t>
  </si>
  <si>
    <t>DS400-H</t>
  </si>
  <si>
    <t>Aberto</t>
  </si>
  <si>
    <t>ABW20ES3-20AZ1E-A0220</t>
  </si>
  <si>
    <t>WEG</t>
  </si>
  <si>
    <t>ABW40FS3-40AZ1E-A0220</t>
  </si>
  <si>
    <t>DS250-H</t>
  </si>
  <si>
    <t>Icc Máximo Cabo</t>
  </si>
  <si>
    <t>Icc Trifásico</t>
  </si>
  <si>
    <t>Icc Fase-Terra</t>
  </si>
  <si>
    <t>DS160-B</t>
  </si>
  <si>
    <t>ABW16DN3-16AZ1E-A0220</t>
  </si>
  <si>
    <t>ABW25ES3-25AZ1E-A0220</t>
  </si>
  <si>
    <t>B. Cap CCM 1</t>
  </si>
  <si>
    <t>B. Cap CCM 3</t>
  </si>
  <si>
    <t>B. Cap CCM 4</t>
  </si>
  <si>
    <t>Potência (W)</t>
  </si>
  <si>
    <t xml:space="preserve">Fábrica 1 </t>
  </si>
  <si>
    <t>CCM_1</t>
  </si>
  <si>
    <t>CCM_2</t>
  </si>
  <si>
    <t>CCM_3</t>
  </si>
  <si>
    <t>CCM_4</t>
  </si>
  <si>
    <t>CCM_5</t>
  </si>
  <si>
    <t>QD_1</t>
  </si>
  <si>
    <t>QDG_1</t>
  </si>
  <si>
    <t>Centro de Convivência</t>
  </si>
  <si>
    <t>QD_2</t>
  </si>
  <si>
    <t>QDG_2</t>
  </si>
  <si>
    <t>Fábrica 2</t>
  </si>
  <si>
    <t>QD_3</t>
  </si>
  <si>
    <t>QD_4</t>
  </si>
  <si>
    <t>QD_5</t>
  </si>
  <si>
    <t>QD_6</t>
  </si>
  <si>
    <t>QDG_3</t>
  </si>
  <si>
    <t>Depósito 1</t>
  </si>
  <si>
    <t>Depósito 2</t>
  </si>
  <si>
    <t>QDG_4</t>
  </si>
  <si>
    <t>QD_8</t>
  </si>
  <si>
    <t>QD_7</t>
  </si>
  <si>
    <t>Oficina</t>
  </si>
  <si>
    <t>CCM_6</t>
  </si>
  <si>
    <t>QD_9</t>
  </si>
  <si>
    <t>QD_10</t>
  </si>
  <si>
    <t>QD_11</t>
  </si>
  <si>
    <t>CCM_7</t>
  </si>
  <si>
    <t>QDG_5</t>
  </si>
  <si>
    <t>Laboratório</t>
  </si>
  <si>
    <t>CCM_8</t>
  </si>
  <si>
    <t>QDNB</t>
  </si>
  <si>
    <t>QD_12</t>
  </si>
  <si>
    <t>ADM</t>
  </si>
  <si>
    <t>QDG_6</t>
  </si>
  <si>
    <t>CCM_9</t>
  </si>
  <si>
    <t>QD_13</t>
  </si>
  <si>
    <t>QDG_7</t>
  </si>
  <si>
    <t>SE</t>
  </si>
  <si>
    <t>Quadro</t>
  </si>
  <si>
    <t>Tensão Linha (V)</t>
  </si>
  <si>
    <t>Demanda (kVA)</t>
  </si>
  <si>
    <t>F.P</t>
  </si>
  <si>
    <t>Seção(mm²)</t>
  </si>
  <si>
    <t>CABO BT (PVC)</t>
  </si>
  <si>
    <t>CABO BT (XLPE)</t>
  </si>
  <si>
    <t>FCT</t>
  </si>
  <si>
    <t>FCA</t>
  </si>
  <si>
    <t>Corrente Corrigida (A)</t>
  </si>
  <si>
    <t>Corrente  Projeto (A)</t>
  </si>
  <si>
    <t>Corrente (A) cabo 30 ºC</t>
  </si>
  <si>
    <t>Disposição</t>
  </si>
  <si>
    <t>2 - Critério da coordenação com a proteção e dimensionamento da proteção em Baixa Tensão.</t>
  </si>
  <si>
    <t>Disjuntor (A)</t>
  </si>
  <si>
    <t>DS125N</t>
  </si>
  <si>
    <t>DSE250-H</t>
  </si>
  <si>
    <t>3 - Critério máxima queda de tensão</t>
  </si>
  <si>
    <t>Distância (Km)</t>
  </si>
  <si>
    <t>Impedância Real</t>
  </si>
  <si>
    <t>Impedância  Unitária Cabo (Seq +)</t>
  </si>
  <si>
    <t>2 x 240</t>
  </si>
  <si>
    <t>2 x 120</t>
  </si>
  <si>
    <t>DSE400-H</t>
  </si>
  <si>
    <t>DSE1600-S</t>
  </si>
  <si>
    <t>2 x 185</t>
  </si>
  <si>
    <t>Baixa</t>
  </si>
  <si>
    <t>Média</t>
  </si>
  <si>
    <t>Fábrica 1</t>
  </si>
  <si>
    <t>Depósito 1 e 2</t>
  </si>
  <si>
    <t>Método de Referência- Nº33- B1 - Trifólio - XLPE</t>
  </si>
  <si>
    <t>Corrente (A) cabo 20 ºC</t>
  </si>
  <si>
    <t>Cabo (mm²)</t>
  </si>
  <si>
    <t>Regime Permanente</t>
  </si>
  <si>
    <t>Partida motor</t>
  </si>
  <si>
    <t>Motor (cv)</t>
  </si>
  <si>
    <t>IP/IN</t>
  </si>
  <si>
    <t>2 polos - 3600 RPM- WEG  - Catálogo pg 35</t>
  </si>
  <si>
    <t>20x</t>
  </si>
  <si>
    <t>Corrente nominal</t>
  </si>
  <si>
    <t>corrente de partida</t>
  </si>
  <si>
    <t>4x</t>
  </si>
  <si>
    <t>1x</t>
  </si>
  <si>
    <t>CP - Conj motor</t>
  </si>
  <si>
    <t>In Conj Motor</t>
  </si>
  <si>
    <t>Corrente para Queda</t>
  </si>
  <si>
    <t>6x</t>
  </si>
  <si>
    <t>G</t>
  </si>
  <si>
    <t>F</t>
  </si>
  <si>
    <t>Método de Referência</t>
  </si>
  <si>
    <t>Horizontal Espaçado</t>
  </si>
  <si>
    <t>Horizontal Espaçado (Enterrado)</t>
  </si>
  <si>
    <t>Horizontal Justaposto</t>
  </si>
  <si>
    <t>Horizontal Justaposto (Enterrado)</t>
  </si>
  <si>
    <t xml:space="preserve">Método de Referência- Nº16 - G ou F - PVC  </t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</si>
  <si>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Total (%) Máx 3%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</si>
  <si>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Parcial (%) Máx 3%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</si>
  <si>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Parcial (%) Máx 6%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</si>
  <si>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Total (%) Máx 6%</t>
    </r>
  </si>
  <si>
    <t>Fábrica 1, 2, Depósitos, Oficina, Laboratório e ADM</t>
  </si>
  <si>
    <t>Distância Lado A (Km)</t>
  </si>
  <si>
    <t>Distância Lado B (Km)</t>
  </si>
  <si>
    <t>Distâncias Cabos em MT</t>
  </si>
  <si>
    <t>Impedância Unitária Cabo (Seq 0)</t>
  </si>
  <si>
    <t>1 - Capacidade de Corrente MT</t>
  </si>
  <si>
    <t>1 - Capacidade de Corrente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</si>
</sst>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#,##0.0000"/>
    <numFmt numFmtId="166" formatCode="#,##0.00000"/>
    <numFmt numFmtId="167" formatCode="#,##0.000"/>
    <numFmt numFmtId="168" formatCode="0.000"/>
    <numFmt numFmtId="169" formatCode="0.00000"/>
    <numFmt numFmtId="170" formatCode="0.000000"/>
  </numFmts>
  <fonts count="21">
    <font>
      <sz val="10"/>
      <color rgb="FF000000"/>
      <name val="Arial"/>
    </font>
    <font>
      <sz val="10"/>
      <name val="Arial"/>
      <family val="2"/>
    </font>
    <font>
      <sz val="10"/>
      <color rgb="FF333333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rgb="FF11A9CC"/>
      <name val="Inconsolata"/>
    </font>
    <font>
      <sz val="10"/>
      <color rgb="FF000000"/>
      <name val="Arial"/>
      <family val="2"/>
    </font>
    <font>
      <sz val="11"/>
      <color rgb="FFA61D4C"/>
      <name val="Inconsolata"/>
    </font>
    <font>
      <sz val="10"/>
      <color rgb="FF000000"/>
      <name val="Roboto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Inconsolata"/>
    </font>
    <font>
      <sz val="11"/>
      <color rgb="FF000000"/>
      <name val="Inconsolata"/>
    </font>
    <font>
      <sz val="8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CA677"/>
        <bgColor rgb="FFCCA677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3" fontId="3" fillId="0" borderId="0" xfId="0" applyNumberFormat="1" applyFont="1" applyAlignment="1"/>
    <xf numFmtId="0" fontId="3" fillId="0" borderId="1" xfId="0" applyFont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4" fontId="3" fillId="4" borderId="2" xfId="0" applyNumberFormat="1" applyFont="1" applyFill="1" applyBorder="1"/>
    <xf numFmtId="2" fontId="3" fillId="4" borderId="2" xfId="0" applyNumberFormat="1" applyFont="1" applyFill="1" applyBorder="1"/>
    <xf numFmtId="4" fontId="3" fillId="4" borderId="1" xfId="0" applyNumberFormat="1" applyFont="1" applyFill="1" applyBorder="1"/>
    <xf numFmtId="0" fontId="1" fillId="0" borderId="3" xfId="0" applyFont="1" applyBorder="1" applyAlignment="1"/>
    <xf numFmtId="0" fontId="1" fillId="3" borderId="0" xfId="0" applyFont="1" applyFill="1"/>
    <xf numFmtId="0" fontId="3" fillId="3" borderId="0" xfId="0" applyFont="1" applyFill="1"/>
    <xf numFmtId="4" fontId="3" fillId="4" borderId="4" xfId="0" applyNumberFormat="1" applyFont="1" applyFill="1" applyBorder="1"/>
    <xf numFmtId="2" fontId="3" fillId="4" borderId="0" xfId="0" applyNumberFormat="1" applyFont="1" applyFill="1"/>
    <xf numFmtId="4" fontId="3" fillId="4" borderId="0" xfId="0" applyNumberFormat="1" applyFont="1" applyFill="1"/>
    <xf numFmtId="0" fontId="3" fillId="0" borderId="3" xfId="0" applyFont="1" applyBorder="1" applyAlignment="1"/>
    <xf numFmtId="0" fontId="3" fillId="3" borderId="0" xfId="0" applyFont="1" applyFill="1" applyAlignment="1"/>
    <xf numFmtId="0" fontId="3" fillId="3" borderId="3" xfId="0" applyFont="1" applyFill="1" applyBorder="1" applyAlignment="1"/>
    <xf numFmtId="4" fontId="3" fillId="4" borderId="3" xfId="0" applyNumberFormat="1" applyFont="1" applyFill="1" applyBorder="1"/>
    <xf numFmtId="0" fontId="1" fillId="0" borderId="1" xfId="0" applyFont="1" applyBorder="1" applyAlignment="1"/>
    <xf numFmtId="0" fontId="1" fillId="3" borderId="2" xfId="0" applyFont="1" applyFill="1" applyBorder="1"/>
    <xf numFmtId="0" fontId="3" fillId="3" borderId="2" xfId="0" applyFont="1" applyFill="1" applyBorder="1"/>
    <xf numFmtId="4" fontId="3" fillId="4" borderId="5" xfId="0" applyNumberFormat="1" applyFont="1" applyFill="1" applyBorder="1"/>
    <xf numFmtId="2" fontId="3" fillId="0" borderId="0" xfId="0" applyNumberFormat="1" applyFont="1" applyAlignment="1">
      <alignment horizontal="right"/>
    </xf>
    <xf numFmtId="0" fontId="3" fillId="3" borderId="3" xfId="0" applyFont="1" applyFill="1" applyBorder="1"/>
    <xf numFmtId="0" fontId="3" fillId="3" borderId="1" xfId="0" applyFont="1" applyFill="1" applyBorder="1"/>
    <xf numFmtId="0" fontId="1" fillId="0" borderId="6" xfId="0" applyFont="1" applyBorder="1" applyAlignment="1"/>
    <xf numFmtId="0" fontId="6" fillId="5" borderId="0" xfId="0" applyFont="1" applyFill="1"/>
    <xf numFmtId="0" fontId="1" fillId="0" borderId="7" xfId="0" applyFont="1" applyBorder="1" applyAlignment="1"/>
    <xf numFmtId="0" fontId="1" fillId="0" borderId="0" xfId="0" applyFont="1" applyAlignment="1"/>
    <xf numFmtId="0" fontId="3" fillId="0" borderId="0" xfId="0" applyFont="1" applyAlignment="1"/>
    <xf numFmtId="2" fontId="1" fillId="0" borderId="0" xfId="0" applyNumberFormat="1" applyFont="1"/>
    <xf numFmtId="49" fontId="3" fillId="0" borderId="0" xfId="0" applyNumberFormat="1" applyFont="1"/>
    <xf numFmtId="2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 applyAlignme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4" fontId="3" fillId="0" borderId="0" xfId="0" applyNumberFormat="1" applyFont="1"/>
    <xf numFmtId="2" fontId="3" fillId="0" borderId="0" xfId="0" applyNumberFormat="1" applyFont="1"/>
    <xf numFmtId="0" fontId="1" fillId="7" borderId="0" xfId="0" applyFont="1" applyFill="1" applyAlignment="1"/>
    <xf numFmtId="2" fontId="3" fillId="7" borderId="0" xfId="0" applyNumberFormat="1" applyFont="1" applyFill="1"/>
    <xf numFmtId="0" fontId="3" fillId="7" borderId="0" xfId="0" applyFont="1" applyFill="1" applyAlignment="1"/>
    <xf numFmtId="10" fontId="3" fillId="7" borderId="0" xfId="0" applyNumberFormat="1" applyFont="1" applyFill="1" applyAlignment="1"/>
    <xf numFmtId="164" fontId="3" fillId="7" borderId="0" xfId="0" applyNumberFormat="1" applyFont="1" applyFill="1" applyAlignment="1"/>
    <xf numFmtId="0" fontId="3" fillId="7" borderId="0" xfId="0" applyFont="1" applyFill="1"/>
    <xf numFmtId="4" fontId="3" fillId="7" borderId="0" xfId="0" applyNumberFormat="1" applyFont="1" applyFill="1"/>
    <xf numFmtId="0" fontId="3" fillId="7" borderId="0" xfId="0" applyFont="1" applyFill="1" applyAlignment="1">
      <alignment horizontal="right"/>
    </xf>
    <xf numFmtId="164" fontId="3" fillId="7" borderId="0" xfId="0" applyNumberFormat="1" applyFont="1" applyFill="1"/>
    <xf numFmtId="0" fontId="1" fillId="8" borderId="0" xfId="0" applyFont="1" applyFill="1" applyAlignment="1"/>
    <xf numFmtId="2" fontId="3" fillId="8" borderId="0" xfId="0" applyNumberFormat="1" applyFont="1" applyFill="1"/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10" fontId="3" fillId="8" borderId="0" xfId="0" applyNumberFormat="1" applyFont="1" applyFill="1" applyAlignment="1"/>
    <xf numFmtId="164" fontId="3" fillId="8" borderId="0" xfId="0" applyNumberFormat="1" applyFont="1" applyFill="1" applyAlignment="1"/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4" fontId="3" fillId="8" borderId="0" xfId="0" applyNumberFormat="1" applyFont="1" applyFill="1" applyAlignment="1"/>
    <xf numFmtId="0" fontId="3" fillId="8" borderId="0" xfId="0" applyFont="1" applyFill="1" applyAlignment="1"/>
    <xf numFmtId="0" fontId="3" fillId="8" borderId="8" xfId="0" applyFont="1" applyFill="1" applyBorder="1" applyAlignment="1"/>
    <xf numFmtId="0" fontId="3" fillId="8" borderId="8" xfId="0" applyFont="1" applyFill="1" applyBorder="1" applyAlignment="1"/>
    <xf numFmtId="0" fontId="3" fillId="8" borderId="0" xfId="0" applyFont="1" applyFill="1" applyAlignment="1"/>
    <xf numFmtId="0" fontId="3" fillId="8" borderId="0" xfId="0" applyFont="1" applyFill="1"/>
    <xf numFmtId="4" fontId="3" fillId="8" borderId="0" xfId="0" applyNumberFormat="1" applyFont="1" applyFill="1"/>
    <xf numFmtId="0" fontId="3" fillId="7" borderId="8" xfId="0" applyFont="1" applyFill="1" applyBorder="1" applyAlignment="1"/>
    <xf numFmtId="0" fontId="3" fillId="8" borderId="0" xfId="0" applyFont="1" applyFill="1" applyAlignment="1">
      <alignment horizontal="right"/>
    </xf>
    <xf numFmtId="164" fontId="3" fillId="8" borderId="0" xfId="0" applyNumberFormat="1" applyFont="1" applyFill="1" applyAlignment="1"/>
    <xf numFmtId="0" fontId="1" fillId="7" borderId="0" xfId="0" applyFont="1" applyFill="1"/>
    <xf numFmtId="2" fontId="3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9" fontId="1" fillId="0" borderId="0" xfId="0" applyNumberFormat="1" applyFont="1"/>
    <xf numFmtId="170" fontId="7" fillId="5" borderId="0" xfId="0" applyNumberFormat="1" applyFont="1" applyFill="1" applyAlignment="1">
      <alignment horizontal="left"/>
    </xf>
    <xf numFmtId="10" fontId="8" fillId="5" borderId="0" xfId="0" applyNumberFormat="1" applyFont="1" applyFill="1"/>
    <xf numFmtId="164" fontId="1" fillId="0" borderId="0" xfId="0" applyNumberFormat="1" applyFont="1"/>
    <xf numFmtId="168" fontId="1" fillId="0" borderId="0" xfId="0" applyNumberFormat="1" applyFont="1"/>
    <xf numFmtId="0" fontId="9" fillId="5" borderId="0" xfId="0" applyFont="1" applyFill="1" applyAlignment="1"/>
    <xf numFmtId="4" fontId="1" fillId="0" borderId="0" xfId="0" applyNumberFormat="1" applyFont="1" applyAlignment="1"/>
    <xf numFmtId="0" fontId="10" fillId="5" borderId="0" xfId="0" applyFont="1" applyFill="1"/>
    <xf numFmtId="11" fontId="1" fillId="0" borderId="0" xfId="0" applyNumberFormat="1" applyFont="1" applyAlignment="1"/>
    <xf numFmtId="4" fontId="11" fillId="5" borderId="0" xfId="0" applyNumberFormat="1" applyFont="1" applyFill="1"/>
    <xf numFmtId="0" fontId="12" fillId="5" borderId="0" xfId="0" applyFont="1" applyFill="1" applyAlignment="1"/>
    <xf numFmtId="0" fontId="13" fillId="5" borderId="0" xfId="0" applyFont="1" applyFill="1" applyAlignment="1"/>
    <xf numFmtId="0" fontId="3" fillId="9" borderId="9" xfId="0" applyFont="1" applyFill="1" applyBorder="1" applyAlignment="1"/>
    <xf numFmtId="0" fontId="1" fillId="9" borderId="9" xfId="0" applyFont="1" applyFill="1" applyBorder="1" applyAlignment="1"/>
    <xf numFmtId="0" fontId="3" fillId="7" borderId="9" xfId="0" applyFont="1" applyFill="1" applyBorder="1" applyAlignment="1"/>
    <xf numFmtId="4" fontId="1" fillId="7" borderId="9" xfId="0" applyNumberFormat="1" applyFont="1" applyFill="1" applyBorder="1"/>
    <xf numFmtId="0" fontId="3" fillId="0" borderId="0" xfId="0" applyFont="1" applyAlignment="1"/>
    <xf numFmtId="0" fontId="3" fillId="7" borderId="9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" fillId="7" borderId="0" xfId="0" applyFont="1" applyFill="1" applyAlignment="1"/>
    <xf numFmtId="0" fontId="0" fillId="0" borderId="0" xfId="0" applyFont="1" applyAlignment="1"/>
    <xf numFmtId="0" fontId="16" fillId="0" borderId="10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168" fontId="0" fillId="0" borderId="0" xfId="0" applyNumberFormat="1" applyFont="1" applyAlignment="1"/>
    <xf numFmtId="168" fontId="0" fillId="0" borderId="10" xfId="0" applyNumberFormat="1" applyFont="1" applyBorder="1" applyAlignment="1">
      <alignment horizontal="center" vertical="center"/>
    </xf>
    <xf numFmtId="0" fontId="1" fillId="8" borderId="8" xfId="0" applyFont="1" applyFill="1" applyBorder="1" applyAlignment="1"/>
    <xf numFmtId="0" fontId="0" fillId="0" borderId="8" xfId="0" applyFont="1" applyFill="1" applyBorder="1" applyAlignment="1"/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7" fillId="0" borderId="10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168" fontId="0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168" fontId="0" fillId="0" borderId="10" xfId="0" applyNumberFormat="1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168" fontId="0" fillId="0" borderId="25" xfId="0" applyNumberFormat="1" applyFont="1" applyFill="1" applyBorder="1" applyAlignment="1">
      <alignment horizontal="center" vertical="center"/>
    </xf>
    <xf numFmtId="168" fontId="7" fillId="0" borderId="23" xfId="0" applyNumberFormat="1" applyFont="1" applyFill="1" applyBorder="1" applyAlignment="1">
      <alignment vertical="center"/>
    </xf>
    <xf numFmtId="0" fontId="0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68" fontId="7" fillId="0" borderId="23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68" fontId="0" fillId="0" borderId="28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68" fontId="0" fillId="0" borderId="23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168" fontId="0" fillId="0" borderId="23" xfId="0" applyNumberFormat="1" applyFont="1" applyBorder="1" applyAlignment="1">
      <alignment horizontal="center" vertical="center"/>
    </xf>
    <xf numFmtId="0" fontId="7" fillId="0" borderId="23" xfId="0" quotePrefix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8" fillId="0" borderId="21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vertical="center" wrapText="1"/>
    </xf>
    <xf numFmtId="0" fontId="0" fillId="0" borderId="10" xfId="0" quotePrefix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5" xfId="0" quotePrefix="1" applyFont="1" applyFill="1" applyBorder="1" applyAlignment="1">
      <alignment horizontal="center" vertical="center"/>
    </xf>
    <xf numFmtId="0" fontId="0" fillId="11" borderId="23" xfId="0" quotePrefix="1" applyFont="1" applyFill="1" applyBorder="1" applyAlignment="1">
      <alignment horizontal="center" vertical="center"/>
    </xf>
    <xf numFmtId="0" fontId="0" fillId="11" borderId="15" xfId="0" quotePrefix="1" applyFont="1" applyFill="1" applyBorder="1" applyAlignment="1">
      <alignment horizontal="center" vertical="center"/>
    </xf>
    <xf numFmtId="0" fontId="0" fillId="11" borderId="10" xfId="0" quotePrefix="1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1" borderId="15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0" fillId="0" borderId="0" xfId="0" applyFont="1" applyFill="1" applyAlignment="1"/>
    <xf numFmtId="0" fontId="16" fillId="0" borderId="10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6" fillId="12" borderId="28" xfId="0" applyFont="1" applyFill="1" applyBorder="1" applyAlignment="1">
      <alignment horizontal="center" vertical="center"/>
    </xf>
    <xf numFmtId="0" fontId="15" fillId="12" borderId="28" xfId="0" applyFont="1" applyFill="1" applyBorder="1" applyAlignment="1">
      <alignment horizontal="center" vertical="center"/>
    </xf>
    <xf numFmtId="168" fontId="0" fillId="12" borderId="15" xfId="0" applyNumberFormat="1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168" fontId="0" fillId="12" borderId="10" xfId="0" applyNumberFormat="1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/>
    </xf>
    <xf numFmtId="0" fontId="0" fillId="12" borderId="10" xfId="0" quotePrefix="1" applyFont="1" applyFill="1" applyBorder="1" applyAlignment="1">
      <alignment horizontal="center" vertical="center"/>
    </xf>
    <xf numFmtId="0" fontId="16" fillId="12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168" fontId="0" fillId="12" borderId="23" xfId="0" applyNumberFormat="1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2" borderId="23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6" fillId="12" borderId="27" xfId="0" applyFont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center" vertical="center"/>
    </xf>
    <xf numFmtId="0" fontId="16" fillId="12" borderId="24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12" borderId="27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0" fillId="12" borderId="24" xfId="0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wrapText="1"/>
    </xf>
    <xf numFmtId="0" fontId="18" fillId="0" borderId="1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5" xfId="0" applyFont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0" xfId="0" quotePrefix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168" fontId="0" fillId="12" borderId="28" xfId="0" applyNumberFormat="1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15" xfId="0" quotePrefix="1" applyFont="1" applyFill="1" applyBorder="1" applyAlignment="1">
      <alignment horizontal="center" vertical="center"/>
    </xf>
    <xf numFmtId="0" fontId="16" fillId="12" borderId="19" xfId="0" applyFont="1" applyFill="1" applyBorder="1" applyAlignment="1">
      <alignment horizontal="center" vertical="center"/>
    </xf>
    <xf numFmtId="0" fontId="0" fillId="12" borderId="19" xfId="0" applyFont="1" applyFill="1" applyBorder="1" applyAlignment="1">
      <alignment horizontal="center" vertical="center"/>
    </xf>
    <xf numFmtId="0" fontId="0" fillId="12" borderId="23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5" defaultTableStyle="TableStyleMedium2" defaultPivotStyle="PivotStyleLight16">
    <tableStyle name="Sheet1-style" pivot="0" count="3">
      <tableStyleElement type="headerRow" dxfId="14"/>
      <tableStyleElement type="firstRowStripe" dxfId="13"/>
      <tableStyleElement type="secondRowStripe" dxfId="12"/>
    </tableStyle>
    <tableStyle name="Sheet1-style 2" pivot="0" count="3">
      <tableStyleElement type="headerRow" dxfId="11"/>
      <tableStyleElement type="firstRowStripe" dxfId="10"/>
      <tableStyleElement type="secondRowStripe" dxfId="9"/>
    </tableStyle>
    <tableStyle name="Sheet1-style 3" pivot="0" count="3">
      <tableStyleElement type="headerRow" dxfId="8"/>
      <tableStyleElement type="firstRowStripe" dxfId="7"/>
      <tableStyleElement type="secondRowStripe" dxfId="6"/>
    </tableStyle>
    <tableStyle name="Sheet1-style 4" pivot="0" count="3">
      <tableStyleElement type="headerRow" dxfId="5"/>
      <tableStyleElement type="firstRowStripe" dxfId="4"/>
      <tableStyleElement type="secondRowStripe" dxfId="3"/>
    </tableStyle>
    <tableStyle name="Sheet1-style 5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544285</xdr:colOff>
      <xdr:row>81</xdr:row>
      <xdr:rowOff>122464</xdr:rowOff>
    </xdr:from>
    <xdr:to>
      <xdr:col>9</xdr:col>
      <xdr:colOff>534742</xdr:colOff>
      <xdr:row>93</xdr:row>
      <xdr:rowOff>90614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6EF19A2F-5959-469E-B1D7-C52743AA7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606" y="15729857"/>
          <a:ext cx="5936779" cy="1927579"/>
        </a:xfrm>
        <a:prstGeom prst="rect">
          <a:avLst/>
        </a:prstGeom>
      </xdr:spPr>
    </xdr:pic>
    <xdr:clientData/>
  </xdr:twoCellAnchor>
  <xdr:twoCellAnchor editAs="oneCell">
    <xdr:from>
      <xdr:col>4</xdr:col>
      <xdr:colOff>231323</xdr:colOff>
      <xdr:row>99</xdr:row>
      <xdr:rowOff>108857</xdr:rowOff>
    </xdr:from>
    <xdr:to>
      <xdr:col>10</xdr:col>
      <xdr:colOff>702223</xdr:colOff>
      <xdr:row>120</xdr:row>
      <xdr:rowOff>7925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5D9D71E1-6770-4CCA-96AE-D4406234A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4894" y="18655393"/>
          <a:ext cx="4389757" cy="332806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121</xdr:row>
      <xdr:rowOff>81644</xdr:rowOff>
    </xdr:from>
    <xdr:to>
      <xdr:col>11</xdr:col>
      <xdr:colOff>473471</xdr:colOff>
      <xdr:row>136</xdr:row>
      <xdr:rowOff>137936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xmlns="" id="{A40735A5-2588-4B04-8F4E-B24429DC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22220465"/>
          <a:ext cx="5589757" cy="2505577"/>
        </a:xfrm>
        <a:prstGeom prst="rect">
          <a:avLst/>
        </a:prstGeom>
      </xdr:spPr>
    </xdr:pic>
    <xdr:clientData/>
  </xdr:twoCellAnchor>
  <xdr:twoCellAnchor editAs="oneCell">
    <xdr:from>
      <xdr:col>2</xdr:col>
      <xdr:colOff>17610</xdr:colOff>
      <xdr:row>93</xdr:row>
      <xdr:rowOff>148879</xdr:rowOff>
    </xdr:from>
    <xdr:to>
      <xdr:col>9</xdr:col>
      <xdr:colOff>362801</xdr:colOff>
      <xdr:row>98</xdr:row>
      <xdr:rowOff>135896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9899968A-4C53-4033-B77C-90DEE25CA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8324" y="17715700"/>
          <a:ext cx="5543120" cy="803445"/>
        </a:xfrm>
        <a:prstGeom prst="rect">
          <a:avLst/>
        </a:prstGeom>
      </xdr:spPr>
    </xdr:pic>
    <xdr:clientData/>
  </xdr:twoCellAnchor>
  <xdr:twoCellAnchor editAs="oneCell">
    <xdr:from>
      <xdr:col>0</xdr:col>
      <xdr:colOff>557892</xdr:colOff>
      <xdr:row>105</xdr:row>
      <xdr:rowOff>129268</xdr:rowOff>
    </xdr:from>
    <xdr:to>
      <xdr:col>1</xdr:col>
      <xdr:colOff>640090</xdr:colOff>
      <xdr:row>136</xdr:row>
      <xdr:rowOff>109594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7F407796-EB68-4B70-B78F-C481B4DBB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892" y="19655518"/>
          <a:ext cx="694519" cy="5042183"/>
        </a:xfrm>
        <a:prstGeom prst="rect">
          <a:avLst/>
        </a:prstGeom>
      </xdr:spPr>
    </xdr:pic>
    <xdr:clientData/>
  </xdr:twoCellAnchor>
  <xdr:twoCellAnchor editAs="oneCell">
    <xdr:from>
      <xdr:col>2</xdr:col>
      <xdr:colOff>50347</xdr:colOff>
      <xdr:row>106</xdr:row>
      <xdr:rowOff>127906</xdr:rowOff>
    </xdr:from>
    <xdr:to>
      <xdr:col>2</xdr:col>
      <xdr:colOff>655388</xdr:colOff>
      <xdr:row>134</xdr:row>
      <xdr:rowOff>146386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4646EBE4-0245-467C-9808-FF083761C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1061" y="19817442"/>
          <a:ext cx="605041" cy="4590480"/>
        </a:xfrm>
        <a:prstGeom prst="rect">
          <a:avLst/>
        </a:prstGeom>
      </xdr:spPr>
    </xdr:pic>
    <xdr:clientData/>
  </xdr:twoCellAnchor>
  <xdr:twoCellAnchor editAs="oneCell">
    <xdr:from>
      <xdr:col>12</xdr:col>
      <xdr:colOff>707571</xdr:colOff>
      <xdr:row>85</xdr:row>
      <xdr:rowOff>13880</xdr:rowOff>
    </xdr:from>
    <xdr:to>
      <xdr:col>21</xdr:col>
      <xdr:colOff>884463</xdr:colOff>
      <xdr:row>124</xdr:row>
      <xdr:rowOff>35396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xmlns="" id="{24243E28-6427-4C7D-A09A-CA7271531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2357" y="16274416"/>
          <a:ext cx="8300356" cy="6389660"/>
        </a:xfrm>
        <a:prstGeom prst="rect">
          <a:avLst/>
        </a:prstGeom>
      </xdr:spPr>
    </xdr:pic>
    <xdr:clientData/>
  </xdr:twoCellAnchor>
  <xdr:twoCellAnchor editAs="oneCell">
    <xdr:from>
      <xdr:col>1</xdr:col>
      <xdr:colOff>462643</xdr:colOff>
      <xdr:row>55</xdr:row>
      <xdr:rowOff>163285</xdr:rowOff>
    </xdr:from>
    <xdr:to>
      <xdr:col>11</xdr:col>
      <xdr:colOff>694006</xdr:colOff>
      <xdr:row>79</xdr:row>
      <xdr:rowOff>68036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2F578C89-4714-4CAC-8950-5751E5849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4964" y="11525249"/>
          <a:ext cx="7701685" cy="39868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C16:P26">
  <tableColumns count="14">
    <tableColumn id="1" name="Subestação"/>
    <tableColumn id="2" name="Tensão linha (V)"/>
    <tableColumn id="3" name="F.P. Ñ Corrigido"/>
    <tableColumn id="4" name="Corrente (A)"/>
    <tableColumn id="5" name="Z (Ohm/km)"/>
    <tableColumn id="6" name="Distância (m)"/>
    <tableColumn id="7" name="Z (ohms)"/>
    <tableColumn id="8" name="Impedância (PU)"/>
    <tableColumn id="9" name="Cap. Cabo(A)"/>
    <tableColumn id="10" name="Seção (mm²)"/>
    <tableColumn id="11" name="Seção Mín (mm²)"/>
    <tableColumn id="12" name="Queda V(%)"/>
    <tableColumn id="13" name="Cabo"/>
    <tableColumn id="14" name="Maneira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Q16:Q20">
  <tableColumns count="1">
    <tableColumn id="1" name="Chave fusível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N28:T32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C28:M33">
  <tableColumns count="11">
    <tableColumn id="1" name="Subestação"/>
    <tableColumn id="2" name="Potência (VA)"/>
    <tableColumn id="3" name="Impedância(Ohm)"/>
    <tableColumn id="4" name="Perdas Vazio (W)"/>
    <tableColumn id="5" name="Perdas Totais (W)"/>
    <tableColumn id="6" name="Perdas Cobre (W)"/>
    <tableColumn id="7" name="Resistência(pu)"/>
    <tableColumn id="8" name="Reatância(pu)"/>
    <tableColumn id="9" name="Rpu"/>
    <tableColumn id="10" name="Xpu"/>
    <tableColumn id="11" name="Impedância (pu)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B72:F92">
  <tableColumns count="5">
    <tableColumn id="1" name="Localização"/>
    <tableColumn id="2" name="In"/>
    <tableColumn id="3" name="Tipo"/>
    <tableColumn id="4" name="Modelo"/>
    <tableColumn id="5" name="Fabricante"/>
  </tableColumns>
  <tableStyleInfo name="Sheet1-style 5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2"/>
  <sheetViews>
    <sheetView topLeftCell="C1" zoomScale="70" zoomScaleNormal="70" workbookViewId="0">
      <selection activeCell="N17" sqref="N17"/>
    </sheetView>
  </sheetViews>
  <sheetFormatPr defaultColWidth="14.42578125" defaultRowHeight="15.75" customHeight="1"/>
  <cols>
    <col min="1" max="2" width="12.140625" customWidth="1"/>
    <col min="3" max="3" width="13.7109375" customWidth="1"/>
    <col min="4" max="4" width="27.5703125" bestFit="1" customWidth="1"/>
    <col min="13" max="13" width="14.85546875" customWidth="1"/>
    <col min="15" max="15" width="15.7109375" customWidth="1"/>
    <col min="16" max="16" width="15.5703125" customWidth="1"/>
  </cols>
  <sheetData>
    <row r="1" spans="1:22" ht="15.75" customHeight="1">
      <c r="A1" s="1"/>
      <c r="B1" s="1" t="s">
        <v>0</v>
      </c>
      <c r="C1" s="2" t="e">
        <f>COMPLEX(ROUND(IMREAL(B1),3),ROUND(IMAGINARY(B1),3))</f>
        <v>#NUM!</v>
      </c>
      <c r="E1" s="1"/>
      <c r="F1" s="1"/>
      <c r="I1" s="204" t="s">
        <v>1</v>
      </c>
      <c r="J1" s="205"/>
      <c r="L1" s="1"/>
      <c r="O1" s="204" t="s">
        <v>1</v>
      </c>
      <c r="P1" s="205"/>
      <c r="Q1" s="1"/>
      <c r="U1" s="1" t="s">
        <v>2</v>
      </c>
    </row>
    <row r="2" spans="1:22" ht="15.75" customHeight="1">
      <c r="A2" s="3"/>
      <c r="B2" s="3"/>
      <c r="C2" s="3"/>
      <c r="D2" s="3"/>
      <c r="E2" s="3"/>
      <c r="F2" s="3"/>
      <c r="G2" s="3"/>
      <c r="H2" s="4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6" t="s">
        <v>9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U2" s="1" t="s">
        <v>10</v>
      </c>
      <c r="V2">
        <f>K3/20</f>
        <v>100.14435784724475</v>
      </c>
    </row>
    <row r="3" spans="1:22" ht="15.75" customHeight="1">
      <c r="A3" s="3"/>
      <c r="B3" s="3"/>
      <c r="C3" s="5" t="s">
        <v>11</v>
      </c>
      <c r="D3" s="7">
        <v>100000000</v>
      </c>
      <c r="E3" s="5" t="s">
        <v>11</v>
      </c>
      <c r="F3" s="7">
        <v>100000000</v>
      </c>
      <c r="G3" s="3"/>
      <c r="H3" s="8" t="s">
        <v>12</v>
      </c>
      <c r="I3" s="9" t="str">
        <f>COMPLEX(0.733,1.956)</f>
        <v>0,733+1,956i</v>
      </c>
      <c r="J3" s="10" t="s">
        <v>13</v>
      </c>
      <c r="K3" s="11">
        <f>D5*IMABS(IMDIV(1,I3))</f>
        <v>2002.887156944895</v>
      </c>
      <c r="L3" s="12">
        <f>D5*IMABS(IMDIV(1,IMPRODUCT(I3,2)))</f>
        <v>1001.4435784724456</v>
      </c>
      <c r="M3" s="13">
        <f>IMABS(IMDIV(1,IMSUM(I3,I3,J3)))*3*D5</f>
        <v>0.26147602056264757</v>
      </c>
      <c r="N3" s="14" t="s">
        <v>14</v>
      </c>
      <c r="O3" s="15" t="e">
        <f>IMSUM(I8,O37)</f>
        <v>#NUM!</v>
      </c>
      <c r="P3" s="16" t="e">
        <f>IMSUM(J8,O37)</f>
        <v>#NUM!</v>
      </c>
      <c r="Q3" s="17" t="e">
        <f>F9*IMABS(IMDIV(1,O3))</f>
        <v>#NUM!</v>
      </c>
      <c r="R3" s="18" t="e">
        <f>F9*IMABS(IMDIV(1,IMPRODUCT(O3,2)))</f>
        <v>#NUM!</v>
      </c>
      <c r="S3" s="19" t="e">
        <f>IMABS(IMDIV(1,IMSUM(O3,O3,P3)))*3*F9</f>
        <v>#NUM!</v>
      </c>
      <c r="U3" s="1" t="s">
        <v>15</v>
      </c>
      <c r="V3" s="1" t="s">
        <v>16</v>
      </c>
    </row>
    <row r="4" spans="1:22" ht="15.75" customHeight="1">
      <c r="A4" s="3"/>
      <c r="B4" s="3"/>
      <c r="C4" s="5" t="s">
        <v>17</v>
      </c>
      <c r="D4" s="7">
        <v>13800</v>
      </c>
      <c r="E4" s="5" t="s">
        <v>18</v>
      </c>
      <c r="F4" s="7">
        <v>380</v>
      </c>
      <c r="G4" s="3"/>
      <c r="H4" s="20" t="s">
        <v>19</v>
      </c>
      <c r="I4" s="21" t="e">
        <f>COMPLEX(ROUND(IMREAL(IMSUM(J17,I3)),3),ROUND(IMAGINARY(IMSUM(J17,I3)),3))</f>
        <v>#NUM!</v>
      </c>
      <c r="J4" s="22" t="e">
        <f>COMPLEX(ROUND(IMREAL(IMSUM(J17,J3)),3),ROUND(IMAGINARY(IMSUM(J17,J3)),3))</f>
        <v>#NUM!</v>
      </c>
      <c r="K4" s="19" t="e">
        <f>D5*IMABS(IMDIV(1,I4))</f>
        <v>#NUM!</v>
      </c>
      <c r="L4" s="18" t="e">
        <f>D5*IMABS(IMDIV(1,IMPRODUCT(I4,2)))</f>
        <v>#NUM!</v>
      </c>
      <c r="M4" s="23" t="e">
        <f>IMABS(IMDIV(1,IMSUM(I4,I4,J4)))*3*D5</f>
        <v>#NUM!</v>
      </c>
      <c r="N4" s="24" t="s">
        <v>20</v>
      </c>
      <c r="O4" s="25" t="e">
        <f>IMSUM(I8,O38)</f>
        <v>#NUM!</v>
      </c>
      <c r="P4" s="26" t="e">
        <f>IMSUM(J8,O38)</f>
        <v>#NUM!</v>
      </c>
      <c r="Q4" s="27" t="e">
        <f>F9*IMABS(IMDIV(1,O4))</f>
        <v>#NUM!</v>
      </c>
      <c r="R4" s="12" t="e">
        <f>F9*IMABS(IMDIV(1,IMPRODUCT(O4,2)))</f>
        <v>#NUM!</v>
      </c>
      <c r="S4" s="11" t="e">
        <f>IMABS(IMDIV(1,IMSUM(O4,O4,P4)))*3*F9</f>
        <v>#NUM!</v>
      </c>
    </row>
    <row r="5" spans="1:22" ht="15.75" customHeight="1">
      <c r="A5" s="3"/>
      <c r="B5" s="3"/>
      <c r="C5" s="5" t="s">
        <v>21</v>
      </c>
      <c r="D5" s="28">
        <f>D3/(SQRT(3)*D4)</f>
        <v>4183.6976028233748</v>
      </c>
      <c r="E5" s="5" t="s">
        <v>22</v>
      </c>
      <c r="F5" s="28">
        <f>F3/(SQRT(3)*F4)</f>
        <v>151934.28136569101</v>
      </c>
      <c r="G5" s="3"/>
      <c r="H5" s="20" t="s">
        <v>23</v>
      </c>
      <c r="I5" s="21" t="e">
        <f>COMPLEX(ROUND(IMREAL(IMSUM(J18,I3)),3),ROUND(IMAGINARY(IMSUM(J18,I3)),3))</f>
        <v>#NUM!</v>
      </c>
      <c r="J5" s="22" t="e">
        <f>COMPLEX(ROUND(IMREAL(IMSUM(J18,J3)),3),ROUND(IMAGINARY(IMSUM(J18,J3)),3))</f>
        <v>#NUM!</v>
      </c>
      <c r="K5" s="19" t="e">
        <f>D5*IMABS(IMDIV(1,I5))</f>
        <v>#NUM!</v>
      </c>
      <c r="L5" s="18" t="e">
        <f>D5*IMABS(IMDIV(1,IMPRODUCT(I5,2)))</f>
        <v>#NUM!</v>
      </c>
      <c r="M5" s="23" t="e">
        <f>IMABS(IMDIV(1,IMSUM(I5,I5,J5)))*3*D5</f>
        <v>#NUM!</v>
      </c>
      <c r="N5" s="14" t="s">
        <v>24</v>
      </c>
      <c r="O5" s="15" t="e">
        <f>IMSUM(I9,O39)</f>
        <v>#NUM!</v>
      </c>
      <c r="P5" s="16" t="e">
        <f>IMSUM(J9,O39)</f>
        <v>#NUM!</v>
      </c>
      <c r="Q5" s="17" t="e">
        <f>F9*IMABS(IMDIV(1,O5))</f>
        <v>#NUM!</v>
      </c>
      <c r="R5" s="18" t="e">
        <f>F9*IMABS(IMDIV(1,IMPRODUCT(O5,2)))</f>
        <v>#NUM!</v>
      </c>
      <c r="S5" s="19" t="e">
        <f>IMABS(IMDIV(1,IMSUM(O5,O5,P5)))*3*F9</f>
        <v>#NUM!</v>
      </c>
    </row>
    <row r="6" spans="1:22" ht="15.75" customHeight="1">
      <c r="A6" s="3"/>
      <c r="B6" s="3"/>
      <c r="C6" s="5" t="s">
        <v>25</v>
      </c>
      <c r="D6" s="3">
        <f>D4^2/D3</f>
        <v>1.9044000000000001</v>
      </c>
      <c r="E6" s="5" t="s">
        <v>26</v>
      </c>
      <c r="F6" s="3">
        <f>F4^2/F3</f>
        <v>1.444E-3</v>
      </c>
      <c r="G6" s="3"/>
      <c r="H6" s="20" t="s">
        <v>27</v>
      </c>
      <c r="I6" s="21" t="e">
        <f>COMPLEX(ROUND(IMREAL(IMSUM(J19,I3)),3),ROUND(IMAGINARY(IMSUM(J19,I3)),3))</f>
        <v>#NUM!</v>
      </c>
      <c r="J6" s="22" t="e">
        <f>COMPLEX(ROUND(IMREAL(IMSUM(J19,J3)),3),ROUND(IMAGINARY(IMSUM(J19,J3)),3))</f>
        <v>#NUM!</v>
      </c>
      <c r="K6" s="19" t="e">
        <f>D5*IMABS(IMDIV(1,I6))</f>
        <v>#NUM!</v>
      </c>
      <c r="L6" s="18" t="e">
        <f>D5*IMABS(IMDIV(1,IMPRODUCT(I6,2)))</f>
        <v>#NUM!</v>
      </c>
      <c r="M6" s="23" t="e">
        <f>IMABS(IMDIV(1,IMSUM(I6,I6,J6)))*3*D5</f>
        <v>#NUM!</v>
      </c>
      <c r="N6" s="14" t="s">
        <v>28</v>
      </c>
      <c r="O6" s="15" t="e">
        <f>IMSUM(I9,O40)</f>
        <v>#NUM!</v>
      </c>
      <c r="P6" s="16" t="e">
        <f>IMSUM(J9,O40)</f>
        <v>#NUM!</v>
      </c>
      <c r="Q6" s="17" t="e">
        <f>F9*IMABS(IMDIV(1,O6))</f>
        <v>#NUM!</v>
      </c>
      <c r="R6" s="18" t="e">
        <f>F9*IMABS(IMDIV(1,IMPRODUCT(O6,2)))</f>
        <v>#NUM!</v>
      </c>
      <c r="S6" s="19" t="e">
        <f>IMABS(IMDIV(1,IMSUM(O6,O6,P6)))*3*F9</f>
        <v>#NUM!</v>
      </c>
    </row>
    <row r="7" spans="1:22" ht="15.75" customHeight="1">
      <c r="A7" s="3"/>
      <c r="B7" s="3"/>
      <c r="C7" s="5" t="s">
        <v>29</v>
      </c>
      <c r="D7" s="5">
        <v>90</v>
      </c>
      <c r="E7" s="5" t="s">
        <v>11</v>
      </c>
      <c r="F7" s="7">
        <v>100000000</v>
      </c>
      <c r="G7" s="3"/>
      <c r="H7" s="8" t="s">
        <v>30</v>
      </c>
      <c r="I7" s="9" t="e">
        <f>COMPLEX(ROUND(IMREAL(IMSUM(J20,I3)),3),ROUND(IMAGINARY(IMSUM(J20,I3)),3))</f>
        <v>#NUM!</v>
      </c>
      <c r="J7" s="10" t="e">
        <f>COMPLEX(ROUND(IMREAL(IMSUM(J20,J3)),3),ROUND(IMAGINARY(IMSUM(J20,J3)),3))</f>
        <v>#NUM!</v>
      </c>
      <c r="K7" s="11" t="e">
        <f>D5*IMABS(IMDIV(1,I7))</f>
        <v>#NUM!</v>
      </c>
      <c r="L7" s="12" t="e">
        <f>D5*IMABS(IMDIV(1,IMPRODUCT(I7,2)))</f>
        <v>#NUM!</v>
      </c>
      <c r="M7" s="13" t="e">
        <f>IMABS(IMDIV(1,IMSUM(I7,I7,J7)))*3*D5</f>
        <v>#NUM!</v>
      </c>
      <c r="N7" s="14" t="s">
        <v>31</v>
      </c>
      <c r="O7" s="15" t="e">
        <f>IMSUM(I9,O41)</f>
        <v>#NUM!</v>
      </c>
      <c r="P7" s="16" t="e">
        <f>IMSUM(J9,O41)</f>
        <v>#NUM!</v>
      </c>
      <c r="Q7" s="17" t="e">
        <f>F9*IMABS(IMDIV(1,O7))</f>
        <v>#NUM!</v>
      </c>
      <c r="R7" s="18" t="e">
        <f>F9*IMABS(IMDIV(1,IMPRODUCT(O7,2)))</f>
        <v>#NUM!</v>
      </c>
      <c r="S7" s="19" t="e">
        <f>IMABS(IMDIV(1,IMSUM(O7,O7,P7)))*3*F9</f>
        <v>#NUM!</v>
      </c>
    </row>
    <row r="8" spans="1:22" ht="15.75" customHeight="1">
      <c r="A8" s="3"/>
      <c r="B8" s="3"/>
      <c r="C8" s="5" t="s">
        <v>32</v>
      </c>
      <c r="D8" s="5">
        <v>250</v>
      </c>
      <c r="E8" s="5" t="s">
        <v>33</v>
      </c>
      <c r="F8" s="7">
        <v>220</v>
      </c>
      <c r="G8" s="3"/>
      <c r="H8" s="20" t="s">
        <v>34</v>
      </c>
      <c r="I8" s="16" t="e">
        <f>IMSUM(I4,M29)</f>
        <v>#NUM!</v>
      </c>
      <c r="J8" s="29" t="str">
        <f>M29</f>
        <v>5,156+19,324i</v>
      </c>
      <c r="K8" s="19" t="e">
        <f>D5*IMABS(IMDIV(1,I8))</f>
        <v>#NUM!</v>
      </c>
      <c r="L8" s="18" t="e">
        <f>D5*IMABS(IMDIV(1,IMPRODUCT(I8,2)))</f>
        <v>#NUM!</v>
      </c>
      <c r="M8" s="23" t="e">
        <f>IMABS(IMDIV(1,IMSUM(I8,I8,J8)))*3*D5</f>
        <v>#NUM!</v>
      </c>
      <c r="N8" s="24" t="s">
        <v>35</v>
      </c>
      <c r="O8" s="25" t="e">
        <f>IMSUM(I9,O42)</f>
        <v>#NUM!</v>
      </c>
      <c r="P8" s="26" t="e">
        <f>IMSUM(J9,O42)</f>
        <v>#NUM!</v>
      </c>
      <c r="Q8" s="27" t="e">
        <f>F9*IMABS(IMDIV(1,O8))</f>
        <v>#NUM!</v>
      </c>
      <c r="R8" s="12" t="e">
        <f>F9*IMABS(IMDIV(1,IMPRODUCT(O8,2)))</f>
        <v>#NUM!</v>
      </c>
      <c r="S8" s="11" t="e">
        <f>IMABS(IMDIV(1,IMSUM(O8,O8,P8)))*3*F9</f>
        <v>#NUM!</v>
      </c>
    </row>
    <row r="9" spans="1:22" ht="15.75" customHeight="1">
      <c r="A9" s="3"/>
      <c r="B9" s="3"/>
      <c r="C9" s="1" t="s">
        <v>36</v>
      </c>
      <c r="D9" s="1">
        <v>160</v>
      </c>
      <c r="E9" s="5" t="s">
        <v>37</v>
      </c>
      <c r="F9" s="28">
        <f>F7/(SQRT(3)*F8)</f>
        <v>262431.94054073899</v>
      </c>
      <c r="G9" s="3"/>
      <c r="H9" s="20" t="s">
        <v>38</v>
      </c>
      <c r="I9" s="16" t="e">
        <f>IMSUM(I5,M30)</f>
        <v>#NUM!</v>
      </c>
      <c r="J9" s="29" t="str">
        <f>M30</f>
        <v>11,852+28,765i</v>
      </c>
      <c r="K9" s="19" t="e">
        <f>D5*IMABS(IMDIV(1,I9))</f>
        <v>#NUM!</v>
      </c>
      <c r="L9" s="18" t="e">
        <f>D5*IMABS(IMDIV(1,IMPRODUCT(I9,2)))</f>
        <v>#NUM!</v>
      </c>
      <c r="M9" s="23" t="e">
        <f>IMABS(IMDIV(1,IMSUM(I9,I9,J9)))*3*D5</f>
        <v>#NUM!</v>
      </c>
      <c r="N9" s="14" t="s">
        <v>39</v>
      </c>
      <c r="O9" s="15" t="e">
        <f>IMSUM(I10,O43)</f>
        <v>#NUM!</v>
      </c>
      <c r="P9" s="16" t="e">
        <f>IMSUM(J10,O43)</f>
        <v>#NUM!</v>
      </c>
      <c r="Q9" s="17" t="e">
        <f>F5*IMABS(IMDIV(1,O9))</f>
        <v>#NUM!</v>
      </c>
      <c r="R9" s="18" t="e">
        <f>F5*IMABS(IMDIV(1,IMPRODUCT(O9,2)))</f>
        <v>#NUM!</v>
      </c>
      <c r="S9" s="19" t="e">
        <f>IMABS(IMDIV(1,IMSUM(O9,O9,P9)))*3*F5</f>
        <v>#NUM!</v>
      </c>
    </row>
    <row r="10" spans="1:22" ht="15.75" customHeight="1">
      <c r="A10" s="3"/>
      <c r="B10" s="3"/>
      <c r="C10" s="1" t="s">
        <v>40</v>
      </c>
      <c r="D10" s="1">
        <v>70</v>
      </c>
      <c r="E10" s="5" t="s">
        <v>41</v>
      </c>
      <c r="F10" s="3">
        <f>F8^2/F7</f>
        <v>4.84E-4</v>
      </c>
      <c r="G10" s="3"/>
      <c r="H10" s="20" t="s">
        <v>42</v>
      </c>
      <c r="I10" s="16" t="e">
        <f>IMSUM(I6,M31)</f>
        <v>#NUM!</v>
      </c>
      <c r="J10" s="29" t="str">
        <f>M31</f>
        <v>1,55+4,754i</v>
      </c>
      <c r="K10" s="19" t="e">
        <f>D5*IMABS(IMDIV(1,I10))</f>
        <v>#NUM!</v>
      </c>
      <c r="L10" s="18" t="e">
        <f>D5*IMABS(IMDIV(1,IMPRODUCT(I10,2)))</f>
        <v>#NUM!</v>
      </c>
      <c r="M10" s="23" t="e">
        <f>IMABS(IMDIV(1,IMSUM(I10,I10,J10)))*3*D5</f>
        <v>#NUM!</v>
      </c>
      <c r="N10" s="24" t="s">
        <v>43</v>
      </c>
      <c r="O10" s="25" t="e">
        <f>IMSUM(I10,O44)</f>
        <v>#NUM!</v>
      </c>
      <c r="P10" s="26" t="e">
        <f>IMSUM(J10,O44)</f>
        <v>#NUM!</v>
      </c>
      <c r="Q10" s="27" t="e">
        <f>F5*IMABS(IMDIV(1,O10))</f>
        <v>#NUM!</v>
      </c>
      <c r="R10" s="12" t="e">
        <f>F5*IMABS(IMDIV(1,IMPRODUCT(O10,2)))</f>
        <v>#NUM!</v>
      </c>
      <c r="S10" s="11" t="e">
        <f>IMABS(IMDIV(1,IMSUM(O10,O10,P10)))*3*F5</f>
        <v>#NUM!</v>
      </c>
    </row>
    <row r="11" spans="1:22" ht="15.75" customHeight="1">
      <c r="A11" s="3"/>
      <c r="B11" s="3"/>
      <c r="C11" s="3"/>
      <c r="G11" s="3"/>
      <c r="H11" s="8" t="s">
        <v>44</v>
      </c>
      <c r="I11" s="26" t="e">
        <f>IMSUM(I7,M32)</f>
        <v>#NUM!</v>
      </c>
      <c r="J11" s="30" t="str">
        <f>M32</f>
        <v>0,733+2,909i</v>
      </c>
      <c r="K11" s="11" t="e">
        <f>D5*IMABS(IMDIV(1,I11))</f>
        <v>#NUM!</v>
      </c>
      <c r="L11" s="12" t="e">
        <f>D5*IMABS(IMDIV(1,IMPRODUCT(I11,2)))</f>
        <v>#NUM!</v>
      </c>
      <c r="M11" s="13" t="e">
        <f>IMABS(IMDIV(1,IMSUM(I11,I11,J11)))*3*D5</f>
        <v>#NUM!</v>
      </c>
      <c r="N11" s="14" t="s">
        <v>45</v>
      </c>
      <c r="O11" s="15" t="e">
        <f>IMSUM(I11,O45)</f>
        <v>#NUM!</v>
      </c>
      <c r="P11" s="16" t="e">
        <f>IMSUM(J11,O45)</f>
        <v>#NUM!</v>
      </c>
      <c r="Q11" s="17" t="e">
        <f>F5*IMABS(IMDIV(1,O11))</f>
        <v>#NUM!</v>
      </c>
      <c r="R11" s="18" t="e">
        <f>F5*IMABS(IMDIV(1,IMPRODUCT(O11,2)))</f>
        <v>#NUM!</v>
      </c>
      <c r="S11" s="19" t="e">
        <f>IMABS(IMDIV(1,IMSUM(O11,O11,P11)))*3*F5</f>
        <v>#NUM!</v>
      </c>
    </row>
    <row r="12" spans="1:22" ht="15.75" customHeight="1">
      <c r="A12" s="3"/>
      <c r="B12" s="3"/>
      <c r="C12" s="3"/>
      <c r="G12" s="3"/>
      <c r="H12" s="3"/>
      <c r="J12" s="3"/>
      <c r="K12" s="3"/>
      <c r="L12" s="3"/>
      <c r="M12" s="3"/>
      <c r="N12" s="31" t="s">
        <v>46</v>
      </c>
      <c r="O12" s="15" t="e">
        <f>IMSUM(I11,O46)</f>
        <v>#NUM!</v>
      </c>
      <c r="P12" s="16" t="e">
        <f>IMSUM(J11,O46)</f>
        <v>#NUM!</v>
      </c>
      <c r="Q12" s="17" t="e">
        <f>F5*IMABS(IMDIV(1,O12))</f>
        <v>#NUM!</v>
      </c>
      <c r="R12" s="18" t="e">
        <f>F5*IMABS(IMDIV(1,IMPRODUCT(O12,2)))</f>
        <v>#NUM!</v>
      </c>
      <c r="S12" s="19" t="e">
        <f>IMABS(IMDIV(1,IMSUM(O12,O12,P12)))*3*F5</f>
        <v>#NUM!</v>
      </c>
    </row>
    <row r="13" spans="1:22" ht="12.75">
      <c r="A13" s="3"/>
      <c r="B13" s="3"/>
      <c r="C13" s="3"/>
      <c r="D13" s="3"/>
      <c r="E13" s="3"/>
      <c r="F13" s="3"/>
      <c r="G13" s="3"/>
      <c r="H13" s="5" t="s">
        <v>47</v>
      </c>
      <c r="I13" s="5" t="s">
        <v>48</v>
      </c>
      <c r="J13" s="3"/>
      <c r="K13" s="3"/>
      <c r="L13" s="3"/>
      <c r="M13" s="3" t="e">
        <f>IMABS(IMDIV(1,IMSUM(I5,I5,J5,I13)))*3*D5</f>
        <v>#NUM!</v>
      </c>
      <c r="N13" s="31" t="s">
        <v>49</v>
      </c>
      <c r="O13" s="15" t="e">
        <f>IMSUM(I11,O47)</f>
        <v>#NUM!</v>
      </c>
      <c r="P13" s="16" t="e">
        <f>IMSUM(J11,O47)</f>
        <v>#NUM!</v>
      </c>
      <c r="Q13" s="17" t="e">
        <f>F5*IMABS(IMDIV(1,O13))</f>
        <v>#NUM!</v>
      </c>
      <c r="R13" s="18" t="e">
        <f>F5*IMABS(IMDIV(1,IMPRODUCT(O13,2)))</f>
        <v>#NUM!</v>
      </c>
      <c r="S13" s="19" t="e">
        <f>IMABS(IMDIV(1,IMSUM(O13,O13,P13)))*3*F5</f>
        <v>#NUM!</v>
      </c>
    </row>
    <row r="14" spans="1:22" ht="14.25">
      <c r="A14" s="3"/>
      <c r="B14" s="3"/>
      <c r="C14" s="3"/>
      <c r="D14" s="3"/>
      <c r="E14" s="3"/>
      <c r="F14" s="3"/>
      <c r="G14" s="3"/>
      <c r="H14" s="5" t="s">
        <v>50</v>
      </c>
      <c r="I14" s="5" t="s">
        <v>48</v>
      </c>
      <c r="J14" s="3"/>
      <c r="K14" s="3"/>
      <c r="L14" s="3"/>
      <c r="M14" s="32" t="e">
        <f>IMABS(IMDIV(1,IMSUM(I6,I6,J6,I14)))*3*D5</f>
        <v>#NUM!</v>
      </c>
      <c r="N14" s="33" t="s">
        <v>51</v>
      </c>
      <c r="O14" s="25" t="e">
        <f>IMSUM(I11,O48)</f>
        <v>#NUM!</v>
      </c>
      <c r="P14" s="26" t="e">
        <f>IMSUM(J11,O48)</f>
        <v>#NUM!</v>
      </c>
      <c r="Q14" s="27" t="e">
        <f>F5*IMABS(IMDIV(1,O14))</f>
        <v>#NUM!</v>
      </c>
      <c r="R14" s="12" t="e">
        <f>F5*IMABS(IMDIV(1,IMPRODUCT(O14,2)))</f>
        <v>#NUM!</v>
      </c>
      <c r="S14" s="11" t="e">
        <f>IMABS(IMDIV(1,IMSUM(O14,O14,P14)))*3*F5</f>
        <v>#NUM!</v>
      </c>
    </row>
    <row r="15" spans="1:22" ht="12.75">
      <c r="A15" s="3"/>
      <c r="B15" s="3"/>
      <c r="C15" s="4" t="s">
        <v>52</v>
      </c>
      <c r="D15" s="3"/>
      <c r="E15" s="3"/>
      <c r="F15" s="3"/>
      <c r="G15" s="3"/>
      <c r="H15" s="5" t="s">
        <v>53</v>
      </c>
      <c r="I15" s="5" t="s">
        <v>48</v>
      </c>
      <c r="J15" s="3"/>
      <c r="K15" s="3"/>
      <c r="L15" s="3"/>
      <c r="M15" s="3" t="e">
        <f>IMABS(IMDIV(1,IMSUM(I7,I7,J7,I15)))*3*D5</f>
        <v>#NUM!</v>
      </c>
      <c r="N15" s="3"/>
      <c r="O15" s="3"/>
      <c r="P15" s="3"/>
    </row>
    <row r="16" spans="1:22" ht="12.75">
      <c r="A16" s="3"/>
      <c r="B16" s="3"/>
      <c r="C16" s="34" t="s">
        <v>54</v>
      </c>
      <c r="D16" s="35" t="s">
        <v>55</v>
      </c>
      <c r="E16" s="34" t="s">
        <v>56</v>
      </c>
      <c r="F16" s="35" t="s">
        <v>57</v>
      </c>
      <c r="G16" s="34" t="s">
        <v>58</v>
      </c>
      <c r="H16" s="35" t="s">
        <v>59</v>
      </c>
      <c r="I16" s="35" t="s">
        <v>60</v>
      </c>
      <c r="J16" s="35" t="s">
        <v>61</v>
      </c>
      <c r="K16" s="1" t="s">
        <v>62</v>
      </c>
      <c r="L16" s="35" t="s">
        <v>63</v>
      </c>
      <c r="M16" s="35" t="s">
        <v>64</v>
      </c>
      <c r="N16" s="34" t="s">
        <v>65</v>
      </c>
      <c r="O16" s="35" t="s">
        <v>66</v>
      </c>
      <c r="P16" s="1" t="s">
        <v>67</v>
      </c>
      <c r="Q16" s="34" t="s">
        <v>68</v>
      </c>
    </row>
    <row r="17" spans="1:25" ht="12.75">
      <c r="A17" s="3"/>
      <c r="B17" s="3"/>
      <c r="C17" s="35" t="s">
        <v>69</v>
      </c>
      <c r="D17" s="34">
        <v>13800</v>
      </c>
      <c r="E17" s="34">
        <v>0.92</v>
      </c>
      <c r="F17" s="36">
        <f>D29/(SQRT(3)*D17*E17)</f>
        <v>10.231869137339775</v>
      </c>
      <c r="G17" s="35" t="s">
        <v>70</v>
      </c>
      <c r="H17" s="35">
        <v>342</v>
      </c>
      <c r="I17" s="35" t="e">
        <f>IMDIV(IMPRODUCT(G17,H17),1000)</f>
        <v>#NUM!</v>
      </c>
      <c r="J17" s="37" t="e">
        <f>COMPLEX(ROUND(IMREAL(IMDIV(I17,D6)),4),ROUND(IMAGINARY(IMDIV(I17,D6)),4))</f>
        <v>#NUM!</v>
      </c>
      <c r="K17" s="1">
        <v>127</v>
      </c>
      <c r="L17" s="35">
        <v>50</v>
      </c>
      <c r="M17" s="38">
        <f>K3/(SQRT(115.679/0.01*LOG10((D8+234)/(D7+234))))</f>
        <v>44.604645028904798</v>
      </c>
      <c r="N17" s="39" t="e">
        <f>F17*IMABS(I17)/D17</f>
        <v>#NUM!</v>
      </c>
      <c r="O17" s="35" t="s">
        <v>71</v>
      </c>
      <c r="P17" s="35" t="s">
        <v>72</v>
      </c>
      <c r="Q17" s="34" t="s">
        <v>73</v>
      </c>
    </row>
    <row r="18" spans="1:25" ht="12.75">
      <c r="A18" s="3"/>
      <c r="B18" s="3"/>
      <c r="C18" s="35" t="s">
        <v>74</v>
      </c>
      <c r="D18" s="34">
        <v>13800</v>
      </c>
      <c r="E18" s="34">
        <v>0.92</v>
      </c>
      <c r="F18" s="36">
        <f>D30/(SQRT(3)*D18*E18)</f>
        <v>5.1159345686698874</v>
      </c>
      <c r="G18" s="34" t="s">
        <v>70</v>
      </c>
      <c r="H18" s="40">
        <f>223+212</f>
        <v>435</v>
      </c>
      <c r="I18" s="35" t="e">
        <f>IMDIV(IMPRODUCT(G18,H18),1000)</f>
        <v>#NUM!</v>
      </c>
      <c r="J18" s="37" t="e">
        <f>COMPLEX(ROUND(IMREAL(IMDIV(I18,D6)),4),ROUND(IMAGINARY(IMDIV(I18,D6)),4))</f>
        <v>#NUM!</v>
      </c>
      <c r="K18" s="1">
        <v>127</v>
      </c>
      <c r="L18" s="35">
        <v>50</v>
      </c>
      <c r="M18" s="38">
        <f>K3/(SQRT(115.679/0.01*LOG10((D8+234)/(D7+234))))</f>
        <v>44.604645028904798</v>
      </c>
      <c r="N18" s="39" t="e">
        <f>F18*IMABS(I18)/D18</f>
        <v>#NUM!</v>
      </c>
      <c r="O18" s="35" t="s">
        <v>75</v>
      </c>
      <c r="P18" s="35" t="s">
        <v>72</v>
      </c>
      <c r="Q18" s="34" t="s">
        <v>76</v>
      </c>
    </row>
    <row r="19" spans="1:25" ht="12.75">
      <c r="A19" s="3"/>
      <c r="B19" s="3"/>
      <c r="C19" s="35" t="s">
        <v>77</v>
      </c>
      <c r="D19" s="34">
        <v>13800</v>
      </c>
      <c r="E19" s="41">
        <f>Q56</f>
        <v>0.88888303608461217</v>
      </c>
      <c r="F19" s="36">
        <f>D31/(SQRT(3)*D19*E19)</f>
        <v>47.066907939338058</v>
      </c>
      <c r="G19" s="35" t="s">
        <v>70</v>
      </c>
      <c r="H19" s="35">
        <v>332</v>
      </c>
      <c r="I19" s="35" t="e">
        <f>IMDIV(IMPRODUCT(G19,H19),1000)</f>
        <v>#NUM!</v>
      </c>
      <c r="J19" s="37" t="e">
        <f>COMPLEX(ROUND(IMREAL(IMDIV(I19,D6)),4),ROUND(IMAGINARY(IMDIV(I19,D6)),4))</f>
        <v>#NUM!</v>
      </c>
      <c r="K19" s="1">
        <v>127</v>
      </c>
      <c r="L19" s="35">
        <v>50</v>
      </c>
      <c r="M19" s="38">
        <f>K3/(SQRT(115.679/0.01*LOG10((D8+234)/(D7+234))))</f>
        <v>44.604645028904798</v>
      </c>
      <c r="N19" s="39" t="e">
        <f>F19*IMABS(I19)/D19</f>
        <v>#NUM!</v>
      </c>
      <c r="O19" s="35" t="s">
        <v>75</v>
      </c>
      <c r="P19" s="35" t="s">
        <v>72</v>
      </c>
      <c r="Q19" s="34" t="s">
        <v>78</v>
      </c>
    </row>
    <row r="20" spans="1:25" ht="12.75">
      <c r="A20" s="3"/>
      <c r="B20" s="3"/>
      <c r="C20" s="35" t="s">
        <v>79</v>
      </c>
      <c r="D20" s="34">
        <v>13800</v>
      </c>
      <c r="E20" s="41">
        <f>(B45*D45+B46*D46+B47*D47+B48*D48)/(B45+B46+B47+B48)</f>
        <v>0.87417919386130316</v>
      </c>
      <c r="F20" s="36">
        <f>D32/(SQRT(3)*D20*E20)</f>
        <v>95.717162618426684</v>
      </c>
      <c r="G20" s="35" t="s">
        <v>70</v>
      </c>
      <c r="H20" s="40">
        <f>25+111+229</f>
        <v>365</v>
      </c>
      <c r="I20" s="35" t="e">
        <f>IMDIV(IMPRODUCT(G20,H20),1000)</f>
        <v>#NUM!</v>
      </c>
      <c r="J20" s="37" t="e">
        <f>COMPLEX(ROUND(IMREAL(IMDIV(I20,D6)),4),ROUND(IMAGINARY(IMDIV(I20,D6)),4))</f>
        <v>#NUM!</v>
      </c>
      <c r="K20" s="1">
        <v>127</v>
      </c>
      <c r="L20" s="35">
        <v>50</v>
      </c>
      <c r="M20" s="38">
        <f>K3/(SQRT(115.679/0.01*LOG10((D8+234)/(D7+234))))</f>
        <v>44.604645028904798</v>
      </c>
      <c r="N20" s="39" t="e">
        <f>F20*IMABS(I20)/D20</f>
        <v>#NUM!</v>
      </c>
      <c r="O20" s="35" t="s">
        <v>75</v>
      </c>
      <c r="P20" s="35" t="s">
        <v>72</v>
      </c>
      <c r="Q20" s="34" t="s">
        <v>80</v>
      </c>
      <c r="T20" s="40"/>
      <c r="U20" s="40"/>
      <c r="V20" s="40"/>
    </row>
    <row r="21" spans="1:25" ht="12.75">
      <c r="A21" s="3"/>
      <c r="B21" s="3"/>
      <c r="C21" s="42" t="s">
        <v>81</v>
      </c>
      <c r="D21" s="43"/>
      <c r="E21" s="40"/>
      <c r="F21" s="40"/>
      <c r="G21" s="43"/>
      <c r="H21" s="40"/>
      <c r="I21" s="43"/>
      <c r="J21" s="40"/>
      <c r="K21" s="43"/>
      <c r="L21" s="43"/>
      <c r="M21" s="40"/>
      <c r="N21" s="40"/>
      <c r="O21" s="43"/>
      <c r="P21" s="43"/>
      <c r="Q21" s="3"/>
    </row>
    <row r="22" spans="1:25" ht="12.75">
      <c r="A22" s="3"/>
      <c r="B22" s="3"/>
      <c r="C22" s="44" t="s">
        <v>54</v>
      </c>
      <c r="D22" s="45" t="s">
        <v>55</v>
      </c>
      <c r="E22" s="44" t="s">
        <v>56</v>
      </c>
      <c r="F22" s="45" t="s">
        <v>57</v>
      </c>
      <c r="G22" s="44" t="s">
        <v>58</v>
      </c>
      <c r="H22" s="45" t="s">
        <v>59</v>
      </c>
      <c r="I22" s="45" t="s">
        <v>60</v>
      </c>
      <c r="J22" s="45" t="s">
        <v>61</v>
      </c>
      <c r="K22" s="44" t="s">
        <v>82</v>
      </c>
      <c r="L22" s="44" t="s">
        <v>62</v>
      </c>
      <c r="M22" s="45" t="s">
        <v>63</v>
      </c>
      <c r="N22" s="45" t="s">
        <v>64</v>
      </c>
      <c r="O22" s="44" t="s">
        <v>65</v>
      </c>
      <c r="P22" s="45" t="s">
        <v>66</v>
      </c>
      <c r="Q22" s="44" t="s">
        <v>67</v>
      </c>
    </row>
    <row r="23" spans="1:25" ht="12.75">
      <c r="A23" s="3"/>
      <c r="B23" s="3"/>
      <c r="C23" s="35" t="s">
        <v>69</v>
      </c>
      <c r="D23" s="34">
        <v>220</v>
      </c>
      <c r="E23" s="34">
        <v>0.92</v>
      </c>
      <c r="F23" s="36">
        <f>D29/(SQRT(3)*D23*E23)</f>
        <v>641.8172458876769</v>
      </c>
      <c r="G23" s="35" t="s">
        <v>83</v>
      </c>
      <c r="H23" s="35">
        <v>10</v>
      </c>
      <c r="I23" s="35" t="e">
        <f>IMDIV(IMPRODUCT(G23,H23),1000)</f>
        <v>#NUM!</v>
      </c>
      <c r="J23" s="37" t="e">
        <f>COMPLEX(ROUND(IMREAL(IMDIV(I23,F10)),4),ROUND(IMAGINARY(IMDIV(I23,F10)),4))</f>
        <v>#NUM!</v>
      </c>
      <c r="K23" s="1">
        <v>700</v>
      </c>
      <c r="L23" s="46" t="s">
        <v>84</v>
      </c>
      <c r="M23" s="35">
        <v>70</v>
      </c>
      <c r="N23" s="38" t="e">
        <f>M8/(SQRT(115.679/0.01*LOG10((D9+234)/(D10+234))))</f>
        <v>#NUM!</v>
      </c>
      <c r="O23" s="39" t="e">
        <f>F23*IMABS(I23)/D23</f>
        <v>#NUM!</v>
      </c>
      <c r="P23" s="35" t="s">
        <v>85</v>
      </c>
      <c r="Q23" s="35" t="s">
        <v>86</v>
      </c>
      <c r="S23" s="1" t="s">
        <v>87</v>
      </c>
      <c r="T23" s="1" t="s">
        <v>88</v>
      </c>
      <c r="U23" s="1" t="s">
        <v>89</v>
      </c>
      <c r="V23" s="1" t="s">
        <v>90</v>
      </c>
      <c r="W23" s="35" t="s">
        <v>91</v>
      </c>
      <c r="X23" s="35" t="s">
        <v>92</v>
      </c>
      <c r="Y23" s="1" t="s">
        <v>93</v>
      </c>
    </row>
    <row r="24" spans="1:25" ht="12.75">
      <c r="A24" s="3"/>
      <c r="B24" s="3"/>
      <c r="C24" s="35" t="s">
        <v>74</v>
      </c>
      <c r="D24" s="34">
        <v>220</v>
      </c>
      <c r="E24" s="34">
        <v>0.92</v>
      </c>
      <c r="F24" s="36">
        <f>D30/(SQRT(3)*D24*E24)</f>
        <v>320.90862294383845</v>
      </c>
      <c r="G24" s="35" t="s">
        <v>94</v>
      </c>
      <c r="H24" s="35">
        <v>10</v>
      </c>
      <c r="I24" s="35" t="e">
        <f>IMDIV(IMPRODUCT(G24,H24),1000)</f>
        <v>#NUM!</v>
      </c>
      <c r="J24" s="37" t="e">
        <f>COMPLEX(ROUND(IMREAL(IMDIV(I24,F10)),4),ROUND(IMAGINARY(IMDIV(I24,F10)),4))</f>
        <v>#NUM!</v>
      </c>
      <c r="K24" s="1">
        <v>350</v>
      </c>
      <c r="L24" s="46" t="s">
        <v>95</v>
      </c>
      <c r="M24" s="35">
        <v>120</v>
      </c>
      <c r="N24" s="38" t="e">
        <f>M9/(SQRT(115.679/0.01*LOG10((D9+234)/(D10+234))))</f>
        <v>#NUM!</v>
      </c>
      <c r="O24" s="39" t="e">
        <f>F24*IMABS(I24)/D24</f>
        <v>#NUM!</v>
      </c>
      <c r="P24" s="35" t="s">
        <v>96</v>
      </c>
      <c r="Q24" s="35" t="s">
        <v>86</v>
      </c>
      <c r="S24" s="1" t="s">
        <v>97</v>
      </c>
      <c r="T24" s="47">
        <f>Q33/(SQRT(3)*D4)</f>
        <v>169.25274711815493</v>
      </c>
      <c r="U24" s="47">
        <f>K3/20</f>
        <v>100.14435784724475</v>
      </c>
      <c r="V24" s="35" t="s">
        <v>98</v>
      </c>
      <c r="W24" s="35" t="s">
        <v>99</v>
      </c>
      <c r="X24" s="35" t="s">
        <v>100</v>
      </c>
      <c r="Y24" s="1" t="s">
        <v>101</v>
      </c>
    </row>
    <row r="25" spans="1:25" ht="12.75">
      <c r="A25" s="3"/>
      <c r="B25" s="3"/>
      <c r="C25" s="35" t="s">
        <v>77</v>
      </c>
      <c r="D25" s="34">
        <v>380</v>
      </c>
      <c r="E25" s="48">
        <v>0.88890000000000002</v>
      </c>
      <c r="F25" s="36">
        <f>D31/(SQRT(3)*D25*E25)</f>
        <v>1709.2392998727753</v>
      </c>
      <c r="G25" s="35" t="s">
        <v>102</v>
      </c>
      <c r="H25" s="35">
        <v>10</v>
      </c>
      <c r="I25" s="35" t="e">
        <f>IMDIV(IMPRODUCT(G25,H25),1000)</f>
        <v>#NUM!</v>
      </c>
      <c r="J25" s="37" t="e">
        <f>COMPLEX(ROUND(IMREAL(IMDIV(I25,F6)),4),ROUND(IMAGINARY(IMDIV(I25,F6)),4))</f>
        <v>#NUM!</v>
      </c>
      <c r="K25" s="1">
        <v>2000</v>
      </c>
      <c r="L25" s="46" t="s">
        <v>103</v>
      </c>
      <c r="M25" s="35">
        <v>300</v>
      </c>
      <c r="N25" s="38" t="e">
        <f>M10/(SQRT(115.679/0.01*LOG10((D9+234)/(D10+234))))</f>
        <v>#NUM!</v>
      </c>
      <c r="O25" s="39" t="e">
        <f>F25*IMABS(I25)/D25</f>
        <v>#NUM!</v>
      </c>
      <c r="P25" s="35" t="s">
        <v>104</v>
      </c>
      <c r="Q25" s="35" t="s">
        <v>86</v>
      </c>
      <c r="S25" s="1" t="s">
        <v>105</v>
      </c>
      <c r="T25" s="47">
        <f>D31/(SQRT(3)*13800)</f>
        <v>41.83697602823375</v>
      </c>
      <c r="U25" s="47" t="e">
        <f>K10/20</f>
        <v>#NUM!</v>
      </c>
      <c r="V25" s="35" t="s">
        <v>106</v>
      </c>
      <c r="W25" s="35" t="s">
        <v>107</v>
      </c>
      <c r="X25" s="35" t="s">
        <v>108</v>
      </c>
      <c r="Y25" s="1" t="s">
        <v>108</v>
      </c>
    </row>
    <row r="26" spans="1:25" ht="12.75">
      <c r="A26" s="3"/>
      <c r="B26" s="3"/>
      <c r="C26" s="35" t="s">
        <v>79</v>
      </c>
      <c r="D26" s="34">
        <v>380</v>
      </c>
      <c r="E26" s="48">
        <v>0.87419999999999998</v>
      </c>
      <c r="F26" s="36">
        <f>D32/(SQRT(3)*D26*E26)</f>
        <v>3475.9615961036607</v>
      </c>
      <c r="G26" s="35" t="s">
        <v>102</v>
      </c>
      <c r="H26" s="40">
        <f>10</f>
        <v>10</v>
      </c>
      <c r="I26" s="35" t="e">
        <f>IMDIV(IMPRODUCT(G26,H26),1000)</f>
        <v>#NUM!</v>
      </c>
      <c r="J26" s="37" t="e">
        <f>COMPLEX(ROUND(IMREAL(IMDIV(I26,F6)),4),ROUND(IMAGINARY(IMDIV(I26,F6)),4))</f>
        <v>#NUM!</v>
      </c>
      <c r="K26" s="1">
        <v>4000</v>
      </c>
      <c r="L26" s="46" t="s">
        <v>109</v>
      </c>
      <c r="M26" s="35">
        <v>300</v>
      </c>
      <c r="N26" s="38" t="e">
        <f>M11/(SQRT(115.679/0.01*LOG10((D9+234)/(D10+234))))</f>
        <v>#NUM!</v>
      </c>
      <c r="O26" s="39" t="e">
        <f>F26*IMABS(I26)/D26</f>
        <v>#NUM!</v>
      </c>
      <c r="P26" s="35" t="s">
        <v>110</v>
      </c>
      <c r="Q26" s="35" t="s">
        <v>86</v>
      </c>
      <c r="S26" s="1" t="s">
        <v>111</v>
      </c>
      <c r="T26" s="47">
        <f>D32/(SQRT(3)*13800)</f>
        <v>83.673952056467499</v>
      </c>
      <c r="U26" s="47" t="e">
        <f>K11/20</f>
        <v>#NUM!</v>
      </c>
      <c r="V26" s="35" t="s">
        <v>112</v>
      </c>
      <c r="W26" s="35" t="s">
        <v>113</v>
      </c>
      <c r="X26" s="35" t="s">
        <v>108</v>
      </c>
      <c r="Y26" s="1" t="s">
        <v>108</v>
      </c>
    </row>
    <row r="27" spans="1:25" ht="12.75">
      <c r="A27" s="3"/>
      <c r="B27" s="3"/>
      <c r="C27" s="4" t="s">
        <v>114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</row>
    <row r="28" spans="1:25" ht="12.75">
      <c r="A28" s="5" t="s">
        <v>115</v>
      </c>
      <c r="B28" s="5" t="s">
        <v>116</v>
      </c>
      <c r="C28" s="35" t="s">
        <v>54</v>
      </c>
      <c r="D28" s="35" t="s">
        <v>117</v>
      </c>
      <c r="E28" s="35" t="s">
        <v>118</v>
      </c>
      <c r="F28" s="35" t="s">
        <v>119</v>
      </c>
      <c r="G28" s="35" t="s">
        <v>120</v>
      </c>
      <c r="H28" s="35" t="s">
        <v>121</v>
      </c>
      <c r="I28" s="35" t="s">
        <v>122</v>
      </c>
      <c r="J28" s="35" t="s">
        <v>123</v>
      </c>
      <c r="K28" s="35" t="s">
        <v>124</v>
      </c>
      <c r="L28" s="35" t="s">
        <v>125</v>
      </c>
      <c r="M28" s="35" t="s">
        <v>126</v>
      </c>
      <c r="N28" s="35" t="s">
        <v>127</v>
      </c>
      <c r="O28" s="1" t="s">
        <v>128</v>
      </c>
      <c r="P28" s="1" t="s">
        <v>129</v>
      </c>
      <c r="Q28" s="1" t="s">
        <v>130</v>
      </c>
      <c r="R28" s="35" t="s">
        <v>131</v>
      </c>
      <c r="S28" s="1" t="s">
        <v>132</v>
      </c>
      <c r="T28" s="35"/>
    </row>
    <row r="29" spans="1:25" ht="12.75">
      <c r="A29" s="3">
        <f>A37+A38</f>
        <v>186806</v>
      </c>
      <c r="B29" s="35">
        <f>B37+B38</f>
        <v>203050</v>
      </c>
      <c r="C29" s="35" t="s">
        <v>69</v>
      </c>
      <c r="D29" s="35">
        <v>225000</v>
      </c>
      <c r="E29" s="35">
        <v>4.4999999999999998E-2</v>
      </c>
      <c r="F29" s="35">
        <v>650</v>
      </c>
      <c r="G29" s="35">
        <v>3260</v>
      </c>
      <c r="H29" s="40">
        <f>G29-F29</f>
        <v>2610</v>
      </c>
      <c r="I29" s="49">
        <f>H29/D29</f>
        <v>1.1599999999999999E-2</v>
      </c>
      <c r="J29" s="50">
        <f>SQRT(E29^2-I29^2)</f>
        <v>4.3479190424845771E-2</v>
      </c>
      <c r="K29" s="51">
        <f>I29*D3/D29</f>
        <v>5.1555555555555559</v>
      </c>
      <c r="L29" s="52">
        <f>J29*D3/D29</f>
        <v>19.324084633264786</v>
      </c>
      <c r="M29" s="40" t="str">
        <f>COMPLEX(ROUND(IMREAL(COMPLEX(K29,L29)),3),ROUND(IMAGINARY(COMPLEX(K29,L29)),3))</f>
        <v>5,156+19,324i</v>
      </c>
      <c r="N29" s="53" t="s">
        <v>108</v>
      </c>
      <c r="Q29" s="47">
        <f>(B37*D37+B38*D38)/0.92</f>
        <v>203050</v>
      </c>
      <c r="R29" s="54">
        <v>9</v>
      </c>
      <c r="T29" s="55"/>
    </row>
    <row r="30" spans="1:25" ht="12.75">
      <c r="A30" s="35">
        <f>SUM(A39:A42)</f>
        <v>88458</v>
      </c>
      <c r="B30" s="35">
        <f>SUM(B39:B42)</f>
        <v>96150</v>
      </c>
      <c r="C30" s="35" t="s">
        <v>74</v>
      </c>
      <c r="D30" s="35">
        <v>112500</v>
      </c>
      <c r="E30" s="35">
        <v>3.5000000000000003E-2</v>
      </c>
      <c r="F30" s="35">
        <v>390</v>
      </c>
      <c r="G30" s="35">
        <v>1890</v>
      </c>
      <c r="H30" s="40">
        <f>G30-F30</f>
        <v>1500</v>
      </c>
      <c r="I30" s="49">
        <f>H30/D30</f>
        <v>1.3333333333333334E-2</v>
      </c>
      <c r="J30" s="50">
        <f>SQRT(E30^2-I30^2)</f>
        <v>3.2360813064912668E-2</v>
      </c>
      <c r="K30" s="51">
        <f>I30*D3/D30</f>
        <v>11.851851851851853</v>
      </c>
      <c r="L30" s="52">
        <f>J30*D3/D30</f>
        <v>28.76516716881126</v>
      </c>
      <c r="M30" s="40" t="str">
        <f>COMPLEX(ROUND(IMREAL(COMPLEX(K30,L30)),3),ROUND(IMAGINARY(COMPLEX(K30,L30)),3))</f>
        <v>11,852+28,765i</v>
      </c>
      <c r="N30" s="53" t="s">
        <v>108</v>
      </c>
      <c r="Q30" s="47">
        <f>(B39*D39+B40*D40+B41*D41+B42*D42)/0.92</f>
        <v>96150</v>
      </c>
      <c r="R30" s="54">
        <v>5</v>
      </c>
      <c r="T30" s="55"/>
    </row>
    <row r="31" spans="1:25" ht="12.75">
      <c r="A31" s="35">
        <f>A43+A44</f>
        <v>750083.95</v>
      </c>
      <c r="B31" s="35">
        <f>B43+B44</f>
        <v>843850</v>
      </c>
      <c r="C31" s="35" t="s">
        <v>77</v>
      </c>
      <c r="D31" s="35">
        <v>1000000</v>
      </c>
      <c r="E31" s="35">
        <v>0.05</v>
      </c>
      <c r="F31" s="35">
        <v>2000</v>
      </c>
      <c r="G31" s="35">
        <v>17500</v>
      </c>
      <c r="H31" s="40">
        <f>G31-F31</f>
        <v>15500</v>
      </c>
      <c r="I31" s="49">
        <f>H31/D31</f>
        <v>1.55E-2</v>
      </c>
      <c r="J31" s="50">
        <f>SQRT(E31^2-I31^2)</f>
        <v>4.7536827828537326E-2</v>
      </c>
      <c r="K31" s="51">
        <f>I31*D3/D31</f>
        <v>1.55</v>
      </c>
      <c r="L31" s="52">
        <f>J31*D3/D31</f>
        <v>4.7536827828537325</v>
      </c>
      <c r="M31" s="40" t="str">
        <f>COMPLEX(ROUND(IMREAL(COMPLEX(K31,L31)),3),ROUND(IMAGINARY(COMPLEX(K31,L31)),3))</f>
        <v>1,55+4,754i</v>
      </c>
      <c r="N31" s="38">
        <f>8*(D31)/(SQRT(3)*13800*0.92)</f>
        <v>363.7997915498587</v>
      </c>
      <c r="O31" s="56" t="e">
        <f>K10</f>
        <v>#NUM!</v>
      </c>
      <c r="P31" s="47" t="e">
        <f>L10</f>
        <v>#NUM!</v>
      </c>
      <c r="Q31" s="47">
        <f>(B43*D43+B44*D44)/0.92</f>
        <v>815308.64130434778</v>
      </c>
      <c r="R31" s="54">
        <v>35</v>
      </c>
      <c r="S31" s="47" t="e">
        <f>M14</f>
        <v>#NUM!</v>
      </c>
      <c r="T31" s="55"/>
    </row>
    <row r="32" spans="1:25" ht="12.75">
      <c r="A32" s="35">
        <f>SUM(A45:A48)</f>
        <v>1608603.3599999999</v>
      </c>
      <c r="B32" s="35">
        <f>SUM(B45:B48)</f>
        <v>1840130</v>
      </c>
      <c r="C32" s="35" t="s">
        <v>79</v>
      </c>
      <c r="D32" s="35">
        <v>2000000</v>
      </c>
      <c r="E32" s="35">
        <v>0.06</v>
      </c>
      <c r="F32" s="35">
        <v>3000</v>
      </c>
      <c r="G32" s="35">
        <v>32300</v>
      </c>
      <c r="H32" s="40">
        <f>G32-F32</f>
        <v>29300</v>
      </c>
      <c r="I32" s="49">
        <f>H32/D32</f>
        <v>1.465E-2</v>
      </c>
      <c r="J32" s="50">
        <f>SQRT(E32^2-I32^2)</f>
        <v>5.8183996940739641E-2</v>
      </c>
      <c r="K32" s="51">
        <f>I32*D3/D32</f>
        <v>0.73250000000000004</v>
      </c>
      <c r="L32" s="52">
        <f>J32*D3/D32</f>
        <v>2.909199847036982</v>
      </c>
      <c r="M32" s="40" t="str">
        <f>COMPLEX(ROUND(IMREAL(COMPLEX(K32,L32)),3),ROUND(IMAGINARY(COMPLEX(K32,L32)),3))</f>
        <v>0,733+2,909i</v>
      </c>
      <c r="N32" s="38">
        <f>8*(D32)/(SQRT(3)*13800*0.92)</f>
        <v>727.59958309971739</v>
      </c>
      <c r="O32" s="56" t="e">
        <f>K11</f>
        <v>#NUM!</v>
      </c>
      <c r="P32" s="47" t="e">
        <f>L11</f>
        <v>#NUM!</v>
      </c>
      <c r="Q32" s="47">
        <f>(B45*D45+B46*D46+B47*D47+B48*D48)/0.92</f>
        <v>1748481.913043478</v>
      </c>
      <c r="R32" s="54">
        <v>74</v>
      </c>
      <c r="S32" s="47" t="e">
        <f>M15</f>
        <v>#NUM!</v>
      </c>
      <c r="T32" s="55"/>
    </row>
    <row r="33" spans="1:27" ht="12.75">
      <c r="A33" s="3">
        <f>A50</f>
        <v>2820757.3099999996</v>
      </c>
      <c r="B33" s="3">
        <f>B50</f>
        <v>3186230</v>
      </c>
      <c r="C33" s="35" t="s">
        <v>97</v>
      </c>
      <c r="D33" s="43">
        <f>D32+D31+D30+D29</f>
        <v>3337500</v>
      </c>
      <c r="E33" s="43"/>
      <c r="F33" s="43"/>
      <c r="G33" s="43"/>
      <c r="H33" s="40"/>
      <c r="I33" s="40"/>
      <c r="J33" s="40"/>
      <c r="K33" s="40"/>
      <c r="L33" s="40"/>
      <c r="M33" s="40"/>
      <c r="N33" s="38">
        <f>4*(D29)/(SQRT(3)*13800*0.92)+4*(D30)/(SQRT(3)*13800*0.92)+N31/2+N32</f>
        <v>970.89069369868537</v>
      </c>
      <c r="O33" s="57" t="e">
        <f>K11</f>
        <v>#NUM!</v>
      </c>
      <c r="P33" s="58" t="e">
        <f>L11</f>
        <v>#NUM!</v>
      </c>
      <c r="Q33" s="3">
        <f>1.3*(Q29+Q30+Q31+Q32)/0.92</f>
        <v>4045530.1311436668</v>
      </c>
      <c r="R33" s="54">
        <v>170</v>
      </c>
      <c r="S33" s="47" t="e">
        <f>M13</f>
        <v>#NUM!</v>
      </c>
      <c r="T33" s="55"/>
    </row>
    <row r="34" spans="1:27" ht="12.75">
      <c r="A34" s="3"/>
      <c r="B34" s="3"/>
      <c r="C34" s="3"/>
      <c r="D34" s="3"/>
      <c r="E34" s="3"/>
      <c r="F34" s="3"/>
      <c r="G34" s="3"/>
      <c r="H34" s="5" t="s">
        <v>133</v>
      </c>
      <c r="I34" s="3"/>
      <c r="J34" s="3"/>
      <c r="K34" s="3"/>
      <c r="L34" s="3"/>
      <c r="M34" s="3"/>
      <c r="N34" s="3"/>
      <c r="O34" s="3"/>
      <c r="P34" s="3"/>
      <c r="Q34" s="3"/>
    </row>
    <row r="35" spans="1:27" ht="12.75">
      <c r="C35" s="4" t="s">
        <v>134</v>
      </c>
      <c r="F35" s="3"/>
      <c r="G35" s="3"/>
      <c r="H35" s="5" t="s">
        <v>135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27" ht="12.75">
      <c r="A36" s="1" t="s">
        <v>255</v>
      </c>
      <c r="B36" s="1" t="s">
        <v>117</v>
      </c>
      <c r="C36" s="1" t="s">
        <v>55</v>
      </c>
      <c r="D36" s="1" t="s">
        <v>136</v>
      </c>
      <c r="E36" s="5" t="s">
        <v>57</v>
      </c>
      <c r="F36" s="5" t="s">
        <v>63</v>
      </c>
      <c r="G36" s="1" t="s">
        <v>137</v>
      </c>
      <c r="H36" s="1" t="s">
        <v>138</v>
      </c>
      <c r="I36" s="1" t="s">
        <v>139</v>
      </c>
      <c r="J36" s="1" t="s">
        <v>65</v>
      </c>
      <c r="K36" s="1" t="s">
        <v>140</v>
      </c>
      <c r="L36" s="5" t="s">
        <v>58</v>
      </c>
      <c r="M36" s="5" t="s">
        <v>141</v>
      </c>
      <c r="N36" s="5" t="s">
        <v>142</v>
      </c>
      <c r="O36" s="5" t="s">
        <v>143</v>
      </c>
      <c r="P36" s="5" t="s">
        <v>54</v>
      </c>
      <c r="Q36" s="1" t="s">
        <v>144</v>
      </c>
      <c r="R36" s="5" t="s">
        <v>145</v>
      </c>
      <c r="S36" s="3"/>
      <c r="T36" s="3"/>
      <c r="U36" s="3"/>
      <c r="V36" s="5" t="s">
        <v>66</v>
      </c>
      <c r="W36" s="3"/>
      <c r="X36" s="3"/>
    </row>
    <row r="37" spans="1:27" ht="12.75">
      <c r="A37" s="59">
        <f t="shared" ref="A37:A49" si="0">B37*D37</f>
        <v>59386</v>
      </c>
      <c r="B37" s="59">
        <v>64550</v>
      </c>
      <c r="C37" s="59">
        <v>220</v>
      </c>
      <c r="D37" s="59">
        <v>0.92</v>
      </c>
      <c r="E37" s="60">
        <f>B37/(SQRT(3)*C37*D37)</f>
        <v>184.13023654244242</v>
      </c>
      <c r="F37" s="61">
        <v>120</v>
      </c>
      <c r="G37" s="61">
        <v>0.35</v>
      </c>
      <c r="H37" s="61">
        <v>200</v>
      </c>
      <c r="I37" s="61">
        <v>203</v>
      </c>
      <c r="J37" s="62">
        <f t="shared" ref="J37:J49" si="1">E37*G37*M37/C37</f>
        <v>4.9798859428524196E-2</v>
      </c>
      <c r="K37" s="63" t="e">
        <f>S3/(SQRT(1/0.1*LOG10((234+D9)/(234+D10)))*340.1)</f>
        <v>#NUM!</v>
      </c>
      <c r="L37" s="61" t="s">
        <v>94</v>
      </c>
      <c r="M37" s="61">
        <v>0.17</v>
      </c>
      <c r="N37" s="64" t="e">
        <f>COMPLEX(ROUND(IMREAL(IMPRODUCT(M37,L37)),4),ROUND(IMAGINARY(IMPRODUCT(M37,L37)),4))</f>
        <v>#NUM!</v>
      </c>
      <c r="O37" s="65" t="e">
        <f>COMPLEX(ROUND(IMREAL(IMDIV(N37,F10)),4),ROUND(IMAGINARY(IMDIV(N37,F10)),4))</f>
        <v>#NUM!</v>
      </c>
      <c r="P37" s="61" t="s">
        <v>146</v>
      </c>
      <c r="Q37" s="61" t="s">
        <v>147</v>
      </c>
      <c r="R37" s="61" t="s">
        <v>148</v>
      </c>
      <c r="S37" s="61" t="s">
        <v>149</v>
      </c>
      <c r="T37" s="61" t="s">
        <v>150</v>
      </c>
      <c r="U37" s="61" t="s">
        <v>151</v>
      </c>
      <c r="V37" s="61" t="s">
        <v>152</v>
      </c>
      <c r="W37" s="64"/>
      <c r="X37" s="64"/>
      <c r="AA37" s="1" t="str">
        <f>COMPLEX(ROUND((D37*(C37^2/B37)/F10),2),ROUND(SQRT(((C37^2/B37)/F10)^2-(D37*(C37^2/B37)/F10)^2),2))</f>
        <v>1425,25+607,15i</v>
      </c>
    </row>
    <row r="38" spans="1:27" ht="12.75">
      <c r="A38" s="59">
        <f>B38*D38</f>
        <v>127420</v>
      </c>
      <c r="B38" s="59">
        <v>138500</v>
      </c>
      <c r="C38" s="59">
        <v>220</v>
      </c>
      <c r="D38" s="59">
        <v>0.92</v>
      </c>
      <c r="E38" s="60">
        <f>B38/(SQRT(3)*C38*D38)</f>
        <v>395.07417135752559</v>
      </c>
      <c r="F38" s="61">
        <v>120</v>
      </c>
      <c r="G38" s="61">
        <v>0.35</v>
      </c>
      <c r="H38" s="61">
        <v>400</v>
      </c>
      <c r="I38" s="66" t="s">
        <v>95</v>
      </c>
      <c r="J38" s="62">
        <f>E38*G38*M38/C38</f>
        <v>1.8855812723881905E-2</v>
      </c>
      <c r="K38" s="67" t="e">
        <f>S4/(SQRT(1/0.1*LOG10((234+D9)/(234+D10)))*340.1)</f>
        <v>#NUM!</v>
      </c>
      <c r="L38" s="61" t="s">
        <v>94</v>
      </c>
      <c r="M38" s="61">
        <v>0.03</v>
      </c>
      <c r="N38" s="64" t="e">
        <f t="shared" ref="N38:N49" si="2">IMPRODUCT(M38,L38)</f>
        <v>#NUM!</v>
      </c>
      <c r="O38" s="65" t="e">
        <f>COMPLEX(ROUND(IMREAL(IMDIV(N38,2*F10)),4),ROUND(IMAGINARY(IMDIV(N38,2*F10)),4))</f>
        <v>#NUM!</v>
      </c>
      <c r="P38" s="61" t="s">
        <v>146</v>
      </c>
      <c r="Q38" s="61" t="s">
        <v>153</v>
      </c>
      <c r="R38" s="61" t="s">
        <v>148</v>
      </c>
      <c r="S38" s="61" t="s">
        <v>149</v>
      </c>
      <c r="T38" s="61" t="s">
        <v>150</v>
      </c>
      <c r="U38" s="61" t="s">
        <v>151</v>
      </c>
      <c r="V38" s="61" t="s">
        <v>96</v>
      </c>
      <c r="W38" s="64"/>
      <c r="X38" s="64"/>
      <c r="AA38" s="1" t="str">
        <f>COMPLEX(ROUND((D38*(C38^2/B38)/F10),2),ROUND(SQRT(((C38^2/B38)/F10)^2-(D38*(C38^2/B38)/F10)^2),2))</f>
        <v>664,26+282,97i</v>
      </c>
    </row>
    <row r="39" spans="1:27" ht="12.75">
      <c r="A39" s="59">
        <f t="shared" si="0"/>
        <v>30222</v>
      </c>
      <c r="B39" s="68">
        <v>32850</v>
      </c>
      <c r="C39" s="68">
        <v>220</v>
      </c>
      <c r="D39" s="68">
        <v>0.92</v>
      </c>
      <c r="E39" s="69">
        <f>B39/(SQRT(3)*C39*D39)</f>
        <v>93.705317899600828</v>
      </c>
      <c r="F39" s="70">
        <v>35</v>
      </c>
      <c r="G39" s="71">
        <v>0.97</v>
      </c>
      <c r="H39" s="71">
        <v>100</v>
      </c>
      <c r="I39" s="70">
        <v>103</v>
      </c>
      <c r="J39" s="72">
        <f>E39*G39*M39/C39</f>
        <v>4.957863183415244E-2</v>
      </c>
      <c r="K39" s="73" t="e">
        <f>S5/(SQRT(1/0.1*LOG10((234+D9)/(234+D10)))*340.1)</f>
        <v>#NUM!</v>
      </c>
      <c r="L39" s="71" t="s">
        <v>154</v>
      </c>
      <c r="M39" s="74">
        <v>0.12</v>
      </c>
      <c r="N39" s="75" t="e">
        <f t="shared" si="2"/>
        <v>#NUM!</v>
      </c>
      <c r="O39" s="76" t="e">
        <f>COMPLEX(ROUND(IMREAL(IMDIV(N39,F10)),4),ROUND(IMAGINARY(IMDIV(N39,F10)),4))</f>
        <v>#NUM!</v>
      </c>
      <c r="P39" s="77" t="s">
        <v>155</v>
      </c>
      <c r="Q39" s="71" t="s">
        <v>156</v>
      </c>
      <c r="R39" s="77" t="s">
        <v>148</v>
      </c>
      <c r="S39" s="77" t="s">
        <v>149</v>
      </c>
      <c r="T39" s="77" t="s">
        <v>150</v>
      </c>
      <c r="U39" s="77" t="s">
        <v>151</v>
      </c>
      <c r="V39" s="124" t="s">
        <v>157</v>
      </c>
      <c r="W39" s="79"/>
      <c r="X39" s="75"/>
      <c r="AA39" s="1" t="str">
        <f>COMPLEX(ROUND((D39*(C39^2/B39)/F10),2),ROUND(SQRT(((C39^2/B39)/F10)^2-(D39*(C39^2/B39)/F10)^2),2))</f>
        <v>2800,61+1193,05i</v>
      </c>
    </row>
    <row r="40" spans="1:27" ht="12.75">
      <c r="A40" s="59">
        <f t="shared" si="0"/>
        <v>17664</v>
      </c>
      <c r="B40" s="68">
        <v>19200</v>
      </c>
      <c r="C40" s="68">
        <v>220</v>
      </c>
      <c r="D40" s="68">
        <v>0.92</v>
      </c>
      <c r="E40" s="69">
        <f t="shared" ref="E40:E48" si="3">B40/(SQRT(3)*C40*D40)</f>
        <v>54.768404982415099</v>
      </c>
      <c r="F40" s="70">
        <v>16</v>
      </c>
      <c r="G40" s="71">
        <v>2</v>
      </c>
      <c r="H40" s="71">
        <v>63</v>
      </c>
      <c r="I40" s="70">
        <v>67</v>
      </c>
      <c r="J40" s="72">
        <f t="shared" si="1"/>
        <v>2.489472953746141E-2</v>
      </c>
      <c r="K40" s="73" t="e">
        <f>S6/(SQRT(1/0.1*LOG10((234+D9)/(234+D10)))*340.1)</f>
        <v>#NUM!</v>
      </c>
      <c r="L40" s="71" t="s">
        <v>158</v>
      </c>
      <c r="M40" s="74">
        <v>0.05</v>
      </c>
      <c r="N40" s="75" t="e">
        <f t="shared" si="2"/>
        <v>#NUM!</v>
      </c>
      <c r="O40" s="76" t="e">
        <f>COMPLEX(ROUND(IMREAL(IMDIV(N40,F10)),4),ROUND(IMAGINARY(IMDIV(N40,F10)),4))</f>
        <v>#NUM!</v>
      </c>
      <c r="P40" s="77" t="s">
        <v>155</v>
      </c>
      <c r="Q40" s="71" t="s">
        <v>159</v>
      </c>
      <c r="R40" s="77" t="s">
        <v>148</v>
      </c>
      <c r="S40" s="77" t="s">
        <v>149</v>
      </c>
      <c r="T40" s="77" t="s">
        <v>150</v>
      </c>
      <c r="U40" s="77" t="s">
        <v>151</v>
      </c>
      <c r="V40" s="78" t="s">
        <v>160</v>
      </c>
      <c r="W40" s="79"/>
      <c r="X40" s="75"/>
      <c r="AA40" s="1" t="str">
        <f>COMPLEX(ROUND((D40*(C40^2/B40)/F10),2),ROUND(SQRT(((C40^2/B40)/F10)^2-(D40*(C40^2/B40)/F10)^2),2))</f>
        <v>4791,67+2041,24i</v>
      </c>
    </row>
    <row r="41" spans="1:27" ht="12.75">
      <c r="A41" s="59">
        <f t="shared" si="0"/>
        <v>22908</v>
      </c>
      <c r="B41" s="68">
        <v>24900</v>
      </c>
      <c r="C41" s="68">
        <v>220</v>
      </c>
      <c r="D41" s="68">
        <v>0.92</v>
      </c>
      <c r="E41" s="69">
        <f t="shared" si="3"/>
        <v>71.027775211569576</v>
      </c>
      <c r="F41" s="80">
        <v>25</v>
      </c>
      <c r="G41" s="71">
        <v>1.31</v>
      </c>
      <c r="H41" s="71">
        <v>80</v>
      </c>
      <c r="I41" s="70">
        <v>86</v>
      </c>
      <c r="J41" s="72">
        <f t="shared" si="1"/>
        <v>4.2293811603252796E-2</v>
      </c>
      <c r="K41" s="73" t="e">
        <f>S7/(SQRT(1/0.1*LOG10((234+D9)/(234+D10)))*340.1)</f>
        <v>#NUM!</v>
      </c>
      <c r="L41" s="80" t="s">
        <v>161</v>
      </c>
      <c r="M41" s="80">
        <v>0.1</v>
      </c>
      <c r="N41" s="81" t="e">
        <f t="shared" si="2"/>
        <v>#NUM!</v>
      </c>
      <c r="O41" s="82" t="e">
        <f>COMPLEX(ROUND(IMREAL(IMDIV(N41,F10)),4),ROUND(IMAGINARY(IMDIV(N41,F10)),4))</f>
        <v>#NUM!</v>
      </c>
      <c r="P41" s="80" t="s">
        <v>155</v>
      </c>
      <c r="Q41" s="71" t="s">
        <v>162</v>
      </c>
      <c r="R41" s="80" t="s">
        <v>148</v>
      </c>
      <c r="S41" s="80" t="s">
        <v>149</v>
      </c>
      <c r="T41" s="80" t="s">
        <v>150</v>
      </c>
      <c r="U41" s="77" t="s">
        <v>151</v>
      </c>
      <c r="V41" s="80" t="s">
        <v>163</v>
      </c>
      <c r="W41" s="81"/>
      <c r="X41" s="81"/>
      <c r="AA41" s="1" t="str">
        <f>COMPLEX(ROUND((D41*(C41^2/B41)/F10),2),ROUND(SQRT(((C41^2/B41)/F10)^2-(D41*(C41^2/B41)/F10)^2),2))</f>
        <v>3694,78+1573,97i</v>
      </c>
    </row>
    <row r="42" spans="1:27" ht="12.75">
      <c r="A42" s="59">
        <f t="shared" si="0"/>
        <v>17664</v>
      </c>
      <c r="B42" s="68">
        <v>19200</v>
      </c>
      <c r="C42" s="68">
        <v>220</v>
      </c>
      <c r="D42" s="68">
        <v>0.92</v>
      </c>
      <c r="E42" s="69">
        <f t="shared" si="3"/>
        <v>54.768404982415099</v>
      </c>
      <c r="F42" s="80">
        <v>16</v>
      </c>
      <c r="G42" s="71">
        <v>2</v>
      </c>
      <c r="H42" s="71">
        <v>63</v>
      </c>
      <c r="I42" s="70">
        <v>67</v>
      </c>
      <c r="J42" s="72">
        <f t="shared" si="1"/>
        <v>6.4726296797399663E-2</v>
      </c>
      <c r="K42" s="73" t="e">
        <f>S8/(SQRT(1/0.1*LOG10((234+D9)/(234+D10)))*340.1)</f>
        <v>#NUM!</v>
      </c>
      <c r="L42" s="71" t="s">
        <v>158</v>
      </c>
      <c r="M42" s="80">
        <v>0.13</v>
      </c>
      <c r="N42" s="81" t="e">
        <f t="shared" si="2"/>
        <v>#NUM!</v>
      </c>
      <c r="O42" s="82" t="e">
        <f>COMPLEX(ROUND(IMREAL(IMDIV(N42,F10)),4),ROUND(IMAGINARY(IMDIV(N42,F10)),4))</f>
        <v>#NUM!</v>
      </c>
      <c r="P42" s="80" t="s">
        <v>155</v>
      </c>
      <c r="Q42" s="71" t="s">
        <v>164</v>
      </c>
      <c r="R42" s="80" t="s">
        <v>148</v>
      </c>
      <c r="S42" s="80" t="s">
        <v>149</v>
      </c>
      <c r="T42" s="80" t="s">
        <v>150</v>
      </c>
      <c r="U42" s="77" t="s">
        <v>151</v>
      </c>
      <c r="V42" s="78" t="s">
        <v>160</v>
      </c>
      <c r="W42" s="81"/>
      <c r="X42" s="81"/>
      <c r="AA42" s="1" t="str">
        <f>COMPLEX(ROUND((D42*(C42^2/B42)/F10),2),ROUND(SQRT(((C42^2/B42)/F10)^2-(D42*(C42^2/B42)/F10)^2),2))</f>
        <v>4791,67+2041,24i</v>
      </c>
    </row>
    <row r="43" spans="1:27" ht="12.75">
      <c r="A43" s="59">
        <f t="shared" si="0"/>
        <v>698157.7</v>
      </c>
      <c r="B43" s="59">
        <v>787100</v>
      </c>
      <c r="C43" s="59">
        <v>380</v>
      </c>
      <c r="D43" s="59">
        <v>0.88700000000000001</v>
      </c>
      <c r="E43" s="60">
        <f t="shared" si="3"/>
        <v>1348.2240458053595</v>
      </c>
      <c r="F43" s="61">
        <v>300</v>
      </c>
      <c r="G43" s="61">
        <v>0.2</v>
      </c>
      <c r="H43" s="61">
        <v>1600</v>
      </c>
      <c r="I43" s="66" t="s">
        <v>165</v>
      </c>
      <c r="J43" s="62">
        <f t="shared" si="1"/>
        <v>1.0643874045831786E-2</v>
      </c>
      <c r="K43" s="63" t="e">
        <f>S9/(SQRT(1/0.1*LOG10((234+D9)/(234+D10)))*340.1)</f>
        <v>#NUM!</v>
      </c>
      <c r="L43" s="61" t="s">
        <v>102</v>
      </c>
      <c r="M43" s="61">
        <v>1.4999999999999999E-2</v>
      </c>
      <c r="N43" s="64" t="e">
        <f t="shared" si="2"/>
        <v>#NUM!</v>
      </c>
      <c r="O43" s="65" t="e">
        <f>COMPLEX(ROUND(IMREAL(IMDIV(N43,5*F6)),4),ROUND(IMAGINARY(IMDIV(N43,5*F6)),4))</f>
        <v>#NUM!</v>
      </c>
      <c r="P43" s="61" t="s">
        <v>105</v>
      </c>
      <c r="Q43" s="61" t="s">
        <v>166</v>
      </c>
      <c r="R43" s="61" t="s">
        <v>148</v>
      </c>
      <c r="S43" s="61" t="s">
        <v>149</v>
      </c>
      <c r="T43" s="61" t="s">
        <v>150</v>
      </c>
      <c r="U43" s="61" t="s">
        <v>151</v>
      </c>
      <c r="V43" s="61" t="s">
        <v>167</v>
      </c>
      <c r="W43" s="64"/>
      <c r="X43" s="64"/>
      <c r="AA43" s="1" t="str">
        <f>COMPLEX(ROUND((D43*(C43^2/B43)/F10),2),ROUND(SQRT(((C43^2/B43)/F10)^2-(D43*(C43^2/B43)/F10)^2),2))</f>
        <v>336,21+175,03i</v>
      </c>
    </row>
    <row r="44" spans="1:27" ht="12.75">
      <c r="A44" s="59">
        <f t="shared" si="0"/>
        <v>51926.25</v>
      </c>
      <c r="B44" s="59">
        <v>56750</v>
      </c>
      <c r="C44" s="59">
        <v>380</v>
      </c>
      <c r="D44" s="59">
        <v>0.91500000000000004</v>
      </c>
      <c r="E44" s="60">
        <f t="shared" si="3"/>
        <v>94.232464125715452</v>
      </c>
      <c r="F44" s="61">
        <v>70</v>
      </c>
      <c r="G44" s="61">
        <v>0.54</v>
      </c>
      <c r="H44" s="61">
        <v>100</v>
      </c>
      <c r="I44" s="66" t="s">
        <v>168</v>
      </c>
      <c r="J44" s="62">
        <f t="shared" si="1"/>
        <v>2.0086393668902504E-3</v>
      </c>
      <c r="K44" s="63" t="e">
        <f>S10/(SQRT(1/0.1*LOG10((234+D9)/(234+D10)))*340.1)</f>
        <v>#NUM!</v>
      </c>
      <c r="L44" s="61" t="s">
        <v>83</v>
      </c>
      <c r="M44" s="61">
        <v>1.4999999999999999E-2</v>
      </c>
      <c r="N44" s="64" t="e">
        <f t="shared" si="2"/>
        <v>#NUM!</v>
      </c>
      <c r="O44" s="65" t="e">
        <f>COMPLEX(ROUND(IMREAL(IMDIV(N44,F6)),4),ROUND(IMAGINARY(IMDIV(N44,F6)),4))</f>
        <v>#NUM!</v>
      </c>
      <c r="P44" s="61" t="s">
        <v>105</v>
      </c>
      <c r="Q44" s="61" t="s">
        <v>169</v>
      </c>
      <c r="R44" s="61" t="s">
        <v>148</v>
      </c>
      <c r="S44" s="61" t="s">
        <v>149</v>
      </c>
      <c r="T44" s="61" t="s">
        <v>150</v>
      </c>
      <c r="U44" s="61" t="s">
        <v>151</v>
      </c>
      <c r="V44" s="83" t="s">
        <v>157</v>
      </c>
      <c r="W44" s="64"/>
      <c r="X44" s="64"/>
      <c r="AA44" s="1" t="str">
        <f>COMPLEX(ROUND((D44*(C44^2/B44)/F10),2),ROUND(SQRT(((C44^2/B44)/F10)^2-(D44*(C44^2/B44)/F10)^2),2))</f>
        <v>4810,35+2121,04i</v>
      </c>
    </row>
    <row r="45" spans="1:27" ht="12.75">
      <c r="A45" s="59">
        <f t="shared" si="0"/>
        <v>63618</v>
      </c>
      <c r="B45" s="68">
        <v>69150</v>
      </c>
      <c r="C45" s="68">
        <v>380</v>
      </c>
      <c r="D45" s="68">
        <v>0.92</v>
      </c>
      <c r="E45" s="69">
        <f t="shared" si="3"/>
        <v>114.19842996127753</v>
      </c>
      <c r="F45" s="80">
        <v>70</v>
      </c>
      <c r="G45" s="80">
        <v>0.54</v>
      </c>
      <c r="H45" s="80">
        <v>125</v>
      </c>
      <c r="I45" s="84">
        <v>151</v>
      </c>
      <c r="J45" s="72">
        <f t="shared" si="1"/>
        <v>1.1359738559306028E-2</v>
      </c>
      <c r="K45" s="85" t="e">
        <f>S11/(SQRT(1/0.1*LOG10((234+D9)/(234+D10)))*340.1)</f>
        <v>#NUM!</v>
      </c>
      <c r="L45" s="80" t="s">
        <v>83</v>
      </c>
      <c r="M45" s="80">
        <v>7.0000000000000007E-2</v>
      </c>
      <c r="N45" s="81" t="e">
        <f t="shared" si="2"/>
        <v>#NUM!</v>
      </c>
      <c r="O45" s="82" t="e">
        <f>COMPLEX(ROUND(IMREAL(IMDIV(N45,F6)),4),ROUND(IMAGINARY(IMDIV(N45,F6)),4))</f>
        <v>#NUM!</v>
      </c>
      <c r="P45" s="80" t="s">
        <v>111</v>
      </c>
      <c r="Q45" s="80" t="s">
        <v>170</v>
      </c>
      <c r="R45" s="80" t="s">
        <v>148</v>
      </c>
      <c r="S45" s="80" t="s">
        <v>149</v>
      </c>
      <c r="T45" s="80" t="s">
        <v>150</v>
      </c>
      <c r="U45" s="80" t="s">
        <v>151</v>
      </c>
      <c r="V45" s="80" t="s">
        <v>171</v>
      </c>
      <c r="W45" s="81"/>
      <c r="X45" s="81"/>
      <c r="AA45" s="1" t="str">
        <f>COMPLEX(ROUND((D45*(C45^2/B45)/F10),2),ROUND(SQRT(((C45^2/B45)/F10)^2-(D45*(C45^2/B45)/F10)^2),2))</f>
        <v>3969,33+1690,93i</v>
      </c>
    </row>
    <row r="46" spans="1:27" ht="12.75">
      <c r="A46" s="59">
        <f t="shared" si="0"/>
        <v>226320</v>
      </c>
      <c r="B46" s="68">
        <v>246000</v>
      </c>
      <c r="C46" s="68">
        <v>380</v>
      </c>
      <c r="D46" s="68">
        <v>0.92</v>
      </c>
      <c r="E46" s="69">
        <f t="shared" si="3"/>
        <v>406.25905669521723</v>
      </c>
      <c r="F46" s="80">
        <v>150</v>
      </c>
      <c r="G46" s="80">
        <v>0.3</v>
      </c>
      <c r="H46" s="80">
        <v>450</v>
      </c>
      <c r="I46" s="84" t="s">
        <v>172</v>
      </c>
      <c r="J46" s="72">
        <f t="shared" si="1"/>
        <v>4.0091354279133275E-2</v>
      </c>
      <c r="K46" s="85" t="e">
        <f>S12/(SQRT(1/0.1*LOG10((234+D9)/(234+D10)))*340.1)</f>
        <v>#NUM!</v>
      </c>
      <c r="L46" s="80" t="s">
        <v>173</v>
      </c>
      <c r="M46" s="80">
        <v>0.125</v>
      </c>
      <c r="N46" s="81" t="e">
        <f t="shared" si="2"/>
        <v>#NUM!</v>
      </c>
      <c r="O46" s="82" t="e">
        <f>COMPLEX(ROUND(IMREAL(IMDIV(N46,2*F6)),4),ROUND(IMAGINARY(IMDIV(N46,2*F6)),4))</f>
        <v>#NUM!</v>
      </c>
      <c r="P46" s="80" t="s">
        <v>111</v>
      </c>
      <c r="Q46" s="80" t="s">
        <v>174</v>
      </c>
      <c r="R46" s="80" t="s">
        <v>148</v>
      </c>
      <c r="S46" s="80" t="s">
        <v>149</v>
      </c>
      <c r="T46" s="80" t="s">
        <v>150</v>
      </c>
      <c r="U46" s="80" t="s">
        <v>151</v>
      </c>
      <c r="V46" s="80" t="s">
        <v>175</v>
      </c>
      <c r="W46" s="81"/>
      <c r="X46" s="81"/>
      <c r="AA46" s="1" t="str">
        <f>COMPLEX(ROUND((D46*(C46^2/B46)/F10),2),ROUND(SQRT(((C46^2/B46)/F10)^2-(D46*(C46^2/B46)/F10)^2),2))</f>
        <v>1115,77+475,32i</v>
      </c>
    </row>
    <row r="47" spans="1:27" ht="12.75">
      <c r="A47" s="59">
        <f t="shared" si="0"/>
        <v>182247.66</v>
      </c>
      <c r="B47" s="68">
        <v>206630</v>
      </c>
      <c r="C47" s="68">
        <v>380</v>
      </c>
      <c r="D47" s="68">
        <v>0.88200000000000001</v>
      </c>
      <c r="E47" s="69">
        <f t="shared" si="3"/>
        <v>355.94309023347768</v>
      </c>
      <c r="F47" s="80">
        <v>120</v>
      </c>
      <c r="G47" s="80">
        <v>0.35</v>
      </c>
      <c r="H47" s="80">
        <v>400</v>
      </c>
      <c r="I47" s="84" t="s">
        <v>95</v>
      </c>
      <c r="J47" s="72">
        <f t="shared" si="1"/>
        <v>4.1963816953841576E-2</v>
      </c>
      <c r="K47" s="85" t="e">
        <f>S13/(SQRT(1/0.1*LOG10((234+D9)/(234+D10)))*340.1)</f>
        <v>#NUM!</v>
      </c>
      <c r="L47" s="80" t="s">
        <v>94</v>
      </c>
      <c r="M47" s="80">
        <v>0.128</v>
      </c>
      <c r="N47" s="81" t="e">
        <f t="shared" si="2"/>
        <v>#NUM!</v>
      </c>
      <c r="O47" s="82" t="e">
        <f>COMPLEX(ROUND(IMREAL(IMDIV(N47,2*F6)),4),ROUND(IMAGINARY(IMDIV(N47,2*F6)),4))</f>
        <v>#NUM!</v>
      </c>
      <c r="P47" s="80" t="s">
        <v>111</v>
      </c>
      <c r="Q47" s="80" t="s">
        <v>176</v>
      </c>
      <c r="R47" s="80" t="s">
        <v>148</v>
      </c>
      <c r="S47" s="80" t="s">
        <v>149</v>
      </c>
      <c r="T47" s="80" t="s">
        <v>150</v>
      </c>
      <c r="U47" s="80" t="s">
        <v>151</v>
      </c>
      <c r="V47" s="80" t="s">
        <v>96</v>
      </c>
      <c r="W47" s="81"/>
      <c r="X47" s="81"/>
      <c r="AA47" s="1" t="str">
        <f>COMPLEX(ROUND((D47*(C47^2/B47)/F10),2),ROUND(SQRT(((C47^2/B47)/F10)^2-(D47*(C47^2/B47)/F10)^2),2))</f>
        <v>1273,49+680,42i</v>
      </c>
    </row>
    <row r="48" spans="1:27" ht="12.75">
      <c r="A48" s="59">
        <f t="shared" si="0"/>
        <v>1136417.7</v>
      </c>
      <c r="B48" s="68">
        <v>1318350</v>
      </c>
      <c r="C48" s="68">
        <v>380</v>
      </c>
      <c r="D48" s="68">
        <v>0.86199999999999999</v>
      </c>
      <c r="E48" s="69">
        <f t="shared" si="3"/>
        <v>2323.6955897733028</v>
      </c>
      <c r="F48" s="80">
        <v>300</v>
      </c>
      <c r="G48" s="80">
        <v>0.2</v>
      </c>
      <c r="H48" s="84">
        <v>2500</v>
      </c>
      <c r="I48" s="84" t="s">
        <v>177</v>
      </c>
      <c r="J48" s="72">
        <f t="shared" si="1"/>
        <v>4.8919907153122166E-2</v>
      </c>
      <c r="K48" s="85" t="e">
        <f>S14/(SQRT(1/0.1*LOG10((234+D9)/(234+D10)))*340.1)</f>
        <v>#NUM!</v>
      </c>
      <c r="L48" s="80" t="s">
        <v>102</v>
      </c>
      <c r="M48" s="80">
        <v>0.04</v>
      </c>
      <c r="N48" s="81" t="e">
        <f t="shared" si="2"/>
        <v>#NUM!</v>
      </c>
      <c r="O48" s="82" t="e">
        <f>COMPLEX(ROUND(IMREAL(IMDIV(N48,8*F6)),4),ROUND(IMAGINARY(IMDIV(N48,8*F6)),4))</f>
        <v>#NUM!</v>
      </c>
      <c r="P48" s="80" t="s">
        <v>111</v>
      </c>
      <c r="Q48" s="80" t="s">
        <v>178</v>
      </c>
      <c r="R48" s="80" t="s">
        <v>148</v>
      </c>
      <c r="S48" s="80" t="s">
        <v>149</v>
      </c>
      <c r="T48" s="80" t="s">
        <v>150</v>
      </c>
      <c r="U48" s="80" t="s">
        <v>151</v>
      </c>
      <c r="V48" s="80" t="s">
        <v>110</v>
      </c>
      <c r="W48" s="81"/>
      <c r="X48" s="81"/>
      <c r="AA48" s="1" t="str">
        <f>COMPLEX(ROUND((D48*(C48^2/B48)/F10),2),ROUND(SQRT(((C48^2/B48)/F10)^2-(D48*(C48^2/B48)/F10)^2),2))</f>
        <v>195,07+114,72i</v>
      </c>
    </row>
    <row r="49" spans="1:24" ht="12.75">
      <c r="A49" s="59">
        <f t="shared" si="0"/>
        <v>186806</v>
      </c>
      <c r="B49" s="86">
        <f>SUM(B37,B38)</f>
        <v>203050</v>
      </c>
      <c r="C49" s="59">
        <v>220</v>
      </c>
      <c r="D49" s="87">
        <v>0.92</v>
      </c>
      <c r="E49" s="87">
        <f>E37+E38</f>
        <v>579.20440789996803</v>
      </c>
      <c r="F49" s="61">
        <v>70</v>
      </c>
      <c r="G49" s="59">
        <v>0.54</v>
      </c>
      <c r="H49" s="59">
        <v>700</v>
      </c>
      <c r="I49" s="88" t="s">
        <v>84</v>
      </c>
      <c r="J49" s="62">
        <f t="shared" si="1"/>
        <v>2.8433670933271159E-2</v>
      </c>
      <c r="K49" s="63">
        <f>H67/(SQRT(1/0.1*LOG10((234+D10)/(234+D11)))*340.1)</f>
        <v>31.982100473198539</v>
      </c>
      <c r="L49" s="61" t="s">
        <v>83</v>
      </c>
      <c r="M49" s="61">
        <v>0.02</v>
      </c>
      <c r="N49" s="64" t="e">
        <f t="shared" si="2"/>
        <v>#NUM!</v>
      </c>
      <c r="O49" s="65" t="e">
        <f>COMPLEX(ROUND(IMREAL(IMDIV(N49,4*F6)),4),ROUND(IMAGINARY(IMDIV(N49,4*F6)),4))</f>
        <v>#NUM!</v>
      </c>
      <c r="P49" s="61" t="s">
        <v>179</v>
      </c>
      <c r="Q49" s="61" t="s">
        <v>180</v>
      </c>
      <c r="R49" s="59" t="s">
        <v>148</v>
      </c>
      <c r="S49" s="59" t="s">
        <v>149</v>
      </c>
      <c r="T49" s="61" t="s">
        <v>150</v>
      </c>
      <c r="U49" s="61" t="s">
        <v>151</v>
      </c>
      <c r="V49" s="83" t="s">
        <v>85</v>
      </c>
      <c r="W49" s="64"/>
      <c r="X49" s="64"/>
    </row>
    <row r="50" spans="1:24" ht="12.75">
      <c r="A50">
        <f>SUM(A37:A49)</f>
        <v>2820757.3099999996</v>
      </c>
      <c r="B50">
        <f>SUM(B37:B49)</f>
        <v>3186230</v>
      </c>
      <c r="I50" s="3"/>
      <c r="J50" s="3"/>
      <c r="K50" s="3"/>
      <c r="L50" s="3"/>
      <c r="M50" s="3"/>
      <c r="N50" s="3"/>
      <c r="O50" s="3"/>
      <c r="P50" s="3"/>
      <c r="Q50" s="3"/>
    </row>
    <row r="51" spans="1:24" ht="12.75">
      <c r="C51" s="6"/>
      <c r="D51" s="6"/>
      <c r="E51" s="3"/>
      <c r="F51" s="5"/>
      <c r="G51" s="3"/>
      <c r="J51" s="6"/>
      <c r="K51" s="3"/>
      <c r="L51" s="5"/>
      <c r="M51" s="3"/>
      <c r="P51" s="6"/>
      <c r="Q51" s="3"/>
      <c r="R51" s="5"/>
      <c r="S51" s="3"/>
    </row>
    <row r="52" spans="1:24" ht="12.75">
      <c r="C52" s="6" t="s">
        <v>181</v>
      </c>
      <c r="D52" s="6" t="s">
        <v>182</v>
      </c>
      <c r="E52" s="3"/>
      <c r="F52" s="5" t="s">
        <v>183</v>
      </c>
      <c r="G52" s="3"/>
      <c r="J52" s="6" t="s">
        <v>184</v>
      </c>
      <c r="K52" s="3"/>
      <c r="L52" s="5" t="s">
        <v>183</v>
      </c>
      <c r="M52" s="3"/>
      <c r="P52" s="6" t="s">
        <v>185</v>
      </c>
      <c r="Q52" s="3"/>
      <c r="R52" s="5" t="s">
        <v>183</v>
      </c>
      <c r="S52" s="3"/>
    </row>
    <row r="53" spans="1:24" ht="12.75">
      <c r="D53" s="46" t="s">
        <v>186</v>
      </c>
      <c r="E53" s="89">
        <f>D48</f>
        <v>0.86199999999999999</v>
      </c>
      <c r="F53">
        <f>ACOS(E53)</f>
        <v>0.53159430495608362</v>
      </c>
      <c r="G53" s="1" t="s">
        <v>187</v>
      </c>
      <c r="H53" s="47">
        <f>(SIN(F53)*B48-TAN(F54)*B48*E53)/1000</f>
        <v>184.17061231840546</v>
      </c>
      <c r="J53" s="46" t="s">
        <v>186</v>
      </c>
      <c r="K53" s="89">
        <f>D47</f>
        <v>0.88200000000000001</v>
      </c>
      <c r="L53">
        <f>ACOS(K53)</f>
        <v>0.49070679972034514</v>
      </c>
      <c r="M53" s="1" t="s">
        <v>187</v>
      </c>
      <c r="N53" s="47">
        <f>(SIN(L53)*B47-TAN(L54)*B47*K53)/1000</f>
        <v>19.737086124632594</v>
      </c>
      <c r="P53" s="46" t="s">
        <v>186</v>
      </c>
      <c r="Q53" s="89">
        <f>D43</f>
        <v>0.88700000000000001</v>
      </c>
      <c r="R53">
        <f>ACOS(Q53)</f>
        <v>0.47998900497337349</v>
      </c>
      <c r="S53" s="1" t="s">
        <v>187</v>
      </c>
      <c r="T53" s="47">
        <f>(SIN(R53)*B43-TAN(R55)*B43*Q53)/1000</f>
        <v>66.044778046414194</v>
      </c>
    </row>
    <row r="54" spans="1:24" ht="12.75">
      <c r="D54" s="46" t="s">
        <v>188</v>
      </c>
      <c r="E54" s="90">
        <v>0.92</v>
      </c>
      <c r="F54">
        <f>ACOS(E54)</f>
        <v>0.40271584158066132</v>
      </c>
      <c r="G54" s="1" t="s">
        <v>189</v>
      </c>
      <c r="H54" s="1">
        <v>17.5</v>
      </c>
      <c r="J54" s="46" t="s">
        <v>188</v>
      </c>
      <c r="K54" s="90">
        <v>0.92</v>
      </c>
      <c r="L54">
        <f>ACOS(K54)</f>
        <v>0.40271584158066132</v>
      </c>
      <c r="M54" s="1" t="s">
        <v>189</v>
      </c>
      <c r="N54" s="1">
        <v>5</v>
      </c>
      <c r="P54" s="46" t="s">
        <v>188</v>
      </c>
      <c r="Q54" s="90">
        <v>0.92</v>
      </c>
      <c r="R54">
        <f>ACOS(Q56)</f>
        <v>0.47589502512396864</v>
      </c>
      <c r="S54" s="1" t="s">
        <v>189</v>
      </c>
      <c r="T54" s="1">
        <v>7.5</v>
      </c>
    </row>
    <row r="55" spans="1:24" ht="12.75">
      <c r="D55" s="46" t="s">
        <v>190</v>
      </c>
      <c r="E55" s="91">
        <f>COS(F55)</f>
        <v>0.93008022124545897</v>
      </c>
      <c r="F55">
        <f>ASIN((H54*H55+TAN(F54)*B48*E53)/B48)</f>
        <v>0.37616516826428209</v>
      </c>
      <c r="G55" s="1" t="s">
        <v>191</v>
      </c>
      <c r="H55">
        <v>11</v>
      </c>
      <c r="J55" s="46" t="s">
        <v>190</v>
      </c>
      <c r="K55" s="91">
        <f>COS(L55)</f>
        <v>0.92668975510233531</v>
      </c>
      <c r="L55">
        <f>ASIN((N54*N55+TAN(L54)*B47*K53)/B47)</f>
        <v>0.38528927214183523</v>
      </c>
      <c r="M55" s="1" t="s">
        <v>191</v>
      </c>
      <c r="N55">
        <v>4</v>
      </c>
      <c r="P55" s="46" t="s">
        <v>190</v>
      </c>
      <c r="Q55" s="91">
        <f>COS(R56)</f>
        <v>0.92549969785365427</v>
      </c>
      <c r="R55">
        <f>ACOS(Q54)</f>
        <v>0.40271584158066132</v>
      </c>
      <c r="S55" s="1" t="s">
        <v>191</v>
      </c>
      <c r="T55">
        <v>9</v>
      </c>
    </row>
    <row r="56" spans="1:24" ht="12.75">
      <c r="D56" s="1" t="s">
        <v>192</v>
      </c>
      <c r="E56">
        <f>B48/(SQRT(3)*380*E53)</f>
        <v>2323.6955897733028</v>
      </c>
      <c r="G56" s="1" t="s">
        <v>193</v>
      </c>
      <c r="H56">
        <f>H54*H55</f>
        <v>192.5</v>
      </c>
      <c r="J56" s="1" t="s">
        <v>192</v>
      </c>
      <c r="K56" s="92">
        <f>B47/(SQRT(3)*380*K53)</f>
        <v>355.94309023347768</v>
      </c>
      <c r="M56" s="1" t="s">
        <v>193</v>
      </c>
      <c r="N56">
        <f>N54*N55</f>
        <v>20</v>
      </c>
      <c r="P56" s="46" t="s">
        <v>194</v>
      </c>
      <c r="Q56" s="93">
        <f>(B43*D43+B44*D44)/(B43+B44)</f>
        <v>0.88888303608461217</v>
      </c>
      <c r="R56">
        <f>ASIN((T54*T55+TAN(R55)*B43*Q56)/B43)</f>
        <v>0.38844351227219959</v>
      </c>
      <c r="S56" s="1" t="s">
        <v>193</v>
      </c>
      <c r="T56">
        <f>T54*T55</f>
        <v>67.5</v>
      </c>
    </row>
    <row r="57" spans="1:24" ht="12.75">
      <c r="D57" s="1" t="s">
        <v>195</v>
      </c>
      <c r="E57" s="92">
        <f>B48/(SQRT(3)*380*E55)</f>
        <v>2153.6051973047661</v>
      </c>
      <c r="G57" s="1" t="s">
        <v>196</v>
      </c>
      <c r="H57" s="1" t="s">
        <v>197</v>
      </c>
      <c r="J57" s="1" t="s">
        <v>195</v>
      </c>
      <c r="K57" s="92">
        <f>B47/(SQRT(3)*380*K55)</f>
        <v>338.77768029415455</v>
      </c>
      <c r="M57" s="1" t="s">
        <v>196</v>
      </c>
      <c r="N57" s="1" t="s">
        <v>198</v>
      </c>
      <c r="P57" s="46" t="s">
        <v>199</v>
      </c>
      <c r="Q57" s="93">
        <f>(B43*Q55+B44*D44)/(B43+B44)</f>
        <v>0.92479357964165587</v>
      </c>
      <c r="S57" s="1" t="s">
        <v>196</v>
      </c>
      <c r="T57" s="1" t="s">
        <v>200</v>
      </c>
    </row>
    <row r="58" spans="1:24" ht="14.25">
      <c r="E58" s="94"/>
      <c r="G58" s="1" t="s">
        <v>201</v>
      </c>
      <c r="H58" s="1" t="s">
        <v>202</v>
      </c>
      <c r="M58" s="1" t="s">
        <v>201</v>
      </c>
      <c r="N58" s="1" t="s">
        <v>150</v>
      </c>
      <c r="P58" s="1" t="s">
        <v>192</v>
      </c>
      <c r="Q58">
        <f>B43/(SQRT(3)*380*Q53)</f>
        <v>1348.2240458053595</v>
      </c>
      <c r="S58" s="1" t="s">
        <v>201</v>
      </c>
      <c r="T58" s="1" t="s">
        <v>202</v>
      </c>
    </row>
    <row r="59" spans="1:24" ht="12.75">
      <c r="G59" s="1" t="s">
        <v>203</v>
      </c>
      <c r="H59" s="1">
        <v>400</v>
      </c>
      <c r="J59" s="1" t="s">
        <v>204</v>
      </c>
      <c r="K59" s="95">
        <f>(B45*D45+B46*D46+B47*D47+B48*D48)/(B45+B46+B47+B48)</f>
        <v>0.87417919386130316</v>
      </c>
      <c r="M59" s="1" t="s">
        <v>203</v>
      </c>
      <c r="N59" s="1">
        <v>40</v>
      </c>
      <c r="P59" s="1" t="s">
        <v>195</v>
      </c>
      <c r="Q59" s="92">
        <f>B43/(SQRT(3)*380*Q55)</f>
        <v>1292.1395127440148</v>
      </c>
      <c r="S59" s="1" t="s">
        <v>203</v>
      </c>
      <c r="T59" s="1">
        <v>125</v>
      </c>
    </row>
    <row r="60" spans="1:24" ht="12.75">
      <c r="A60" s="6"/>
      <c r="B60" s="6" t="s">
        <v>205</v>
      </c>
      <c r="J60" s="1" t="s">
        <v>206</v>
      </c>
      <c r="K60" s="95">
        <f>(B45*D45+B46*D46+B47*E55+B48*K55)/(B45+B46+B47+B48)</f>
        <v>0.92592475246591976</v>
      </c>
      <c r="P60" s="1" t="s">
        <v>207</v>
      </c>
      <c r="Q60" s="92">
        <f>(B43+B44)/(SQRT(3)*380*Q56)</f>
        <v>1442.3691096095365</v>
      </c>
    </row>
    <row r="61" spans="1:24" ht="12.75">
      <c r="A61" s="1"/>
      <c r="B61" s="1" t="s">
        <v>208</v>
      </c>
      <c r="C61" s="1" t="s">
        <v>136</v>
      </c>
      <c r="D61" s="1" t="s">
        <v>209</v>
      </c>
      <c r="P61" s="1" t="s">
        <v>210</v>
      </c>
      <c r="Q61" s="92">
        <f>(B43+B44)/(SQRT(3)*380*Q57)</f>
        <v>1386.3606555326407</v>
      </c>
      <c r="S61" s="1" t="s">
        <v>211</v>
      </c>
    </row>
    <row r="62" spans="1:24" ht="12.75">
      <c r="B62">
        <f>B37+B38</f>
        <v>203050</v>
      </c>
      <c r="D62">
        <f>ROUND(B62*COS(C63),4)</f>
        <v>186806</v>
      </c>
    </row>
    <row r="63" spans="1:24" ht="12.75">
      <c r="A63" s="1"/>
      <c r="B63" s="1">
        <v>0.92</v>
      </c>
      <c r="C63" s="96">
        <f>ACOS(B63)</f>
        <v>0.40271584158066132</v>
      </c>
    </row>
    <row r="64" spans="1:24" ht="12.75">
      <c r="A64" s="1"/>
      <c r="B64" s="1" t="s">
        <v>212</v>
      </c>
      <c r="G64" s="1" t="s">
        <v>213</v>
      </c>
      <c r="H64" s="1" t="s">
        <v>214</v>
      </c>
      <c r="J64" s="97" t="s">
        <v>213</v>
      </c>
      <c r="K64" s="97" t="s">
        <v>214</v>
      </c>
    </row>
    <row r="65" spans="1:16" ht="12.75">
      <c r="A65" s="1"/>
      <c r="B65" s="1" t="s">
        <v>215</v>
      </c>
      <c r="C65" s="1">
        <v>320000</v>
      </c>
      <c r="D65" s="1" t="s">
        <v>216</v>
      </c>
      <c r="E65" s="1" t="str">
        <f>COMPLEX(0,(2.903*(100000000/299000)))</f>
        <v>970,903010033445i</v>
      </c>
      <c r="F65" s="1" t="s">
        <v>217</v>
      </c>
      <c r="G65" s="98">
        <f>IMABS(IMPRODUCT(IMDIV(1,E65),C69))</f>
        <v>270.29676273400202</v>
      </c>
      <c r="H65" s="98">
        <f>IMABS(IMPRODUCT(C69,IMDIV(3,IMSUM(E65,E65,E68))))</f>
        <v>403.70682672790701</v>
      </c>
      <c r="I65" s="1" t="s">
        <v>218</v>
      </c>
      <c r="J65" t="e">
        <f>IMABS(IMSUM(COMPLEX(1,G65),IMDIV(IMPRODUCT(IMPRODUCT(D5,IMDIV(1,I8)),D4),C67)))</f>
        <v>#NUM!</v>
      </c>
      <c r="K65" t="e">
        <f>IMABS(IMSUM(COMPLEX(1,H65),IMDIV(IMPRODUCT(IMDIV(1,IMSUM(I8,I8,J8)),3,D5,D4),C67)))</f>
        <v>#NUM!</v>
      </c>
    </row>
    <row r="66" spans="1:16" ht="12.75">
      <c r="A66" s="1"/>
      <c r="B66" s="1" t="s">
        <v>219</v>
      </c>
      <c r="C66" s="1">
        <v>256000</v>
      </c>
      <c r="D66" s="1" t="s">
        <v>220</v>
      </c>
      <c r="E66" s="1" t="str">
        <f>COMPLEX(0,(0.136*100000000/299000))</f>
        <v>45,4849498327759i</v>
      </c>
      <c r="F66" s="1" t="s">
        <v>221</v>
      </c>
      <c r="G66" s="98">
        <f>IMABS(IMPRODUCT(IMDIV(1,E66),C69))</f>
        <v>5769.6433986530201</v>
      </c>
      <c r="H66" s="98">
        <f>IMABS(IMPRODUCT(C69,IMDIV(3,IMSUM(E66,E66,E68))))</f>
        <v>7925.9747698667597</v>
      </c>
    </row>
    <row r="67" spans="1:16" ht="14.25">
      <c r="A67" s="1"/>
      <c r="B67" s="1" t="s">
        <v>222</v>
      </c>
      <c r="C67" s="1">
        <v>220</v>
      </c>
      <c r="D67" s="1" t="s">
        <v>223</v>
      </c>
      <c r="E67" s="1" t="str">
        <f>COMPLEX(0,(0.089*100000000/299000))</f>
        <v>29,7658862876254i</v>
      </c>
      <c r="F67" s="1" t="s">
        <v>224</v>
      </c>
      <c r="G67" s="98">
        <f>IMABS(IMPRODUCT(IMDIV(1,E67),C69))</f>
        <v>8816.5337327731304</v>
      </c>
      <c r="H67" s="98">
        <f>IMABS(IMPRODUCT(C69,IMDIV(3,IMSUM(E67,E67,E68))))</f>
        <v>11596.1305746327</v>
      </c>
      <c r="I67" s="99"/>
    </row>
    <row r="68" spans="1:16" ht="14.25">
      <c r="A68" s="1"/>
      <c r="B68" s="1" t="s">
        <v>225</v>
      </c>
      <c r="C68" s="100">
        <v>100000000</v>
      </c>
      <c r="D68" s="1" t="s">
        <v>226</v>
      </c>
      <c r="E68" t="str">
        <f>COMPLEX(0,(0.025*100000000/299000))</f>
        <v>8,36120401337793i</v>
      </c>
      <c r="G68" s="101"/>
    </row>
    <row r="69" spans="1:16" ht="14.25">
      <c r="A69" s="1"/>
      <c r="B69" s="1" t="s">
        <v>227</v>
      </c>
      <c r="C69" s="56">
        <f>C68/(SQRT(3)*C67)</f>
        <v>262431.94054073899</v>
      </c>
      <c r="H69" s="102"/>
      <c r="J69" s="103"/>
      <c r="M69" s="1" t="s">
        <v>57</v>
      </c>
      <c r="P69" s="1" t="s">
        <v>57</v>
      </c>
    </row>
    <row r="70" spans="1:16" ht="12.75">
      <c r="L70" s="1" t="s">
        <v>228</v>
      </c>
      <c r="M70">
        <f>T56*1000/(SQRT(3)*380)</f>
        <v>102.55563992184143</v>
      </c>
      <c r="O70" s="1" t="s">
        <v>228</v>
      </c>
      <c r="P70" s="1">
        <v>125</v>
      </c>
    </row>
    <row r="71" spans="1:16" ht="12.75">
      <c r="A71" s="6"/>
      <c r="B71" s="6" t="s">
        <v>229</v>
      </c>
      <c r="L71" s="1" t="s">
        <v>230</v>
      </c>
      <c r="M71">
        <f>N56*1000/(SQRT(3)*380)</f>
        <v>30.3868562731382</v>
      </c>
      <c r="O71" s="1" t="s">
        <v>230</v>
      </c>
      <c r="P71" s="1">
        <v>40</v>
      </c>
    </row>
    <row r="72" spans="1:16" ht="12.75">
      <c r="B72" s="34" t="s">
        <v>231</v>
      </c>
      <c r="C72" s="34" t="s">
        <v>232</v>
      </c>
      <c r="D72" s="34" t="s">
        <v>233</v>
      </c>
      <c r="E72" s="34" t="s">
        <v>234</v>
      </c>
      <c r="F72" s="34" t="s">
        <v>235</v>
      </c>
      <c r="L72" s="1" t="s">
        <v>236</v>
      </c>
      <c r="M72">
        <f>H56*1000/(SQRT(3)*380)</f>
        <v>292.47349162895517</v>
      </c>
      <c r="O72" s="1" t="s">
        <v>236</v>
      </c>
      <c r="P72" s="1">
        <v>400</v>
      </c>
    </row>
    <row r="73" spans="1:16" ht="12.75">
      <c r="A73" s="5"/>
      <c r="B73" s="35" t="s">
        <v>34</v>
      </c>
      <c r="C73" s="34">
        <v>700</v>
      </c>
      <c r="D73" s="34" t="s">
        <v>237</v>
      </c>
      <c r="E73" s="34" t="s">
        <v>238</v>
      </c>
      <c r="F73" s="34" t="s">
        <v>239</v>
      </c>
    </row>
    <row r="74" spans="1:16" ht="12.75">
      <c r="A74" s="5"/>
      <c r="B74" s="35" t="s">
        <v>38</v>
      </c>
      <c r="C74" s="34">
        <v>350</v>
      </c>
      <c r="D74" s="34" t="s">
        <v>237</v>
      </c>
      <c r="E74" s="34" t="s">
        <v>240</v>
      </c>
      <c r="F74" s="34" t="s">
        <v>239</v>
      </c>
    </row>
    <row r="75" spans="1:16" ht="12.75">
      <c r="A75" s="5"/>
      <c r="B75" s="35" t="s">
        <v>42</v>
      </c>
      <c r="C75" s="34">
        <v>2000</v>
      </c>
      <c r="D75" s="34" t="s">
        <v>241</v>
      </c>
      <c r="E75" s="34" t="s">
        <v>242</v>
      </c>
      <c r="F75" s="34" t="s">
        <v>243</v>
      </c>
    </row>
    <row r="76" spans="1:16" ht="12.75">
      <c r="A76" s="5"/>
      <c r="B76" s="35" t="s">
        <v>44</v>
      </c>
      <c r="C76" s="34">
        <v>4000</v>
      </c>
      <c r="D76" s="34" t="s">
        <v>241</v>
      </c>
      <c r="E76" s="34" t="s">
        <v>244</v>
      </c>
      <c r="F76" s="34" t="s">
        <v>243</v>
      </c>
    </row>
    <row r="77" spans="1:16" ht="12.75">
      <c r="A77" s="1"/>
      <c r="B77" s="34" t="s">
        <v>14</v>
      </c>
      <c r="C77" s="35">
        <v>200</v>
      </c>
      <c r="D77" s="34" t="s">
        <v>237</v>
      </c>
      <c r="E77" s="34" t="s">
        <v>245</v>
      </c>
      <c r="F77" s="34" t="s">
        <v>239</v>
      </c>
      <c r="I77" s="104" t="s">
        <v>63</v>
      </c>
      <c r="J77" s="105" t="s">
        <v>246</v>
      </c>
      <c r="K77" s="105" t="s">
        <v>247</v>
      </c>
      <c r="L77" s="105" t="s">
        <v>248</v>
      </c>
    </row>
    <row r="78" spans="1:16" ht="12.75">
      <c r="A78" s="1"/>
      <c r="B78" s="34" t="s">
        <v>20</v>
      </c>
      <c r="C78" s="35">
        <v>400</v>
      </c>
      <c r="D78" s="34" t="s">
        <v>237</v>
      </c>
      <c r="E78" s="34" t="s">
        <v>240</v>
      </c>
      <c r="F78" s="34" t="s">
        <v>239</v>
      </c>
      <c r="H78" s="105" t="s">
        <v>14</v>
      </c>
      <c r="I78" s="106">
        <v>120</v>
      </c>
      <c r="J78" s="107">
        <f>340.1*I78*SQRT((1/0.01)*LOG10((234+D9)/(234+D10)))</f>
        <v>136962.20091187558</v>
      </c>
      <c r="K78" s="107">
        <v>3429.2221602429495</v>
      </c>
      <c r="L78" s="107">
        <v>3452.7887680500644</v>
      </c>
    </row>
    <row r="79" spans="1:16" ht="12.75">
      <c r="A79" s="1"/>
      <c r="B79" s="34" t="s">
        <v>24</v>
      </c>
      <c r="C79" s="108">
        <v>100</v>
      </c>
      <c r="D79" s="34" t="s">
        <v>237</v>
      </c>
      <c r="E79" s="34" t="s">
        <v>249</v>
      </c>
      <c r="F79" s="34" t="s">
        <v>239</v>
      </c>
      <c r="H79" s="105" t="s">
        <v>20</v>
      </c>
      <c r="I79" s="106">
        <v>120</v>
      </c>
      <c r="J79" s="107">
        <f>340.1*I79*SQRT((1/0.01)*LOG10((234+D9)/(234+D10)))</f>
        <v>136962.20091187558</v>
      </c>
      <c r="K79" s="107">
        <v>10465.109624327675</v>
      </c>
      <c r="L79" s="107">
        <v>10768.590202082638</v>
      </c>
    </row>
    <row r="80" spans="1:16" ht="12.75">
      <c r="A80" s="1"/>
      <c r="B80" s="34" t="s">
        <v>28</v>
      </c>
      <c r="C80" s="108">
        <v>63</v>
      </c>
      <c r="D80" s="34" t="s">
        <v>237</v>
      </c>
      <c r="E80" s="34" t="s">
        <v>249</v>
      </c>
      <c r="F80" s="34" t="s">
        <v>239</v>
      </c>
      <c r="H80" s="105" t="s">
        <v>24</v>
      </c>
      <c r="I80" s="109">
        <v>35</v>
      </c>
      <c r="J80" s="107">
        <f>340.1*I80*SQRT((1/0.01)*LOG10((234+D9)/(234+D10)))</f>
        <v>39947.308599297037</v>
      </c>
      <c r="K80" s="107">
        <v>1583.0424307984151</v>
      </c>
      <c r="L80" s="107">
        <v>1587.1346785719386</v>
      </c>
    </row>
    <row r="81" spans="1:12" ht="12.75">
      <c r="A81" s="1"/>
      <c r="B81" s="34" t="s">
        <v>31</v>
      </c>
      <c r="C81" s="108">
        <v>80</v>
      </c>
      <c r="D81" s="34" t="s">
        <v>237</v>
      </c>
      <c r="E81" s="34" t="s">
        <v>249</v>
      </c>
      <c r="F81" s="34" t="s">
        <v>239</v>
      </c>
      <c r="H81" s="105" t="s">
        <v>28</v>
      </c>
      <c r="I81" s="109">
        <v>16</v>
      </c>
      <c r="J81" s="107">
        <f>340.1*I81*SQRT((1/0.01)*LOG10((234+D9)/(234+D10)))</f>
        <v>18261.626788250076</v>
      </c>
      <c r="K81" s="107">
        <v>1725.2548588021095</v>
      </c>
      <c r="L81" s="107">
        <v>1730.0554368554974</v>
      </c>
    </row>
    <row r="82" spans="1:12" ht="12.75">
      <c r="A82" s="1"/>
      <c r="B82" s="34" t="s">
        <v>35</v>
      </c>
      <c r="C82" s="108">
        <v>63</v>
      </c>
      <c r="D82" s="34" t="s">
        <v>237</v>
      </c>
      <c r="E82" s="34" t="s">
        <v>249</v>
      </c>
      <c r="F82" s="34" t="s">
        <v>239</v>
      </c>
      <c r="H82" s="105" t="s">
        <v>31</v>
      </c>
      <c r="I82" s="106">
        <v>25</v>
      </c>
      <c r="J82" s="107">
        <f>340.1*I82*SQRT((1/0.01)*LOG10((234+D9)/(234+D10)))</f>
        <v>28533.791856640742</v>
      </c>
      <c r="K82" s="107">
        <v>1400.0819064734646</v>
      </c>
      <c r="L82" s="107">
        <v>1403.1437555906216</v>
      </c>
    </row>
    <row r="83" spans="1:12" ht="12.75">
      <c r="A83" s="1"/>
      <c r="B83" s="34" t="s">
        <v>39</v>
      </c>
      <c r="C83" s="35">
        <v>1600</v>
      </c>
      <c r="D83" s="34" t="s">
        <v>241</v>
      </c>
      <c r="E83" s="34" t="s">
        <v>250</v>
      </c>
      <c r="F83" s="34" t="s">
        <v>243</v>
      </c>
      <c r="H83" s="105" t="s">
        <v>35</v>
      </c>
      <c r="I83" s="106">
        <v>16</v>
      </c>
      <c r="J83" s="107">
        <f>340.1*I83*SQRT((1/0.01)*LOG10((234+D9)/(234+D10)))</f>
        <v>18261.626788250076</v>
      </c>
      <c r="K83" s="107">
        <v>714.89665325951376</v>
      </c>
      <c r="L83" s="107">
        <v>715.58294481436928</v>
      </c>
    </row>
    <row r="84" spans="1:12" ht="12.75">
      <c r="A84" s="1"/>
      <c r="B84" s="34" t="s">
        <v>43</v>
      </c>
      <c r="C84" s="35">
        <v>100</v>
      </c>
      <c r="D84" s="34" t="s">
        <v>237</v>
      </c>
      <c r="E84" s="34" t="s">
        <v>249</v>
      </c>
      <c r="F84" s="34" t="s">
        <v>239</v>
      </c>
      <c r="H84" s="105" t="s">
        <v>39</v>
      </c>
      <c r="I84" s="106">
        <v>300</v>
      </c>
      <c r="J84" s="107">
        <f>340.1*I84*SQRT((1/0.01)*LOG10((234+D9)/(234+D10)))</f>
        <v>342405.5022796889</v>
      </c>
      <c r="K84" s="107">
        <v>21004.172967070783</v>
      </c>
      <c r="L84" s="107">
        <v>23284.498425414953</v>
      </c>
    </row>
    <row r="85" spans="1:12" ht="12.75">
      <c r="A85" s="1"/>
      <c r="B85" s="34" t="s">
        <v>45</v>
      </c>
      <c r="C85" s="35">
        <v>125</v>
      </c>
      <c r="D85" s="34" t="s">
        <v>237</v>
      </c>
      <c r="E85" s="34" t="s">
        <v>249</v>
      </c>
      <c r="F85" s="34" t="s">
        <v>239</v>
      </c>
      <c r="H85" s="105" t="s">
        <v>43</v>
      </c>
      <c r="I85" s="106">
        <v>70</v>
      </c>
      <c r="J85" s="107">
        <f>340.1*I85*SQRT((1/0.01)*LOG10((234+D9)/(234+D10)))</f>
        <v>79894.617198594075</v>
      </c>
      <c r="K85" s="107">
        <v>13047.05486614744</v>
      </c>
      <c r="L85" s="107">
        <v>13764.840937845045</v>
      </c>
    </row>
    <row r="86" spans="1:12" ht="12.75">
      <c r="A86" s="1"/>
      <c r="B86" s="34" t="s">
        <v>46</v>
      </c>
      <c r="C86" s="35">
        <v>450</v>
      </c>
      <c r="D86" s="34" t="s">
        <v>237</v>
      </c>
      <c r="E86" s="34" t="s">
        <v>238</v>
      </c>
      <c r="F86" s="34" t="s">
        <v>239</v>
      </c>
      <c r="H86" s="105" t="s">
        <v>45</v>
      </c>
      <c r="I86" s="106">
        <v>70</v>
      </c>
      <c r="J86" s="107">
        <f>340.1*I86*SQRT((1/0.01)*LOG10((234+D9)/(234+D10)))</f>
        <v>79894.617198594075</v>
      </c>
      <c r="K86" s="107">
        <v>4417.6004989451585</v>
      </c>
      <c r="L86" s="107">
        <v>4467.8867643041503</v>
      </c>
    </row>
    <row r="87" spans="1:12" ht="12.75">
      <c r="A87" s="1"/>
      <c r="B87" s="34" t="s">
        <v>49</v>
      </c>
      <c r="C87" s="35">
        <v>400</v>
      </c>
      <c r="D87" s="34" t="s">
        <v>237</v>
      </c>
      <c r="E87" s="34" t="s">
        <v>240</v>
      </c>
      <c r="F87" s="34" t="s">
        <v>239</v>
      </c>
      <c r="H87" s="105" t="s">
        <v>46</v>
      </c>
      <c r="I87" s="106">
        <v>150</v>
      </c>
      <c r="J87" s="107">
        <f>340.1*I87*SQRT((1/0.01)*LOG10((234+D9)/(234+D10)))</f>
        <v>171202.75113984445</v>
      </c>
      <c r="K87" s="107">
        <v>15320.920625717847</v>
      </c>
      <c r="L87" s="107">
        <v>16340.857767738124</v>
      </c>
    </row>
    <row r="88" spans="1:12" ht="12.75">
      <c r="A88" s="1"/>
      <c r="B88" s="34" t="s">
        <v>51</v>
      </c>
      <c r="C88" s="110">
        <v>2500</v>
      </c>
      <c r="D88" s="34" t="s">
        <v>241</v>
      </c>
      <c r="E88" s="34" t="s">
        <v>251</v>
      </c>
      <c r="F88" s="34" t="s">
        <v>243</v>
      </c>
      <c r="H88" s="105" t="s">
        <v>49</v>
      </c>
      <c r="I88" s="106">
        <v>120</v>
      </c>
      <c r="J88" s="107">
        <f>340.1*I88*SQRT((1/0.01)*LOG10((234+D9)/(234+D10)))</f>
        <v>136962.20091187558</v>
      </c>
      <c r="K88" s="107">
        <v>13304.115117908996</v>
      </c>
      <c r="L88" s="107">
        <v>14018.02004599978</v>
      </c>
    </row>
    <row r="89" spans="1:12" ht="12.75">
      <c r="A89" s="1"/>
      <c r="B89" s="34" t="s">
        <v>252</v>
      </c>
      <c r="C89" s="34">
        <v>125</v>
      </c>
      <c r="D89" s="34" t="s">
        <v>237</v>
      </c>
      <c r="E89" s="34" t="s">
        <v>249</v>
      </c>
      <c r="F89" s="34" t="s">
        <v>239</v>
      </c>
      <c r="H89" s="105" t="s">
        <v>51</v>
      </c>
      <c r="I89" s="106">
        <v>300</v>
      </c>
      <c r="J89" s="107">
        <f>340.1*I89*SQRT((1/0.01)*LOG10((234+D9)/(234+D10)))</f>
        <v>342405.5022796889</v>
      </c>
      <c r="K89" s="107">
        <v>28677.276425971024</v>
      </c>
      <c r="L89" s="107">
        <v>33110.52138699207</v>
      </c>
    </row>
    <row r="90" spans="1:12" ht="12.75">
      <c r="A90" s="1"/>
      <c r="B90" s="34" t="s">
        <v>253</v>
      </c>
      <c r="C90" s="34">
        <v>40</v>
      </c>
      <c r="D90" s="34" t="s">
        <v>237</v>
      </c>
      <c r="E90" s="34" t="s">
        <v>249</v>
      </c>
      <c r="F90" s="34" t="s">
        <v>239</v>
      </c>
      <c r="H90" s="105" t="s">
        <v>179</v>
      </c>
      <c r="I90" s="106">
        <v>70</v>
      </c>
      <c r="J90" s="107">
        <f>340.1*I90*SQRT((1/0.01)*LOG10((234+D9)/(234+D10)))</f>
        <v>79894.617198594075</v>
      </c>
      <c r="K90" s="107">
        <v>11609.544075100608</v>
      </c>
      <c r="L90" s="107">
        <v>11871.143284162443</v>
      </c>
    </row>
    <row r="91" spans="1:12" ht="12.75">
      <c r="A91" s="1"/>
      <c r="B91" s="34" t="s">
        <v>254</v>
      </c>
      <c r="C91" s="34">
        <v>400</v>
      </c>
      <c r="D91" s="34" t="s">
        <v>237</v>
      </c>
      <c r="E91" s="34" t="s">
        <v>240</v>
      </c>
      <c r="F91" s="34" t="s">
        <v>239</v>
      </c>
    </row>
    <row r="92" spans="1:12" ht="12.75">
      <c r="A92" s="1"/>
      <c r="B92" s="34" t="s">
        <v>205</v>
      </c>
      <c r="C92" s="111">
        <v>700</v>
      </c>
      <c r="D92" s="34" t="s">
        <v>237</v>
      </c>
      <c r="E92" s="34" t="s">
        <v>238</v>
      </c>
      <c r="F92" s="34" t="s">
        <v>239</v>
      </c>
    </row>
  </sheetData>
  <mergeCells count="2">
    <mergeCell ref="I1:J1"/>
    <mergeCell ref="O1:P1"/>
  </mergeCell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9"/>
  <sheetViews>
    <sheetView tabSelected="1" topLeftCell="A43" zoomScale="70" zoomScaleNormal="70" workbookViewId="0">
      <selection activeCell="M18" sqref="M18"/>
    </sheetView>
  </sheetViews>
  <sheetFormatPr defaultRowHeight="12.75"/>
  <cols>
    <col min="2" max="2" width="11.140625" customWidth="1"/>
    <col min="3" max="3" width="21.140625" bestFit="1" customWidth="1"/>
    <col min="7" max="7" width="9.28515625" customWidth="1"/>
    <col min="8" max="8" width="8.42578125" customWidth="1"/>
    <col min="9" max="9" width="11.42578125" customWidth="1"/>
    <col min="10" max="10" width="11.28515625" bestFit="1" customWidth="1"/>
    <col min="11" max="11" width="11.7109375" bestFit="1" customWidth="1"/>
    <col min="12" max="12" width="11.42578125" customWidth="1"/>
    <col min="13" max="13" width="13.7109375" style="112" customWidth="1"/>
    <col min="14" max="14" width="13.5703125" customWidth="1"/>
    <col min="15" max="15" width="13.5703125" style="112" customWidth="1"/>
    <col min="16" max="17" width="11.28515625" bestFit="1" customWidth="1"/>
    <col min="18" max="18" width="16.85546875" customWidth="1"/>
    <col min="19" max="19" width="13.85546875" bestFit="1" customWidth="1"/>
    <col min="20" max="20" width="10.7109375" style="112" customWidth="1"/>
    <col min="21" max="21" width="16.7109375" bestFit="1" customWidth="1"/>
    <col min="22" max="22" width="17.7109375" customWidth="1"/>
    <col min="23" max="23" width="17.7109375" style="178" customWidth="1"/>
    <col min="24" max="24" width="20" bestFit="1" customWidth="1"/>
    <col min="25" max="26" width="10.7109375" customWidth="1"/>
    <col min="27" max="27" width="10.42578125" customWidth="1"/>
  </cols>
  <sheetData>
    <row r="2" spans="2:28">
      <c r="J2" s="108" t="s">
        <v>11</v>
      </c>
      <c r="K2" s="7">
        <v>100000000</v>
      </c>
      <c r="L2" s="108" t="s">
        <v>11</v>
      </c>
      <c r="M2" s="7">
        <v>100000000</v>
      </c>
      <c r="P2" s="108" t="s">
        <v>11</v>
      </c>
      <c r="Q2" s="7">
        <v>100000000</v>
      </c>
    </row>
    <row r="3" spans="2:28">
      <c r="J3" s="108" t="s">
        <v>17</v>
      </c>
      <c r="K3" s="7">
        <v>13800</v>
      </c>
      <c r="L3" s="108" t="s">
        <v>18</v>
      </c>
      <c r="M3" s="7">
        <v>380</v>
      </c>
      <c r="P3" s="108" t="s">
        <v>33</v>
      </c>
      <c r="Q3" s="7">
        <v>220</v>
      </c>
    </row>
    <row r="4" spans="2:28">
      <c r="J4" s="108" t="s">
        <v>21</v>
      </c>
      <c r="K4" s="53">
        <f>K2/(SQRT(3)*K3)</f>
        <v>4183.6976028233748</v>
      </c>
      <c r="L4" s="108" t="s">
        <v>22</v>
      </c>
      <c r="M4" s="53">
        <f>M2/(SQRT(3)*M3)</f>
        <v>151934.28136569101</v>
      </c>
      <c r="P4" s="108" t="s">
        <v>37</v>
      </c>
      <c r="Q4" s="53">
        <f>Q2/(SQRT(3)*Q3)</f>
        <v>262431.94054073899</v>
      </c>
    </row>
    <row r="5" spans="2:28">
      <c r="J5" s="108" t="s">
        <v>25</v>
      </c>
      <c r="K5" s="40">
        <f>K3^2/K2</f>
        <v>1.9044000000000001</v>
      </c>
      <c r="L5" s="108" t="s">
        <v>26</v>
      </c>
      <c r="M5" s="40">
        <f>M3^2/M2</f>
        <v>1.444E-3</v>
      </c>
      <c r="P5" s="108" t="s">
        <v>41</v>
      </c>
      <c r="Q5" s="40">
        <f>Q3^2/Q2</f>
        <v>4.84E-4</v>
      </c>
    </row>
    <row r="6" spans="2:28" ht="12.75" customHeight="1">
      <c r="I6" s="222" t="s">
        <v>301</v>
      </c>
      <c r="J6" s="108" t="s">
        <v>29</v>
      </c>
      <c r="K6" s="108">
        <v>90</v>
      </c>
      <c r="L6" s="222" t="s">
        <v>300</v>
      </c>
      <c r="M6" s="34" t="s">
        <v>36</v>
      </c>
      <c r="P6" s="34">
        <v>160</v>
      </c>
      <c r="Q6" s="112"/>
    </row>
    <row r="7" spans="2:28" s="112" customFormat="1">
      <c r="I7" s="222"/>
      <c r="J7" s="108" t="s">
        <v>32</v>
      </c>
      <c r="K7" s="108">
        <v>250</v>
      </c>
      <c r="L7" s="222"/>
      <c r="M7" s="34" t="s">
        <v>40</v>
      </c>
      <c r="P7" s="34">
        <v>70</v>
      </c>
      <c r="W7" s="178"/>
    </row>
    <row r="8" spans="2:28" s="112" customFormat="1">
      <c r="W8" s="178"/>
    </row>
    <row r="9" spans="2:28" s="112" customFormat="1">
      <c r="W9" s="178"/>
    </row>
    <row r="10" spans="2:28" s="112" customFormat="1">
      <c r="W10" s="178"/>
    </row>
    <row r="11" spans="2:28" s="112" customFormat="1" ht="12.75" customHeight="1">
      <c r="I11" s="236" t="s">
        <v>360</v>
      </c>
      <c r="J11" s="237"/>
      <c r="K11" s="237"/>
      <c r="L11" s="237"/>
      <c r="M11" s="237"/>
      <c r="N11" s="237"/>
      <c r="O11" s="238"/>
      <c r="P11" s="228" t="s">
        <v>308</v>
      </c>
      <c r="Q11" s="229"/>
      <c r="R11" s="230"/>
      <c r="S11" s="223" t="s">
        <v>312</v>
      </c>
      <c r="T11" s="223"/>
      <c r="U11" s="223"/>
      <c r="V11" s="223"/>
      <c r="W11" s="223"/>
      <c r="X11" s="223"/>
      <c r="Y11" s="223"/>
      <c r="Z11" s="223"/>
      <c r="AA11" s="223"/>
      <c r="AB11" s="223"/>
    </row>
    <row r="12" spans="2:28" s="112" customFormat="1" ht="12.75" customHeight="1">
      <c r="I12" s="228" t="s">
        <v>349</v>
      </c>
      <c r="J12" s="229"/>
      <c r="K12" s="229"/>
      <c r="L12" s="229"/>
      <c r="M12" s="229"/>
      <c r="N12" s="229"/>
      <c r="O12" s="230"/>
      <c r="P12" s="250"/>
      <c r="Q12" s="251"/>
      <c r="R12" s="252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</row>
    <row r="13" spans="2:28" ht="12.75" customHeight="1">
      <c r="B13" s="114" t="s">
        <v>321</v>
      </c>
      <c r="C13" s="114"/>
      <c r="D13" s="112"/>
      <c r="E13" s="112"/>
      <c r="F13" s="112"/>
      <c r="G13" s="112"/>
      <c r="H13" s="112"/>
      <c r="I13" s="231"/>
      <c r="J13" s="232"/>
      <c r="K13" s="232"/>
      <c r="L13" s="232"/>
      <c r="M13" s="232"/>
      <c r="N13" s="232"/>
      <c r="O13" s="233"/>
      <c r="P13" s="231"/>
      <c r="Q13" s="232"/>
      <c r="R13" s="233"/>
      <c r="S13" s="161"/>
      <c r="T13" s="162"/>
      <c r="U13" s="162"/>
      <c r="V13" s="162"/>
      <c r="W13" s="162"/>
      <c r="X13" s="162"/>
      <c r="Y13" s="241" t="s">
        <v>328</v>
      </c>
      <c r="Z13" s="241"/>
      <c r="AA13" s="239" t="s">
        <v>329</v>
      </c>
      <c r="AB13" s="239"/>
    </row>
    <row r="14" spans="2:28" ht="51">
      <c r="B14" s="118" t="s">
        <v>294</v>
      </c>
      <c r="C14" s="118" t="s">
        <v>295</v>
      </c>
      <c r="D14" s="119" t="s">
        <v>296</v>
      </c>
      <c r="E14" s="120" t="s">
        <v>297</v>
      </c>
      <c r="F14" s="118" t="s">
        <v>298</v>
      </c>
      <c r="G14" s="133" t="s">
        <v>305</v>
      </c>
      <c r="H14" s="134" t="s">
        <v>299</v>
      </c>
      <c r="I14" s="133" t="s">
        <v>306</v>
      </c>
      <c r="J14" s="133" t="s">
        <v>302</v>
      </c>
      <c r="K14" s="133" t="s">
        <v>303</v>
      </c>
      <c r="L14" s="133" t="s">
        <v>304</v>
      </c>
      <c r="M14" s="135" t="s">
        <v>344</v>
      </c>
      <c r="N14" s="234" t="s">
        <v>307</v>
      </c>
      <c r="O14" s="235"/>
      <c r="P14" s="133" t="s">
        <v>309</v>
      </c>
      <c r="Q14" s="133" t="s">
        <v>233</v>
      </c>
      <c r="R14" s="133" t="s">
        <v>234</v>
      </c>
      <c r="S14" s="141" t="s">
        <v>313</v>
      </c>
      <c r="T14" s="141"/>
      <c r="U14" s="121" t="s">
        <v>327</v>
      </c>
      <c r="V14" s="121" t="s">
        <v>315</v>
      </c>
      <c r="W14" s="121" t="s">
        <v>358</v>
      </c>
      <c r="X14" s="121" t="s">
        <v>314</v>
      </c>
      <c r="Y14" s="119" t="s">
        <v>351</v>
      </c>
      <c r="Z14" s="119" t="s">
        <v>350</v>
      </c>
      <c r="AA14" s="119" t="s">
        <v>352</v>
      </c>
      <c r="AB14" s="119" t="s">
        <v>353</v>
      </c>
    </row>
    <row r="15" spans="2:28">
      <c r="B15" s="216" t="s">
        <v>256</v>
      </c>
      <c r="C15" s="113" t="s">
        <v>257</v>
      </c>
      <c r="D15" s="209">
        <v>380</v>
      </c>
      <c r="E15" s="117">
        <v>12.509</v>
      </c>
      <c r="F15" s="209">
        <v>0.89</v>
      </c>
      <c r="G15" s="123">
        <f t="shared" ref="G15:G20" si="0">(E15/(SQRT(3)*$D$15*$F$15))*1000</f>
        <v>21.354448602285718</v>
      </c>
      <c r="H15" s="127">
        <v>2.5</v>
      </c>
      <c r="I15" s="127">
        <v>34</v>
      </c>
      <c r="J15" s="127">
        <v>0.79</v>
      </c>
      <c r="K15" s="127">
        <v>1</v>
      </c>
      <c r="L15" s="127">
        <f>I15*J15*K15</f>
        <v>26.86</v>
      </c>
      <c r="M15" s="130" t="s">
        <v>342</v>
      </c>
      <c r="N15" s="224" t="s">
        <v>345</v>
      </c>
      <c r="O15" s="225"/>
      <c r="P15" s="130">
        <v>25</v>
      </c>
      <c r="Q15" s="115" t="str">
        <f>IF(OR(P15=25,P15=40,P15=150,P15=600,P15=300,P15=200,P15=800,P15=100,P15=50,P15=16,P15=450,P15=70,P15=400,P15=160,P15=125),"Fixo","Eletrônico")</f>
        <v>Fixo</v>
      </c>
      <c r="R15" s="115" t="s">
        <v>310</v>
      </c>
      <c r="S15" s="123">
        <f>ROUND((((T15*4727.0819)/10000000)+0.008),3)</f>
        <v>3.2000000000000001E-2</v>
      </c>
      <c r="T15" s="177">
        <v>51</v>
      </c>
      <c r="U15" s="115" t="str">
        <f>IF(AND(H15=2.5, C15&lt;&gt;"QD_2", C15&lt;&gt;"QDG_2", C15&lt;&gt;"QD_7", C15&lt;&gt;"QD_8", C15&lt;&gt;"QDG_4"),"3#2,5(2,5)T2,5",
IF(AND(H15=6, C15&lt;&gt;"QD_2", C15&lt;&gt;"QDG_2", C15&lt;&gt;"QD_7", C15&lt;&gt;"QD_8", C15&lt;&gt;"QDG_4"),"3#6(6)T6",
IF(AND(H15=50, C15&lt;&gt;"QD_2", C15&lt;&gt;"QDG_2", C15&lt;&gt;"QD_7", C15&lt;&gt;"QD_8", C15&lt;&gt;"QDG_4"),"3#50(50)T25",
IF(AND(H15=25, C15&lt;&gt;"QD_2", C15&lt;&gt;"QDG_2", C15&lt;&gt;"QD_7", C15&lt;&gt;"QD_8", C15&lt;&gt;"QDG_4"),"3#25(25)T16",
IF(AND(H15=70, C15&lt;&gt;"QD_2", C15&lt;&gt;"QDG_2", C15&lt;&gt;"QD_7", C15&lt;&gt;"QD_8", C15&lt;&gt;"QDG_4"),"3#70(70)T35",
IF(AND(H15=120, C15&lt;&gt;"QD_2", C15&lt;&gt;"QDG_2", C15&lt;&gt;"QD_7", C15&lt;&gt;"QD_8", C15&lt;&gt;"QDG_4"),"3#120(120)T70",
IF(AND(H15="2 x 120", C15&lt;&gt;"QD_2", C15&lt;&gt;"QDG_2", C15&lt;&gt;"QD_7", C15&lt;&gt;"QD_8", C15&lt;&gt;"QDG_4"), "2x3#120(120)T70",
IF(AND(H15="2 x 240", C15&lt;&gt;"QD_2", C15&lt;&gt;"QDG_2", C15&lt;&gt;"QD_7", C15&lt;&gt;"QD_8", C15&lt;&gt;"QDG_4"),"2x3#240(240)T120",
IF(AND(H15="2 x 185", C15&lt;&gt;"QD_2", C15&lt;&gt;"QDG_2", C15&lt;&gt;"QD_7", C15&lt;&gt;"QD_8", C15&lt;&gt;"QDG_4"),"2x3#185(185)T95",
IF(AND(H15=10, C15&lt;&gt;"QD_2", C15&lt;&gt;"QDG_2", C15&lt;&gt;"QD_7", C15&lt;&gt;"QD_8", C15&lt;&gt;"QDG_4"),"3#10(10)T10",
IF(AND(H15=240, C15&lt;&gt;"QD_2", C15&lt;&gt;"QDG_2", C15&lt;&gt;"QD_7", C15&lt;&gt;"QD_8", C15&lt;&gt;"QDG_4"),"3#240(240)T120",
IF(AND(H15=16, C15&lt;&gt;"QD_2", C15&lt;&gt;"QDG_2", C15&lt;&gt;"QD_7", C15&lt;&gt;"QD_8", C15&lt;&gt;"QDG_4"),"3#16(16)T16",
IF(AND(H15=35, C15&lt;&gt;"QD_2", C15&lt;&gt;"QDG_2", C15&lt;&gt;"QD_7", C15&lt;&gt;"QD_8", C15&lt;&gt;"QDG_4"),"3#35(35)T16",
IF(AND(H15=185, C15&lt;&gt;"QD_2", C15&lt;&gt;"QDG_2", C15&lt;&gt;"QD_7", C15&lt;&gt;"QD_8", C15&lt;&gt;"QDG_4"),"3#185(185)T95",
IF(H15=2.5*OR(C15="QD_2",C15="QDG_2",C15="QD_7",C15="QD_8",C15="QDG_4"),"2#2,5(2,5)T2,5",
IF(H15=6*OR(C15="QD_2",C15="QDG_2",C15="QD_7",C15="QD_8",C15="QDG_4"),"2#6(6)T6",
IF(H15=50*OR(C15="QD_2", C15="QDG_2", C15="QD_7", C15="QD_8", C15="QDG_4"),"2#50(50)T25",
IF(H15=25*OR(C15="QD_2", C15="QDG_2", C15="QD_7", C15="QD_8", C15="QDG_4"),"2#25(25)T16",
IF(H15=70*OR(C15="QD_2", C15="QDG_2", C15="QD_7", C15="QD_8", C15="QDG_4"),"2#70(70)T35",
IF(H15=120*OR(C15="QD_2", C15="QDG_2", C15="QD_7", C15="QD_8", C15="QDG_4"),"2#120(120)T70",
IF(H15=10*OR(C15="QD_2", C15="QDG_2", C15="QD_7", C15="QD_8", C15="QDG_4"),"2#10(10)T10",
IF(H15=240*OR(C15="QD_2", C15="QDG_2", C15="QD_7", C15="QD_8", C15="QDG_4"),"2#240(240)T120",
IF(H15=16*OR(C15="QD_2", C15="QDG_2", C15="QD_7", C15="QD_8", C15="QDG_4"),"2#16(16)T16",
IF(H15=35*OR(C15="QD_2", C15="QDG_2", C15="QD_7", C15="QD_8", C15="QDG_4"),"2#35(35)T16",
IF(H15=185*OR(C15="QD_2", C15="QDG_2", C15="QD_7", C15="QD_8", C15="QDG_4"),"3#185(185)T95",0)))))))))))))))))))))))))</f>
        <v>3#2,5(2,5)T2,5</v>
      </c>
      <c r="V15" s="127" t="str">
        <f>COMPLEX(8.87,0.293)</f>
        <v>8,87+0,293i</v>
      </c>
      <c r="W15" s="127"/>
      <c r="X15" s="127" t="str">
        <f>IMPRODUCT(V15,S15)</f>
        <v>0,28384+0,009376i</v>
      </c>
      <c r="Y15" s="127">
        <f>ROUND(((G15*IMABS(X15))/$D$15)*100,4)</f>
        <v>1.5959000000000001</v>
      </c>
      <c r="Z15" s="127">
        <f>Y15+$Y$21</f>
        <v>1.8095000000000001</v>
      </c>
      <c r="AA15" s="128"/>
      <c r="AB15" s="128"/>
    </row>
    <row r="16" spans="2:28">
      <c r="B16" s="217"/>
      <c r="C16" s="113" t="s">
        <v>258</v>
      </c>
      <c r="D16" s="210"/>
      <c r="E16" s="117">
        <v>12.509</v>
      </c>
      <c r="F16" s="210"/>
      <c r="G16" s="123">
        <f t="shared" si="0"/>
        <v>21.354448602285718</v>
      </c>
      <c r="H16" s="127">
        <v>2.5</v>
      </c>
      <c r="I16" s="127">
        <v>34</v>
      </c>
      <c r="J16" s="127">
        <v>0.79</v>
      </c>
      <c r="K16" s="127">
        <v>1</v>
      </c>
      <c r="L16" s="127">
        <f>I16*J16*K16</f>
        <v>26.86</v>
      </c>
      <c r="M16" s="130" t="s">
        <v>342</v>
      </c>
      <c r="N16" s="224" t="s">
        <v>345</v>
      </c>
      <c r="O16" s="225"/>
      <c r="P16" s="130">
        <v>25</v>
      </c>
      <c r="Q16" s="115" t="str">
        <f t="shared" ref="Q16:Q44" si="1">IF(OR(P16=25,P16=40,P16=150,P16=600,P16=300,P16=200,P16=800,P16=100,P16=50,P16=16,P16=450,P16=70,P16=400,P16=160,P16=125),"Fixo","Eletrônico")</f>
        <v>Fixo</v>
      </c>
      <c r="R16" s="115" t="s">
        <v>310</v>
      </c>
      <c r="S16" s="123">
        <f t="shared" ref="S16:S44" si="2">ROUND((((T16*4727.0819)/10000000)+0.008),3)</f>
        <v>4.8000000000000001E-2</v>
      </c>
      <c r="T16" s="177">
        <v>85</v>
      </c>
      <c r="U16" s="115" t="str">
        <f t="shared" ref="U16:U44" si="3">IF(AND(H16=2.5, C16&lt;&gt;"QD_2", C16&lt;&gt;"QDG_2", C16&lt;&gt;"QD_7", C16&lt;&gt;"QD_8", C16&lt;&gt;"QDG_4"),"3#2,5(2,5)T2,5",
IF(AND(H16=6, C16&lt;&gt;"QD_2", C16&lt;&gt;"QDG_2", C16&lt;&gt;"QD_7", C16&lt;&gt;"QD_8", C16&lt;&gt;"QDG_4"),"3#6(6)T6",
IF(AND(H16=50, C16&lt;&gt;"QD_2", C16&lt;&gt;"QDG_2", C16&lt;&gt;"QD_7", C16&lt;&gt;"QD_8", C16&lt;&gt;"QDG_4"),"3#50(50)T25",
IF(AND(H16=25, C16&lt;&gt;"QD_2", C16&lt;&gt;"QDG_2", C16&lt;&gt;"QD_7", C16&lt;&gt;"QD_8", C16&lt;&gt;"QDG_4"),"3#25(25)T16",
IF(AND(H16=70, C16&lt;&gt;"QD_2", C16&lt;&gt;"QDG_2", C16&lt;&gt;"QD_7", C16&lt;&gt;"QD_8", C16&lt;&gt;"QDG_4"),"3#70(70)T35",
IF(AND(H16=120, C16&lt;&gt;"QD_2", C16&lt;&gt;"QDG_2", C16&lt;&gt;"QD_7", C16&lt;&gt;"QD_8", C16&lt;&gt;"QDG_4"),"3#120(120)T70",
IF(AND(H16="2 x 120", C16&lt;&gt;"QD_2", C16&lt;&gt;"QDG_2", C16&lt;&gt;"QD_7", C16&lt;&gt;"QD_8", C16&lt;&gt;"QDG_4"), "2x3#120(120)T70",
IF(AND(H16="2 x 240", C16&lt;&gt;"QD_2", C16&lt;&gt;"QDG_2", C16&lt;&gt;"QD_7", C16&lt;&gt;"QD_8", C16&lt;&gt;"QDG_4"),"2x3#240(240)T120",
IF(AND(H16="2 x 185", C16&lt;&gt;"QD_2", C16&lt;&gt;"QDG_2", C16&lt;&gt;"QD_7", C16&lt;&gt;"QD_8", C16&lt;&gt;"QDG_4"),"2x3#185(185)T95",
IF(AND(H16=10, C16&lt;&gt;"QD_2", C16&lt;&gt;"QDG_2", C16&lt;&gt;"QD_7", C16&lt;&gt;"QD_8", C16&lt;&gt;"QDG_4"),"3#10(10)T10",
IF(AND(H16=240, C16&lt;&gt;"QD_2", C16&lt;&gt;"QDG_2", C16&lt;&gt;"QD_7", C16&lt;&gt;"QD_8", C16&lt;&gt;"QDG_4"),"3#240(240)T120",
IF(AND(H16=16, C16&lt;&gt;"QD_2", C16&lt;&gt;"QDG_2", C16&lt;&gt;"QD_7", C16&lt;&gt;"QD_8", C16&lt;&gt;"QDG_4"),"3#16(16)T16",
IF(AND(H16=35, C16&lt;&gt;"QD_2", C16&lt;&gt;"QDG_2", C16&lt;&gt;"QD_7", C16&lt;&gt;"QD_8", C16&lt;&gt;"QDG_4"),"3#35(35)T16",
IF(AND(H16=185, C16&lt;&gt;"QD_2", C16&lt;&gt;"QDG_2", C16&lt;&gt;"QD_7", C16&lt;&gt;"QD_8", C16&lt;&gt;"QDG_4"),"3#185(185)T95",
IF(H16=2.5*OR(C16="QD_2",C16="QDG_2",C16="QD_7",C16="QD_8",C16="QDG_4"),"2#2,5(2,5)T2,5",
IF(H16=6*OR(C16="QD_2",C16="QDG_2",C16="QD_7",C16="QD_8",C16="QDG_4"),"2#6(6)T6",
IF(H16=50*OR(C16="QD_2", C16="QDG_2", C16="QD_7", C16="QD_8", C16="QDG_4"),"2#50(50)T25",
IF(H16=25*OR(C16="QD_2", C16="QDG_2", C16="QD_7", C16="QD_8", C16="QDG_4"),"2#25(25)T16",
IF(H16=70*OR(C16="QD_2", C16="QDG_2", C16="QD_7", C16="QD_8", C16="QDG_4"),"2#70(70)T35",
IF(H16=120*OR(C16="QD_2", C16="QDG_2", C16="QD_7", C16="QD_8", C16="QDG_4"),"2#120(120)T70",
IF(H16=10*OR(C16="QD_2", C16="QDG_2", C16="QD_7", C16="QD_8", C16="QDG_4"),"2#10(10)T10",
IF(H16=240*OR(C16="QD_2", C16="QDG_2", C16="QD_7", C16="QD_8", C16="QDG_4"),"2#240(240)T120",
IF(H16=16*OR(C16="QD_2", C16="QDG_2", C16="QD_7", C16="QD_8", C16="QDG_4"),"2#16(16)T16",
IF(H16=35*OR(C16="QD_2", C16="QDG_2", C16="QD_7", C16="QD_8", C16="QDG_4"),"2#35(35)T16",
IF(H16=185*OR(C16="QD_2", C16="QDG_2", C16="QD_7", C16="QD_8", C16="QDG_4"),"3#185(185)T95",0)))))))))))))))))))))))))</f>
        <v>3#2,5(2,5)T2,5</v>
      </c>
      <c r="V16" s="127" t="str">
        <f>COMPLEX(8.87,0.293)</f>
        <v>8,87+0,293i</v>
      </c>
      <c r="W16" s="127"/>
      <c r="X16" s="127" t="str">
        <f>IMPRODUCT(V16,S16)</f>
        <v>0,42576+0,014064i</v>
      </c>
      <c r="Y16" s="127">
        <f>ROUND(((G16*IMABS(X16))/$D$15)*100,4)</f>
        <v>2.3938999999999999</v>
      </c>
      <c r="Z16" s="127">
        <f t="shared" ref="Z16:Z20" si="4">Y16+$Y$21</f>
        <v>2.6074999999999999</v>
      </c>
      <c r="AA16" s="128"/>
      <c r="AB16" s="128"/>
    </row>
    <row r="17" spans="2:28">
      <c r="B17" s="217"/>
      <c r="C17" s="113" t="s">
        <v>259</v>
      </c>
      <c r="D17" s="210"/>
      <c r="E17" s="117">
        <v>12.509</v>
      </c>
      <c r="F17" s="210"/>
      <c r="G17" s="123">
        <f t="shared" si="0"/>
        <v>21.354448602285718</v>
      </c>
      <c r="H17" s="127">
        <v>2.5</v>
      </c>
      <c r="I17" s="127">
        <v>34</v>
      </c>
      <c r="J17" s="127">
        <v>0.79</v>
      </c>
      <c r="K17" s="127">
        <v>1</v>
      </c>
      <c r="L17" s="127">
        <f t="shared" ref="L17:L44" si="5">I17*J17*K17</f>
        <v>26.86</v>
      </c>
      <c r="M17" s="130" t="s">
        <v>342</v>
      </c>
      <c r="N17" s="224" t="s">
        <v>345</v>
      </c>
      <c r="O17" s="225"/>
      <c r="P17" s="130">
        <v>25</v>
      </c>
      <c r="Q17" s="115" t="str">
        <f t="shared" si="1"/>
        <v>Fixo</v>
      </c>
      <c r="R17" s="115" t="s">
        <v>310</v>
      </c>
      <c r="S17" s="123">
        <f t="shared" si="2"/>
        <v>5.6000000000000001E-2</v>
      </c>
      <c r="T17" s="177">
        <v>101</v>
      </c>
      <c r="U17" s="115" t="str">
        <f t="shared" si="3"/>
        <v>3#2,5(2,5)T2,5</v>
      </c>
      <c r="V17" s="127" t="str">
        <f>COMPLEX(8.87,0.293)</f>
        <v>8,87+0,293i</v>
      </c>
      <c r="W17" s="127"/>
      <c r="X17" s="127" t="str">
        <f>IMPRODUCT(V17,S17)</f>
        <v>0,49672+0,016408i</v>
      </c>
      <c r="Y17" s="127">
        <f>ROUND(((G17*IMABS(X17))/$D$15)*100,4)</f>
        <v>2.7928999999999999</v>
      </c>
      <c r="Z17" s="127">
        <f t="shared" si="4"/>
        <v>3.0065</v>
      </c>
      <c r="AA17" s="128"/>
      <c r="AB17" s="128"/>
    </row>
    <row r="18" spans="2:28">
      <c r="B18" s="217"/>
      <c r="C18" s="113" t="s">
        <v>260</v>
      </c>
      <c r="D18" s="210"/>
      <c r="E18" s="117">
        <v>316.08600000000001</v>
      </c>
      <c r="F18" s="210"/>
      <c r="G18" s="142">
        <f t="shared" si="0"/>
        <v>539.59886808714396</v>
      </c>
      <c r="H18" s="130" t="s">
        <v>317</v>
      </c>
      <c r="I18" s="127">
        <v>396</v>
      </c>
      <c r="J18" s="127">
        <v>0.79</v>
      </c>
      <c r="K18" s="127">
        <v>1</v>
      </c>
      <c r="L18" s="127">
        <f>(I18*J18*K18)*2</f>
        <v>625.68000000000006</v>
      </c>
      <c r="M18" s="130" t="s">
        <v>342</v>
      </c>
      <c r="N18" s="224" t="s">
        <v>345</v>
      </c>
      <c r="O18" s="225"/>
      <c r="P18" s="127">
        <v>600</v>
      </c>
      <c r="Q18" s="115" t="str">
        <f t="shared" si="1"/>
        <v>Fixo</v>
      </c>
      <c r="R18" s="115" t="s">
        <v>238</v>
      </c>
      <c r="S18" s="123">
        <f t="shared" si="2"/>
        <v>2.5000000000000001E-2</v>
      </c>
      <c r="T18" s="177">
        <v>36</v>
      </c>
      <c r="U18" s="115" t="str">
        <f t="shared" si="3"/>
        <v>2x3#120(120)T70</v>
      </c>
      <c r="V18" s="127" t="str">
        <f>COMPLEX(0.18/2,0.1481/2)</f>
        <v>0,09+0,07405i</v>
      </c>
      <c r="W18" s="127"/>
      <c r="X18" s="127" t="str">
        <f>IMPRODUCT(V18,S18)</f>
        <v>0,00225+0,00185125i</v>
      </c>
      <c r="Y18" s="127">
        <f>ROUND(((G18*IMABS(X18))/$D$15)*100,4)</f>
        <v>0.41370000000000001</v>
      </c>
      <c r="Z18" s="127">
        <f>Y18+$Y$21</f>
        <v>0.62729999999999997</v>
      </c>
      <c r="AA18" s="127">
        <f>ROUND(((X78*IMABS(X18))/$D$15)*100,4)</f>
        <v>5.2229000000000001</v>
      </c>
      <c r="AB18" s="127">
        <f>AA18+Y21</f>
        <v>5.4365000000000006</v>
      </c>
    </row>
    <row r="19" spans="2:28">
      <c r="B19" s="217"/>
      <c r="C19" s="113" t="s">
        <v>261</v>
      </c>
      <c r="D19" s="210"/>
      <c r="E19" s="117">
        <v>19.927</v>
      </c>
      <c r="F19" s="210"/>
      <c r="G19" s="123">
        <f t="shared" si="0"/>
        <v>34.01791488510252</v>
      </c>
      <c r="H19" s="128">
        <v>6</v>
      </c>
      <c r="I19" s="127">
        <v>59</v>
      </c>
      <c r="J19" s="127">
        <v>0.79</v>
      </c>
      <c r="K19" s="127">
        <v>1</v>
      </c>
      <c r="L19" s="127">
        <f t="shared" si="5"/>
        <v>46.61</v>
      </c>
      <c r="M19" s="130" t="s">
        <v>342</v>
      </c>
      <c r="N19" s="224" t="s">
        <v>345</v>
      </c>
      <c r="O19" s="225"/>
      <c r="P19" s="130">
        <v>40</v>
      </c>
      <c r="Q19" s="115" t="str">
        <f t="shared" si="1"/>
        <v>Fixo</v>
      </c>
      <c r="R19" s="115" t="s">
        <v>249</v>
      </c>
      <c r="S19" s="123">
        <f t="shared" si="2"/>
        <v>2.1000000000000001E-2</v>
      </c>
      <c r="T19" s="177">
        <v>27</v>
      </c>
      <c r="U19" s="115" t="str">
        <f t="shared" si="3"/>
        <v>3#6(6)T6</v>
      </c>
      <c r="V19" s="127" t="str">
        <f>COMPLEX(3.69,0.2581)</f>
        <v>3,69+0,2581i</v>
      </c>
      <c r="W19" s="127"/>
      <c r="X19" s="127" t="str">
        <f>IMPRODUCT(V19,S19)</f>
        <v>0,07749+0,0054201i</v>
      </c>
      <c r="Y19" s="127">
        <f>ROUND(((G19*IMABS(X19))/$D$15)*100,4)</f>
        <v>0.69540000000000002</v>
      </c>
      <c r="Z19" s="127">
        <f t="shared" si="4"/>
        <v>0.90900000000000003</v>
      </c>
      <c r="AA19" s="128"/>
      <c r="AB19" s="128"/>
    </row>
    <row r="20" spans="2:28">
      <c r="B20" s="217"/>
      <c r="C20" s="174" t="s">
        <v>262</v>
      </c>
      <c r="D20" s="210"/>
      <c r="E20" s="117">
        <v>178.67500000000001</v>
      </c>
      <c r="F20" s="210"/>
      <c r="G20" s="142">
        <f t="shared" si="0"/>
        <v>305.02087329230159</v>
      </c>
      <c r="H20" s="128">
        <v>120</v>
      </c>
      <c r="I20" s="127">
        <v>396</v>
      </c>
      <c r="J20" s="127">
        <v>0.79</v>
      </c>
      <c r="K20" s="127">
        <v>1</v>
      </c>
      <c r="L20" s="127">
        <f t="shared" si="5"/>
        <v>312.84000000000003</v>
      </c>
      <c r="M20" s="130" t="s">
        <v>342</v>
      </c>
      <c r="N20" s="224" t="s">
        <v>345</v>
      </c>
      <c r="O20" s="225"/>
      <c r="P20" s="127">
        <v>310</v>
      </c>
      <c r="Q20" s="115" t="str">
        <f t="shared" si="1"/>
        <v>Eletrônico</v>
      </c>
      <c r="R20" s="115" t="s">
        <v>318</v>
      </c>
      <c r="S20" s="123">
        <f t="shared" si="2"/>
        <v>1.4E-2</v>
      </c>
      <c r="T20" s="177">
        <v>13</v>
      </c>
      <c r="U20" s="115" t="str">
        <f t="shared" si="3"/>
        <v>3#120(120)T70</v>
      </c>
      <c r="V20" s="127" t="str">
        <f>COMPLEX(0.18,0.1481)</f>
        <v>0,18+0,1481i</v>
      </c>
      <c r="W20" s="127"/>
      <c r="X20" s="127" t="str">
        <f>IMPRODUCT(V20,S20)</f>
        <v>0,00252+0,0020734i</v>
      </c>
      <c r="Y20" s="127">
        <f>ROUND(((G20*IMABS(X20))/$D$15)*100,4)</f>
        <v>0.26190000000000002</v>
      </c>
      <c r="Z20" s="127">
        <f t="shared" si="4"/>
        <v>0.47550000000000003</v>
      </c>
      <c r="AA20" s="163"/>
      <c r="AB20" s="163"/>
    </row>
    <row r="21" spans="2:28" ht="13.5" thickBot="1">
      <c r="B21" s="218"/>
      <c r="C21" s="175" t="s">
        <v>263</v>
      </c>
      <c r="D21" s="211"/>
      <c r="E21" s="143">
        <f>SUM(E15:E20)</f>
        <v>552.21500000000003</v>
      </c>
      <c r="F21" s="211"/>
      <c r="G21" s="144">
        <f>SUM(G15:G20)</f>
        <v>942.70100207140513</v>
      </c>
      <c r="H21" s="145" t="s">
        <v>316</v>
      </c>
      <c r="I21" s="146">
        <v>615</v>
      </c>
      <c r="J21" s="146">
        <v>0.79</v>
      </c>
      <c r="K21" s="146">
        <v>1</v>
      </c>
      <c r="L21" s="146">
        <f>(I21*J21*K21)*2</f>
        <v>971.7</v>
      </c>
      <c r="M21" s="154" t="s">
        <v>342</v>
      </c>
      <c r="N21" s="242" t="s">
        <v>346</v>
      </c>
      <c r="O21" s="243"/>
      <c r="P21" s="146">
        <v>950</v>
      </c>
      <c r="Q21" s="147" t="str">
        <f t="shared" si="1"/>
        <v>Eletrônico</v>
      </c>
      <c r="R21" s="145" t="s">
        <v>319</v>
      </c>
      <c r="S21" s="158">
        <f t="shared" si="2"/>
        <v>1.0999999999999999E-2</v>
      </c>
      <c r="T21" s="140">
        <v>7</v>
      </c>
      <c r="U21" s="147" t="str">
        <f t="shared" si="3"/>
        <v>2x3#240(240)T120</v>
      </c>
      <c r="V21" s="146" t="str">
        <f>COMPLEX(0.09/2,0.1281/2)</f>
        <v>0,045+0,06405i</v>
      </c>
      <c r="W21" s="146"/>
      <c r="X21" s="146" t="str">
        <f>IMPRODUCT(V21,S21)</f>
        <v>0,000495+0,00070455i</v>
      </c>
      <c r="Y21" s="146">
        <f>ROUND(((G21*IMABS(X21))/$D$15)*100,4)</f>
        <v>0.21360000000000001</v>
      </c>
      <c r="Z21" s="159" t="s">
        <v>108</v>
      </c>
      <c r="AA21" s="164"/>
      <c r="AB21" s="164"/>
    </row>
    <row r="22" spans="2:28">
      <c r="B22" s="219" t="s">
        <v>264</v>
      </c>
      <c r="C22" s="176" t="s">
        <v>265</v>
      </c>
      <c r="D22" s="212">
        <v>220</v>
      </c>
      <c r="E22" s="149">
        <v>45.777999999999999</v>
      </c>
      <c r="F22" s="212">
        <v>0.9</v>
      </c>
      <c r="G22" s="150">
        <f>(E22/(SQRT(3)*$D$22*$F$22))*1000</f>
        <v>133.48454860082165</v>
      </c>
      <c r="H22" s="151">
        <v>50</v>
      </c>
      <c r="I22" s="151">
        <v>196</v>
      </c>
      <c r="J22" s="151">
        <v>0.79</v>
      </c>
      <c r="K22" s="151">
        <v>1</v>
      </c>
      <c r="L22" s="151">
        <f t="shared" si="5"/>
        <v>154.84</v>
      </c>
      <c r="M22" s="153" t="s">
        <v>343</v>
      </c>
      <c r="N22" s="226" t="s">
        <v>347</v>
      </c>
      <c r="O22" s="227"/>
      <c r="P22" s="153">
        <v>150</v>
      </c>
      <c r="Q22" s="138" t="str">
        <f t="shared" si="1"/>
        <v>Fixo</v>
      </c>
      <c r="R22" s="153" t="s">
        <v>249</v>
      </c>
      <c r="S22" s="137">
        <f t="shared" si="2"/>
        <v>1.2E-2</v>
      </c>
      <c r="T22" s="136">
        <v>8</v>
      </c>
      <c r="U22" s="138" t="str">
        <f t="shared" si="3"/>
        <v>2#50(50)T25</v>
      </c>
      <c r="V22" s="136" t="str">
        <f>COMPLEX(0.46,0.1881)</f>
        <v>0,46+0,1881i</v>
      </c>
      <c r="W22" s="181"/>
      <c r="X22" s="136" t="str">
        <f>IMPRODUCT(V22,S22)</f>
        <v>0,00552+0,0022572i</v>
      </c>
      <c r="Y22" s="136">
        <f>ROUND(((G22*IMABS(X22))/$D$22)*100,4)</f>
        <v>0.36180000000000001</v>
      </c>
      <c r="Z22" s="136">
        <f>Y22</f>
        <v>0.36180000000000001</v>
      </c>
      <c r="AA22" s="165"/>
      <c r="AB22" s="165"/>
    </row>
    <row r="23" spans="2:28" ht="13.5" thickBot="1">
      <c r="B23" s="220"/>
      <c r="C23" s="175" t="s">
        <v>266</v>
      </c>
      <c r="D23" s="211"/>
      <c r="E23" s="143">
        <f>SUM(E22)</f>
        <v>45.777999999999999</v>
      </c>
      <c r="F23" s="211"/>
      <c r="G23" s="144">
        <f>G22</f>
        <v>133.48454860082165</v>
      </c>
      <c r="H23" s="146">
        <v>50</v>
      </c>
      <c r="I23" s="146">
        <v>196</v>
      </c>
      <c r="J23" s="146">
        <v>0.79</v>
      </c>
      <c r="K23" s="146">
        <v>1</v>
      </c>
      <c r="L23" s="146">
        <f t="shared" si="5"/>
        <v>154.84</v>
      </c>
      <c r="M23" s="154" t="s">
        <v>343</v>
      </c>
      <c r="N23" s="242" t="s">
        <v>348</v>
      </c>
      <c r="O23" s="243"/>
      <c r="P23" s="154">
        <v>150</v>
      </c>
      <c r="Q23" s="147" t="str">
        <f t="shared" si="1"/>
        <v>Fixo</v>
      </c>
      <c r="R23" s="154" t="s">
        <v>249</v>
      </c>
      <c r="S23" s="158">
        <f t="shared" si="2"/>
        <v>1.2E-2</v>
      </c>
      <c r="T23" s="140">
        <v>8</v>
      </c>
      <c r="U23" s="147" t="str">
        <f t="shared" si="3"/>
        <v>2#50(50)T25</v>
      </c>
      <c r="V23" s="136" t="str">
        <f>COMPLEX(0.46,0.1881)</f>
        <v>0,46+0,1881i</v>
      </c>
      <c r="W23" s="180"/>
      <c r="X23" s="146" t="str">
        <f>IMPRODUCT(V23,S23)</f>
        <v>0,00552+0,0022572i</v>
      </c>
      <c r="Y23" s="146">
        <f>ROUND(((G23*IMABS(X23))/$D$22)*100,4)</f>
        <v>0.36180000000000001</v>
      </c>
      <c r="Z23" s="146" t="str">
        <f>Z21</f>
        <v>-</v>
      </c>
      <c r="AA23" s="166"/>
      <c r="AB23" s="166"/>
    </row>
    <row r="24" spans="2:28">
      <c r="B24" s="221" t="s">
        <v>267</v>
      </c>
      <c r="C24" s="176" t="s">
        <v>268</v>
      </c>
      <c r="D24" s="212">
        <v>380</v>
      </c>
      <c r="E24" s="149">
        <v>89.372600000000006</v>
      </c>
      <c r="F24" s="212">
        <v>0.93</v>
      </c>
      <c r="G24" s="150">
        <f>(E24/(SQRT(3)*$D$15*$F$24))*1000</f>
        <v>146.008190911649</v>
      </c>
      <c r="H24" s="151">
        <v>50</v>
      </c>
      <c r="I24" s="151">
        <v>219</v>
      </c>
      <c r="J24" s="151">
        <v>0.79</v>
      </c>
      <c r="K24" s="151">
        <v>1</v>
      </c>
      <c r="L24" s="151">
        <f t="shared" si="5"/>
        <v>173.01000000000002</v>
      </c>
      <c r="M24" s="153" t="s">
        <v>342</v>
      </c>
      <c r="N24" s="226" t="s">
        <v>345</v>
      </c>
      <c r="O24" s="227"/>
      <c r="P24" s="153">
        <v>150</v>
      </c>
      <c r="Q24" s="138" t="str">
        <f t="shared" si="1"/>
        <v>Fixo</v>
      </c>
      <c r="R24" s="152" t="s">
        <v>249</v>
      </c>
      <c r="S24" s="137">
        <f t="shared" si="2"/>
        <v>2.8000000000000001E-2</v>
      </c>
      <c r="T24" s="136">
        <v>43</v>
      </c>
      <c r="U24" s="138" t="str">
        <f t="shared" si="3"/>
        <v>3#50(50)T25</v>
      </c>
      <c r="V24" s="151" t="str">
        <f>COMPLEX(0.46,0.1881)</f>
        <v>0,46+0,1881i</v>
      </c>
      <c r="W24" s="181"/>
      <c r="X24" s="136" t="str">
        <f>IMPRODUCT(V24,S24)</f>
        <v>0,01288+0,0052668i</v>
      </c>
      <c r="Y24" s="136">
        <f>ROUND(((G24*IMABS(X24))/$D$15)*100,4)</f>
        <v>0.53469999999999995</v>
      </c>
      <c r="Z24" s="136">
        <f>Y24+$Y$28</f>
        <v>0.72629999999999995</v>
      </c>
      <c r="AA24" s="167"/>
      <c r="AB24" s="167"/>
    </row>
    <row r="25" spans="2:28">
      <c r="B25" s="217"/>
      <c r="C25" s="174" t="s">
        <v>269</v>
      </c>
      <c r="D25" s="210"/>
      <c r="E25" s="117">
        <v>65.613</v>
      </c>
      <c r="F25" s="210"/>
      <c r="G25" s="123">
        <f>(E25/(SQRT(3)*$D$15*$F$24))*1000</f>
        <v>107.19208605642025</v>
      </c>
      <c r="H25" s="127">
        <v>25</v>
      </c>
      <c r="I25" s="127">
        <v>146</v>
      </c>
      <c r="J25" s="127">
        <v>0.79</v>
      </c>
      <c r="K25" s="127">
        <v>1</v>
      </c>
      <c r="L25" s="127">
        <f t="shared" si="5"/>
        <v>115.34</v>
      </c>
      <c r="M25" s="130" t="s">
        <v>342</v>
      </c>
      <c r="N25" s="224" t="s">
        <v>345</v>
      </c>
      <c r="O25" s="225"/>
      <c r="P25" s="130">
        <v>110</v>
      </c>
      <c r="Q25" s="115" t="str">
        <f t="shared" si="1"/>
        <v>Eletrônico</v>
      </c>
      <c r="R25" s="115" t="s">
        <v>311</v>
      </c>
      <c r="S25" s="123">
        <f t="shared" si="2"/>
        <v>1.2999999999999999E-2</v>
      </c>
      <c r="T25" s="127">
        <v>11</v>
      </c>
      <c r="U25" s="115" t="str">
        <f t="shared" si="3"/>
        <v>3#25(25)T16</v>
      </c>
      <c r="V25" s="127" t="str">
        <f>COMPLEX(0.87,0.2081)</f>
        <v>0,87+0,2081i</v>
      </c>
      <c r="W25" s="127"/>
      <c r="X25" s="127" t="str">
        <f>IMPRODUCT(V25,S25)</f>
        <v>0,01131+0,0027053i</v>
      </c>
      <c r="Y25" s="127">
        <f>ROUND(((G25*IMABS(X25))/$D$15)*100,4)</f>
        <v>0.32800000000000001</v>
      </c>
      <c r="Z25" s="136">
        <f>Y25+$Y$28</f>
        <v>0.51960000000000006</v>
      </c>
      <c r="AA25" s="168"/>
      <c r="AB25" s="169"/>
    </row>
    <row r="26" spans="2:28">
      <c r="B26" s="217"/>
      <c r="C26" s="174" t="s">
        <v>270</v>
      </c>
      <c r="D26" s="210"/>
      <c r="E26" s="117">
        <v>182.04669999999999</v>
      </c>
      <c r="F26" s="210"/>
      <c r="G26" s="142">
        <f>(E26/(SQRT(3)*$D$15*$F$24))*1000</f>
        <v>297.41004881177997</v>
      </c>
      <c r="H26" s="128">
        <v>120</v>
      </c>
      <c r="I26" s="127">
        <v>396</v>
      </c>
      <c r="J26" s="127">
        <v>0.79</v>
      </c>
      <c r="K26" s="127">
        <v>1</v>
      </c>
      <c r="L26" s="127">
        <f t="shared" si="5"/>
        <v>312.84000000000003</v>
      </c>
      <c r="M26" s="130" t="s">
        <v>342</v>
      </c>
      <c r="N26" s="224" t="s">
        <v>345</v>
      </c>
      <c r="O26" s="225"/>
      <c r="P26" s="127">
        <v>300</v>
      </c>
      <c r="Q26" s="115" t="str">
        <f t="shared" si="1"/>
        <v>Fixo</v>
      </c>
      <c r="R26" s="115" t="s">
        <v>240</v>
      </c>
      <c r="S26" s="123">
        <f t="shared" si="2"/>
        <v>2.1999999999999999E-2</v>
      </c>
      <c r="T26" s="127">
        <v>30</v>
      </c>
      <c r="U26" s="115" t="str">
        <f t="shared" si="3"/>
        <v>3#120(120)T70</v>
      </c>
      <c r="V26" s="127" t="str">
        <f>COMPLEX(0.18,0.1481)</f>
        <v>0,18+0,1481i</v>
      </c>
      <c r="W26" s="127"/>
      <c r="X26" s="127" t="str">
        <f>IMPRODUCT(V26,S26)</f>
        <v>0,00396+0,0032582i</v>
      </c>
      <c r="Y26" s="127">
        <f>ROUND(((G26*IMABS(X26))/$D$15)*100,4)</f>
        <v>0.40139999999999998</v>
      </c>
      <c r="Z26" s="136">
        <f t="shared" ref="Z26:Z27" si="6">Y26+$Y$28</f>
        <v>0.59299999999999997</v>
      </c>
      <c r="AA26" s="168"/>
      <c r="AB26" s="168"/>
    </row>
    <row r="27" spans="2:28">
      <c r="B27" s="217"/>
      <c r="C27" s="174" t="s">
        <v>271</v>
      </c>
      <c r="D27" s="210"/>
      <c r="E27" s="117">
        <v>105.908</v>
      </c>
      <c r="F27" s="210"/>
      <c r="G27" s="123">
        <f>(E27/(SQRT(3)*$D$15*$F$24))*1000</f>
        <v>173.02210613846884</v>
      </c>
      <c r="H27" s="127">
        <v>70</v>
      </c>
      <c r="I27" s="127">
        <v>281</v>
      </c>
      <c r="J27" s="127">
        <v>0.79</v>
      </c>
      <c r="K27" s="127">
        <v>1</v>
      </c>
      <c r="L27" s="127">
        <f t="shared" si="5"/>
        <v>221.99</v>
      </c>
      <c r="M27" s="130" t="s">
        <v>342</v>
      </c>
      <c r="N27" s="224" t="s">
        <v>345</v>
      </c>
      <c r="O27" s="225"/>
      <c r="P27" s="130">
        <v>200</v>
      </c>
      <c r="Q27" s="115" t="str">
        <f t="shared" si="1"/>
        <v>Fixo</v>
      </c>
      <c r="R27" s="115" t="s">
        <v>245</v>
      </c>
      <c r="S27" s="123">
        <f t="shared" si="2"/>
        <v>3.4000000000000002E-2</v>
      </c>
      <c r="T27" s="127">
        <v>54</v>
      </c>
      <c r="U27" s="115" t="str">
        <f t="shared" si="3"/>
        <v>3#70(70)T35</v>
      </c>
      <c r="V27" s="127" t="str">
        <f>COMPLEX(0.32,0.1781)</f>
        <v>0,32+0,1781i</v>
      </c>
      <c r="W27" s="127"/>
      <c r="X27" s="127" t="str">
        <f>IMPRODUCT(V27,S27)</f>
        <v>0,01088+0,0060554i</v>
      </c>
      <c r="Y27" s="127">
        <f>ROUND(((G27*IMABS(X27))/$D$15)*100,4)</f>
        <v>0.56689999999999996</v>
      </c>
      <c r="Z27" s="136">
        <f t="shared" si="6"/>
        <v>0.75849999999999995</v>
      </c>
      <c r="AA27" s="168"/>
      <c r="AB27" s="168"/>
    </row>
    <row r="28" spans="2:28" ht="13.5" thickBot="1">
      <c r="B28" s="218"/>
      <c r="C28" s="175" t="s">
        <v>272</v>
      </c>
      <c r="D28" s="211"/>
      <c r="E28" s="143">
        <f>SUM(E24:E27)</f>
        <v>442.94029999999998</v>
      </c>
      <c r="F28" s="211"/>
      <c r="G28" s="155">
        <f>SUM(G24:G27)</f>
        <v>723.63243191831816</v>
      </c>
      <c r="H28" s="130" t="s">
        <v>320</v>
      </c>
      <c r="I28" s="127">
        <v>521</v>
      </c>
      <c r="J28" s="127">
        <v>0.79</v>
      </c>
      <c r="K28" s="127">
        <v>1</v>
      </c>
      <c r="L28" s="127">
        <f>I28*J28*K28*2</f>
        <v>823.18000000000006</v>
      </c>
      <c r="M28" s="130" t="s">
        <v>342</v>
      </c>
      <c r="N28" s="242" t="s">
        <v>346</v>
      </c>
      <c r="O28" s="243"/>
      <c r="P28" s="130">
        <v>800</v>
      </c>
      <c r="Q28" s="147" t="str">
        <f t="shared" si="1"/>
        <v>Fixo</v>
      </c>
      <c r="R28" s="148" t="s">
        <v>238</v>
      </c>
      <c r="S28" s="158">
        <f t="shared" si="2"/>
        <v>1.0999999999999999E-2</v>
      </c>
      <c r="T28" s="140">
        <v>7</v>
      </c>
      <c r="U28" s="147" t="str">
        <f t="shared" si="3"/>
        <v>2x3#185(185)T95</v>
      </c>
      <c r="V28" s="127" t="str">
        <f>COMPLEX(0.12/2,0.1381/2)</f>
        <v>0,06+0,06905i</v>
      </c>
      <c r="W28" s="179"/>
      <c r="X28" s="146" t="str">
        <f>IMPRODUCT(V28,S28)</f>
        <v>0,00066+0,00075955i</v>
      </c>
      <c r="Y28" s="146">
        <f>ROUND(((G28*IMABS(X28))/$D$15)*100,4)</f>
        <v>0.19159999999999999</v>
      </c>
      <c r="Z28" s="159" t="s">
        <v>108</v>
      </c>
      <c r="AA28" s="166"/>
      <c r="AB28" s="170"/>
    </row>
    <row r="29" spans="2:28">
      <c r="B29" s="183" t="s">
        <v>273</v>
      </c>
      <c r="C29" s="183" t="s">
        <v>277</v>
      </c>
      <c r="D29" s="213">
        <v>220</v>
      </c>
      <c r="E29" s="184">
        <v>30</v>
      </c>
      <c r="F29" s="213">
        <v>0.9</v>
      </c>
      <c r="G29" s="262">
        <f>(E29/(SQRT(3)*$D$29*$F$29))*1000</f>
        <v>87.477313513579645</v>
      </c>
      <c r="H29" s="263">
        <v>25</v>
      </c>
      <c r="I29" s="263">
        <v>131</v>
      </c>
      <c r="J29" s="263">
        <v>0.79</v>
      </c>
      <c r="K29" s="263">
        <v>1</v>
      </c>
      <c r="L29" s="263">
        <f t="shared" si="5"/>
        <v>103.49000000000001</v>
      </c>
      <c r="M29" s="187" t="s">
        <v>343</v>
      </c>
      <c r="N29" s="248" t="s">
        <v>348</v>
      </c>
      <c r="O29" s="249"/>
      <c r="P29" s="187">
        <v>100</v>
      </c>
      <c r="Q29" s="188" t="str">
        <f t="shared" si="1"/>
        <v>Fixo</v>
      </c>
      <c r="R29" s="187" t="s">
        <v>249</v>
      </c>
      <c r="S29" s="185">
        <f t="shared" si="2"/>
        <v>0.02</v>
      </c>
      <c r="T29" s="193">
        <v>25</v>
      </c>
      <c r="U29" s="188" t="str">
        <f t="shared" si="3"/>
        <v>2#25(25)T16</v>
      </c>
      <c r="V29" s="263" t="str">
        <f>COMPLEX(0.87,0.2081)</f>
        <v>0,87+0,2081i</v>
      </c>
      <c r="W29" s="186"/>
      <c r="X29" s="186" t="str">
        <f>IMPRODUCT(V29,S29)</f>
        <v>0,0174+0,004162i</v>
      </c>
      <c r="Y29" s="186">
        <f>ROUND(((G29*IMABS(X29))/$D$29)*100,4)</f>
        <v>0.71140000000000003</v>
      </c>
      <c r="Z29" s="186">
        <f>Y29+$Y$31</f>
        <v>1.1483000000000001</v>
      </c>
      <c r="AA29" s="264"/>
      <c r="AB29" s="264"/>
    </row>
    <row r="30" spans="2:28">
      <c r="B30" s="265" t="s">
        <v>274</v>
      </c>
      <c r="C30" s="190" t="s">
        <v>276</v>
      </c>
      <c r="D30" s="214"/>
      <c r="E30" s="191">
        <v>30</v>
      </c>
      <c r="F30" s="214"/>
      <c r="G30" s="192">
        <f>(E30/(SQRT(3)*$D$29*$F$29))*1000</f>
        <v>87.477313513579645</v>
      </c>
      <c r="H30" s="193">
        <v>25</v>
      </c>
      <c r="I30" s="193">
        <v>131</v>
      </c>
      <c r="J30" s="193">
        <v>0.79</v>
      </c>
      <c r="K30" s="193">
        <v>1</v>
      </c>
      <c r="L30" s="193">
        <f t="shared" si="5"/>
        <v>103.49000000000001</v>
      </c>
      <c r="M30" s="194" t="s">
        <v>343</v>
      </c>
      <c r="N30" s="244" t="s">
        <v>347</v>
      </c>
      <c r="O30" s="245"/>
      <c r="P30" s="194">
        <v>100</v>
      </c>
      <c r="Q30" s="194" t="str">
        <f t="shared" si="1"/>
        <v>Fixo</v>
      </c>
      <c r="R30" s="194" t="s">
        <v>249</v>
      </c>
      <c r="S30" s="192">
        <f t="shared" si="2"/>
        <v>1.2999999999999999E-2</v>
      </c>
      <c r="T30" s="193">
        <v>10</v>
      </c>
      <c r="U30" s="194" t="str">
        <f t="shared" si="3"/>
        <v>2#25(25)T16</v>
      </c>
      <c r="V30" s="193" t="str">
        <f>COMPLEX(0.87,0.2081)</f>
        <v>0,87+0,2081i</v>
      </c>
      <c r="W30" s="193"/>
      <c r="X30" s="193" t="str">
        <f>IMPRODUCT(V30,S30)</f>
        <v>0,01131+0,0027053i</v>
      </c>
      <c r="Y30" s="186">
        <f>ROUND(((G30*IMABS(X30))/$D$29)*100,4)</f>
        <v>0.46239999999999998</v>
      </c>
      <c r="Z30" s="186">
        <f>Y30+$Y$31</f>
        <v>0.89929999999999999</v>
      </c>
      <c r="AA30" s="196"/>
      <c r="AB30" s="196"/>
    </row>
    <row r="31" spans="2:28" ht="13.5" thickBot="1">
      <c r="B31" s="208"/>
      <c r="C31" s="197" t="s">
        <v>275</v>
      </c>
      <c r="D31" s="215"/>
      <c r="E31" s="198">
        <f>SUM(E29:E30)</f>
        <v>60</v>
      </c>
      <c r="F31" s="215"/>
      <c r="G31" s="199">
        <f>SUM(G29:G30)</f>
        <v>174.95462702715929</v>
      </c>
      <c r="H31" s="200">
        <v>70</v>
      </c>
      <c r="I31" s="200">
        <v>281</v>
      </c>
      <c r="J31" s="201">
        <v>0.79</v>
      </c>
      <c r="K31" s="201">
        <v>1</v>
      </c>
      <c r="L31" s="201">
        <f t="shared" si="5"/>
        <v>221.99</v>
      </c>
      <c r="M31" s="202" t="s">
        <v>343</v>
      </c>
      <c r="N31" s="246" t="s">
        <v>348</v>
      </c>
      <c r="O31" s="247"/>
      <c r="P31" s="200">
        <v>200</v>
      </c>
      <c r="Q31" s="202" t="str">
        <f t="shared" si="1"/>
        <v>Fixo</v>
      </c>
      <c r="R31" s="202" t="s">
        <v>245</v>
      </c>
      <c r="S31" s="199">
        <f t="shared" si="2"/>
        <v>1.4999999999999999E-2</v>
      </c>
      <c r="T31" s="266">
        <v>15</v>
      </c>
      <c r="U31" s="202" t="str">
        <f t="shared" si="3"/>
        <v>2#70(70)T35</v>
      </c>
      <c r="V31" s="201" t="str">
        <f>COMPLEX(0.32,0.1781)</f>
        <v>0,32+0,1781i</v>
      </c>
      <c r="W31" s="201"/>
      <c r="X31" s="201" t="str">
        <f>IMPRODUCT(V31,S31)</f>
        <v>0,0048+0,0026715i</v>
      </c>
      <c r="Y31" s="201">
        <f>ROUND(((G31*IMABS(X31))/$D$29)*100,4)</f>
        <v>0.43690000000000001</v>
      </c>
      <c r="Z31" s="203" t="s">
        <v>108</v>
      </c>
      <c r="AA31" s="267"/>
      <c r="AB31" s="267"/>
    </row>
    <row r="32" spans="2:28">
      <c r="B32" s="221" t="s">
        <v>278</v>
      </c>
      <c r="C32" s="176" t="s">
        <v>279</v>
      </c>
      <c r="D32" s="212">
        <v>380</v>
      </c>
      <c r="E32" s="149">
        <v>20</v>
      </c>
      <c r="F32" s="212">
        <v>0.90500000000000003</v>
      </c>
      <c r="G32" s="137">
        <f>(E32/(SQRT(3)*$D$15*$F$32))*1000</f>
        <v>33.576636765898563</v>
      </c>
      <c r="H32" s="136">
        <v>6</v>
      </c>
      <c r="I32" s="136">
        <v>59</v>
      </c>
      <c r="J32" s="136">
        <v>0.79</v>
      </c>
      <c r="K32" s="136">
        <v>1</v>
      </c>
      <c r="L32" s="136">
        <f t="shared" si="5"/>
        <v>46.61</v>
      </c>
      <c r="M32" s="130" t="s">
        <v>342</v>
      </c>
      <c r="N32" s="226" t="s">
        <v>345</v>
      </c>
      <c r="O32" s="227"/>
      <c r="P32" s="139">
        <v>40</v>
      </c>
      <c r="Q32" s="138" t="str">
        <f t="shared" si="1"/>
        <v>Fixo</v>
      </c>
      <c r="R32" s="138" t="s">
        <v>310</v>
      </c>
      <c r="S32" s="137">
        <f t="shared" si="2"/>
        <v>2.1999999999999999E-2</v>
      </c>
      <c r="T32" s="136">
        <v>29</v>
      </c>
      <c r="U32" s="138" t="str">
        <f t="shared" si="3"/>
        <v>3#6(6)T6</v>
      </c>
      <c r="V32" s="136" t="str">
        <f>COMPLEX(3.69,0.2581)</f>
        <v>3,69+0,2581i</v>
      </c>
      <c r="W32" s="181"/>
      <c r="X32" s="136" t="str">
        <f>IMPRODUCT(V32,S32)</f>
        <v>0,08118+0,0056782i</v>
      </c>
      <c r="Y32" s="136">
        <f>ROUND(((G32*IMABS(X32))/$D$15)*100,4)</f>
        <v>0.71909999999999996</v>
      </c>
      <c r="Z32" s="136">
        <f>Y32+$Y$37</f>
        <v>0.90369999999999995</v>
      </c>
      <c r="AA32" s="167"/>
      <c r="AB32" s="167"/>
    </row>
    <row r="33" spans="2:28">
      <c r="B33" s="217"/>
      <c r="C33" s="174" t="s">
        <v>280</v>
      </c>
      <c r="D33" s="210"/>
      <c r="E33" s="117">
        <v>28.07</v>
      </c>
      <c r="F33" s="210"/>
      <c r="G33" s="123">
        <f>(E33/(SQRT(3)*$D$15*$F$32))*1000</f>
        <v>47.124809700938627</v>
      </c>
      <c r="H33" s="127">
        <v>10</v>
      </c>
      <c r="I33" s="127">
        <v>81</v>
      </c>
      <c r="J33" s="127">
        <v>0.79</v>
      </c>
      <c r="K33" s="127">
        <v>1</v>
      </c>
      <c r="L33" s="127">
        <f t="shared" si="5"/>
        <v>63.99</v>
      </c>
      <c r="M33" s="130" t="s">
        <v>342</v>
      </c>
      <c r="N33" s="224" t="s">
        <v>345</v>
      </c>
      <c r="O33" s="225"/>
      <c r="P33" s="130">
        <v>50</v>
      </c>
      <c r="Q33" s="115" t="str">
        <f t="shared" si="1"/>
        <v>Fixo</v>
      </c>
      <c r="R33" s="115" t="s">
        <v>310</v>
      </c>
      <c r="S33" s="123">
        <f t="shared" si="2"/>
        <v>1.4E-2</v>
      </c>
      <c r="T33" s="127">
        <v>12</v>
      </c>
      <c r="U33" s="115" t="str">
        <f t="shared" si="3"/>
        <v>3#10(10)T10</v>
      </c>
      <c r="V33" s="127" t="str">
        <f>COMPLEX(2.19,0.2481)</f>
        <v>2,19+0,2481i</v>
      </c>
      <c r="W33" s="127"/>
      <c r="X33" s="127" t="str">
        <f>IMPRODUCT(V33,S33)</f>
        <v>0,03066+0,0034734i</v>
      </c>
      <c r="Y33" s="127">
        <f>ROUND(((G33*IMABS(X33))/$D$15)*100,4)</f>
        <v>0.38269999999999998</v>
      </c>
      <c r="Z33" s="136">
        <f>Y33+$Y$37</f>
        <v>0.56729999999999992</v>
      </c>
      <c r="AA33" s="168"/>
      <c r="AB33" s="168"/>
    </row>
    <row r="34" spans="2:28">
      <c r="B34" s="217"/>
      <c r="C34" s="174" t="s">
        <v>281</v>
      </c>
      <c r="D34" s="210"/>
      <c r="E34" s="117">
        <v>21.053000000000001</v>
      </c>
      <c r="F34" s="210"/>
      <c r="G34" s="123">
        <f>(E34/(SQRT(3)*$D$15*$F$32))*1000</f>
        <v>35.344446691623119</v>
      </c>
      <c r="H34" s="127">
        <v>6</v>
      </c>
      <c r="I34" s="127">
        <v>59</v>
      </c>
      <c r="J34" s="127">
        <v>0.79</v>
      </c>
      <c r="K34" s="127">
        <v>1</v>
      </c>
      <c r="L34" s="127">
        <f t="shared" si="5"/>
        <v>46.61</v>
      </c>
      <c r="M34" s="130" t="s">
        <v>342</v>
      </c>
      <c r="N34" s="224" t="s">
        <v>345</v>
      </c>
      <c r="O34" s="225"/>
      <c r="P34" s="130">
        <v>40</v>
      </c>
      <c r="Q34" s="115" t="str">
        <f t="shared" si="1"/>
        <v>Fixo</v>
      </c>
      <c r="R34" s="115" t="s">
        <v>310</v>
      </c>
      <c r="S34" s="123">
        <f t="shared" si="2"/>
        <v>2.5000000000000001E-2</v>
      </c>
      <c r="T34" s="127">
        <v>37</v>
      </c>
      <c r="U34" s="115" t="str">
        <f t="shared" si="3"/>
        <v>3#6(6)T6</v>
      </c>
      <c r="V34" s="127" t="str">
        <f>COMPLEX(3.69,0.2581)</f>
        <v>3,69+0,2581i</v>
      </c>
      <c r="W34" s="127"/>
      <c r="X34" s="127" t="str">
        <f>IMPRODUCT(V34,S34)</f>
        <v>0,09225+0,0064525i</v>
      </c>
      <c r="Y34" s="127">
        <f>ROUND(((G34*IMABS(X34))/$D$15)*100,4)</f>
        <v>0.86009999999999998</v>
      </c>
      <c r="Z34" s="136">
        <f t="shared" ref="Z34:Z35" si="7">Y34+$Y$37</f>
        <v>1.0447</v>
      </c>
      <c r="AA34" s="168"/>
      <c r="AB34" s="168"/>
    </row>
    <row r="35" spans="2:28">
      <c r="B35" s="217"/>
      <c r="C35" s="174" t="s">
        <v>283</v>
      </c>
      <c r="D35" s="210"/>
      <c r="E35" s="117">
        <v>8.7129999999999992</v>
      </c>
      <c r="F35" s="210"/>
      <c r="G35" s="123">
        <f>(E35/(SQRT(3)*$D$15*$F$32))*1000</f>
        <v>14.627661807063706</v>
      </c>
      <c r="H35" s="127">
        <v>2.5</v>
      </c>
      <c r="I35" s="127">
        <v>34</v>
      </c>
      <c r="J35" s="127">
        <v>0.79</v>
      </c>
      <c r="K35" s="127">
        <v>1</v>
      </c>
      <c r="L35" s="127">
        <f t="shared" si="5"/>
        <v>26.86</v>
      </c>
      <c r="M35" s="130" t="s">
        <v>342</v>
      </c>
      <c r="N35" s="224" t="s">
        <v>345</v>
      </c>
      <c r="O35" s="225"/>
      <c r="P35" s="130">
        <v>16</v>
      </c>
      <c r="Q35" s="115" t="str">
        <f t="shared" si="1"/>
        <v>Fixo</v>
      </c>
      <c r="R35" s="115" t="s">
        <v>310</v>
      </c>
      <c r="S35" s="123">
        <f t="shared" si="2"/>
        <v>1.7999999999999999E-2</v>
      </c>
      <c r="T35" s="127">
        <v>21</v>
      </c>
      <c r="U35" s="115" t="str">
        <f t="shared" si="3"/>
        <v>3#2,5(2,5)T2,5</v>
      </c>
      <c r="V35" s="127" t="str">
        <f>COMPLEX(3.69,0.131)</f>
        <v>3,69+0,131i</v>
      </c>
      <c r="W35" s="127"/>
      <c r="X35" s="127" t="str">
        <f>IMPRODUCT(V35,S35)</f>
        <v>0,06642+0,002358i</v>
      </c>
      <c r="Y35" s="127">
        <f>ROUND(((G35*IMABS(X35))/$D$15)*100,4)</f>
        <v>0.25580000000000003</v>
      </c>
      <c r="Z35" s="136">
        <f t="shared" si="7"/>
        <v>0.44040000000000001</v>
      </c>
      <c r="AA35" s="169"/>
      <c r="AB35" s="169"/>
    </row>
    <row r="36" spans="2:28">
      <c r="B36" s="217"/>
      <c r="C36" s="174" t="s">
        <v>282</v>
      </c>
      <c r="D36" s="210"/>
      <c r="E36" s="117">
        <v>164.85499999999999</v>
      </c>
      <c r="F36" s="210"/>
      <c r="G36" s="142">
        <f>(E36/(SQRT(3)*$D$15*$F$32))*1000</f>
        <v>276.76382270211036</v>
      </c>
      <c r="H36" s="128">
        <v>120</v>
      </c>
      <c r="I36" s="127">
        <v>396</v>
      </c>
      <c r="J36" s="127">
        <v>0.79</v>
      </c>
      <c r="K36" s="127">
        <v>1</v>
      </c>
      <c r="L36" s="127">
        <f t="shared" si="5"/>
        <v>312.84000000000003</v>
      </c>
      <c r="M36" s="130" t="s">
        <v>342</v>
      </c>
      <c r="N36" s="224" t="s">
        <v>345</v>
      </c>
      <c r="O36" s="225"/>
      <c r="P36" s="127">
        <v>300</v>
      </c>
      <c r="Q36" s="115" t="str">
        <f t="shared" si="1"/>
        <v>Fixo</v>
      </c>
      <c r="R36" s="115" t="s">
        <v>240</v>
      </c>
      <c r="S36" s="123">
        <f t="shared" si="2"/>
        <v>3.6999999999999998E-2</v>
      </c>
      <c r="T36" s="127">
        <v>61</v>
      </c>
      <c r="U36" s="115" t="str">
        <f t="shared" si="3"/>
        <v>3#120(120)T70</v>
      </c>
      <c r="V36" s="127" t="str">
        <f>COMPLEX(0.18,0.1481)</f>
        <v>0,18+0,1481i</v>
      </c>
      <c r="W36" s="127"/>
      <c r="X36" s="127" t="str">
        <f>IMPRODUCT(V36,S36)</f>
        <v>0,00666+0,0054797i</v>
      </c>
      <c r="Y36" s="127">
        <f>ROUND(((G36*IMABS(X36))/$D$15)*100,4)</f>
        <v>0.62809999999999999</v>
      </c>
      <c r="Z36" s="136">
        <f>Y36+$Y$37</f>
        <v>0.81269999999999998</v>
      </c>
      <c r="AA36" s="168"/>
      <c r="AB36" s="168"/>
    </row>
    <row r="37" spans="2:28" ht="13.5" thickBot="1">
      <c r="B37" s="218"/>
      <c r="C37" s="175" t="s">
        <v>284</v>
      </c>
      <c r="D37" s="211"/>
      <c r="E37" s="143">
        <f>SUM(E32:E36)</f>
        <v>242.69099999999997</v>
      </c>
      <c r="F37" s="211"/>
      <c r="G37" s="155">
        <f>SUM(G32:G36)</f>
        <v>407.43737766763434</v>
      </c>
      <c r="H37" s="156">
        <v>240</v>
      </c>
      <c r="I37" s="156">
        <v>615</v>
      </c>
      <c r="J37" s="146">
        <v>0.79</v>
      </c>
      <c r="K37" s="146">
        <v>1</v>
      </c>
      <c r="L37" s="146">
        <f t="shared" si="5"/>
        <v>485.85</v>
      </c>
      <c r="M37" s="130" t="s">
        <v>342</v>
      </c>
      <c r="N37" s="242" t="s">
        <v>346</v>
      </c>
      <c r="O37" s="243"/>
      <c r="P37" s="156">
        <v>450</v>
      </c>
      <c r="Q37" s="147" t="str">
        <f t="shared" si="1"/>
        <v>Fixo</v>
      </c>
      <c r="R37" s="148" t="s">
        <v>238</v>
      </c>
      <c r="S37" s="158">
        <f t="shared" si="2"/>
        <v>1.0999999999999999E-2</v>
      </c>
      <c r="T37" s="156">
        <v>6</v>
      </c>
      <c r="U37" s="147" t="str">
        <f t="shared" si="3"/>
        <v>3#240(240)T120</v>
      </c>
      <c r="V37" s="146" t="str">
        <f>COMPLEX(0.09,0.1281)</f>
        <v>0,09+0,1281i</v>
      </c>
      <c r="W37" s="146"/>
      <c r="X37" s="146" t="str">
        <f>IMPRODUCT(V37,S37)</f>
        <v>0,00099+0,0014091i</v>
      </c>
      <c r="Y37" s="146">
        <f>ROUND(((G37*IMABS(X37))/$D$15)*100,4)</f>
        <v>0.18459999999999999</v>
      </c>
      <c r="Z37" s="159" t="s">
        <v>108</v>
      </c>
      <c r="AA37" s="170"/>
      <c r="AB37" s="170"/>
    </row>
    <row r="38" spans="2:28">
      <c r="B38" s="221" t="s">
        <v>285</v>
      </c>
      <c r="C38" s="176" t="s">
        <v>286</v>
      </c>
      <c r="D38" s="212">
        <v>380</v>
      </c>
      <c r="E38" s="149">
        <v>63.784999999999997</v>
      </c>
      <c r="F38" s="212">
        <v>0.89</v>
      </c>
      <c r="G38" s="137">
        <f>(E38/(SQRT(3)*$D$15*$F$15))*1000</f>
        <v>108.88908019000675</v>
      </c>
      <c r="H38" s="136">
        <v>25</v>
      </c>
      <c r="I38" s="136">
        <v>146</v>
      </c>
      <c r="J38" s="136">
        <v>0.79</v>
      </c>
      <c r="K38" s="136">
        <v>1</v>
      </c>
      <c r="L38" s="136">
        <f t="shared" si="5"/>
        <v>115.34</v>
      </c>
      <c r="M38" s="153" t="s">
        <v>342</v>
      </c>
      <c r="N38" s="226" t="s">
        <v>345</v>
      </c>
      <c r="O38" s="227"/>
      <c r="P38" s="139">
        <v>110</v>
      </c>
      <c r="Q38" s="138" t="str">
        <f t="shared" si="1"/>
        <v>Eletrônico</v>
      </c>
      <c r="R38" s="138" t="s">
        <v>311</v>
      </c>
      <c r="S38" s="137">
        <f t="shared" si="2"/>
        <v>1.7000000000000001E-2</v>
      </c>
      <c r="T38" s="136">
        <v>18</v>
      </c>
      <c r="U38" s="138" t="str">
        <f t="shared" si="3"/>
        <v>3#25(25)T16</v>
      </c>
      <c r="V38" s="136" t="str">
        <f>COMPLEX(0.87,0.2081)</f>
        <v>0,87+0,2081i</v>
      </c>
      <c r="W38" s="181"/>
      <c r="X38" s="136" t="str">
        <f>IMPRODUCT(V38,S38)</f>
        <v>0,01479+0,0035377i</v>
      </c>
      <c r="Y38" s="136">
        <f>ROUND(((G38*IMABS(X38))/$D$15)*100,4)</f>
        <v>0.43580000000000002</v>
      </c>
      <c r="Z38" s="136">
        <f>Y38+$Y$41</f>
        <v>0.63270000000000004</v>
      </c>
      <c r="AA38" s="171"/>
      <c r="AB38" s="171"/>
    </row>
    <row r="39" spans="2:28">
      <c r="B39" s="217"/>
      <c r="C39" s="174" t="s">
        <v>287</v>
      </c>
      <c r="D39" s="210"/>
      <c r="E39" s="117">
        <v>40</v>
      </c>
      <c r="F39" s="210"/>
      <c r="G39" s="123">
        <f>(E39/(SQRT(3)*$D$15*$F$15))*1000</f>
        <v>68.285070276715061</v>
      </c>
      <c r="H39" s="127">
        <v>16</v>
      </c>
      <c r="I39" s="127">
        <v>110</v>
      </c>
      <c r="J39" s="127">
        <v>0.79</v>
      </c>
      <c r="K39" s="127">
        <v>1</v>
      </c>
      <c r="L39" s="127">
        <f t="shared" si="5"/>
        <v>86.9</v>
      </c>
      <c r="M39" s="130" t="s">
        <v>342</v>
      </c>
      <c r="N39" s="224" t="s">
        <v>345</v>
      </c>
      <c r="O39" s="225"/>
      <c r="P39" s="130">
        <v>70</v>
      </c>
      <c r="Q39" s="115" t="str">
        <f t="shared" si="1"/>
        <v>Fixo</v>
      </c>
      <c r="R39" s="115" t="s">
        <v>249</v>
      </c>
      <c r="S39" s="123">
        <f t="shared" si="2"/>
        <v>1.4E-2</v>
      </c>
      <c r="T39" s="127">
        <v>12</v>
      </c>
      <c r="U39" s="115" t="str">
        <f t="shared" si="3"/>
        <v>3#16(16)T16</v>
      </c>
      <c r="V39" s="127" t="str">
        <f>COMPLEX(1.38,0.2281)</f>
        <v>1,38+0,2281i</v>
      </c>
      <c r="W39" s="127"/>
      <c r="X39" s="127" t="str">
        <f>IMPRODUCT(V39,S39)</f>
        <v>0,01932+0,0031934i</v>
      </c>
      <c r="Y39" s="127">
        <f>ROUND(((G39*IMABS(X39))/$D$15)*100,4)</f>
        <v>0.35189999999999999</v>
      </c>
      <c r="Z39" s="136">
        <f t="shared" ref="Z39:Z40" si="8">Y39+$Y$41</f>
        <v>0.54879999999999995</v>
      </c>
      <c r="AA39" s="168"/>
      <c r="AB39" s="168"/>
    </row>
    <row r="40" spans="2:28">
      <c r="B40" s="217"/>
      <c r="C40" s="174" t="s">
        <v>288</v>
      </c>
      <c r="D40" s="210"/>
      <c r="E40" s="117">
        <v>114</v>
      </c>
      <c r="F40" s="210"/>
      <c r="G40" s="123">
        <f>(E40/(SQRT(3)*$D$15*$F$15))*1000</f>
        <v>194.61245028863794</v>
      </c>
      <c r="H40" s="127">
        <v>70</v>
      </c>
      <c r="I40" s="127">
        <v>281</v>
      </c>
      <c r="J40" s="127">
        <v>0.79</v>
      </c>
      <c r="K40" s="127">
        <v>1</v>
      </c>
      <c r="L40" s="127">
        <f t="shared" si="5"/>
        <v>221.99</v>
      </c>
      <c r="M40" s="130" t="s">
        <v>342</v>
      </c>
      <c r="N40" s="224" t="s">
        <v>345</v>
      </c>
      <c r="O40" s="225"/>
      <c r="P40" s="130">
        <v>200</v>
      </c>
      <c r="Q40" s="115" t="str">
        <f t="shared" si="1"/>
        <v>Fixo</v>
      </c>
      <c r="R40" s="130" t="s">
        <v>245</v>
      </c>
      <c r="S40" s="123">
        <f t="shared" si="2"/>
        <v>2.7E-2</v>
      </c>
      <c r="T40" s="127">
        <v>40</v>
      </c>
      <c r="U40" s="115" t="str">
        <f t="shared" si="3"/>
        <v>3#70(70)T35</v>
      </c>
      <c r="V40" s="127" t="str">
        <f>COMPLEX(0.32,0.1781)</f>
        <v>0,32+0,1781i</v>
      </c>
      <c r="W40" s="127"/>
      <c r="X40" s="127" t="str">
        <f>IMPRODUCT(V40,S40)</f>
        <v>0,00864+0,0048087i</v>
      </c>
      <c r="Y40" s="127">
        <f>ROUND(((G40*IMABS(X40))/$D$15)*100,4)</f>
        <v>0.50639999999999996</v>
      </c>
      <c r="Z40" s="136">
        <f t="shared" si="8"/>
        <v>0.70329999999999993</v>
      </c>
      <c r="AA40" s="168"/>
      <c r="AB40" s="168"/>
    </row>
    <row r="41" spans="2:28" ht="13.5" thickBot="1">
      <c r="B41" s="218"/>
      <c r="C41" s="175" t="s">
        <v>290</v>
      </c>
      <c r="D41" s="211"/>
      <c r="E41" s="143">
        <f>SUM(E38:E40)</f>
        <v>217.785</v>
      </c>
      <c r="F41" s="211"/>
      <c r="G41" s="155">
        <f>SUM(G38:G40)</f>
        <v>371.78660075535976</v>
      </c>
      <c r="H41" s="156">
        <v>185</v>
      </c>
      <c r="I41" s="156">
        <v>521</v>
      </c>
      <c r="J41" s="146">
        <v>0.79</v>
      </c>
      <c r="K41" s="146">
        <v>1</v>
      </c>
      <c r="L41" s="146">
        <f t="shared" si="5"/>
        <v>411.59000000000003</v>
      </c>
      <c r="M41" s="154" t="s">
        <v>342</v>
      </c>
      <c r="N41" s="242" t="s">
        <v>346</v>
      </c>
      <c r="O41" s="243"/>
      <c r="P41" s="156">
        <v>400</v>
      </c>
      <c r="Q41" s="147" t="str">
        <f t="shared" si="1"/>
        <v>Fixo</v>
      </c>
      <c r="R41" s="147" t="s">
        <v>240</v>
      </c>
      <c r="S41" s="158">
        <f t="shared" si="2"/>
        <v>1.0999999999999999E-2</v>
      </c>
      <c r="T41" s="156">
        <v>6</v>
      </c>
      <c r="U41" s="147" t="str">
        <f t="shared" si="3"/>
        <v>3#185(185)T95</v>
      </c>
      <c r="V41" s="146" t="str">
        <f>COMPLEX(0.12,0.1381)</f>
        <v>0,12+0,1381i</v>
      </c>
      <c r="W41" s="146"/>
      <c r="X41" s="146" t="str">
        <f>IMPRODUCT(V41,S41)</f>
        <v>0,00132+0,0015191i</v>
      </c>
      <c r="Y41" s="146">
        <f>ROUND(((G41*IMABS(X41))/$D$15)*100,4)</f>
        <v>0.19689999999999999</v>
      </c>
      <c r="Z41" s="159" t="s">
        <v>108</v>
      </c>
      <c r="AA41" s="170"/>
      <c r="AB41" s="170"/>
    </row>
    <row r="42" spans="2:28">
      <c r="B42" s="206" t="s">
        <v>289</v>
      </c>
      <c r="C42" s="183" t="s">
        <v>291</v>
      </c>
      <c r="D42" s="213">
        <v>380</v>
      </c>
      <c r="E42" s="184">
        <v>90.364000000000004</v>
      </c>
      <c r="F42" s="213">
        <v>0.88</v>
      </c>
      <c r="G42" s="185">
        <f>(E42/(SQRT(3)*$D$42*$F$42))*1000</f>
        <v>156.01578865146936</v>
      </c>
      <c r="H42" s="186">
        <v>50</v>
      </c>
      <c r="I42" s="186">
        <v>219</v>
      </c>
      <c r="J42" s="186">
        <v>0.79</v>
      </c>
      <c r="K42" s="186">
        <v>1</v>
      </c>
      <c r="L42" s="186">
        <f t="shared" si="5"/>
        <v>173.01000000000002</v>
      </c>
      <c r="M42" s="187" t="s">
        <v>342</v>
      </c>
      <c r="N42" s="248" t="s">
        <v>345</v>
      </c>
      <c r="O42" s="249"/>
      <c r="P42" s="188">
        <v>160</v>
      </c>
      <c r="Q42" s="188" t="str">
        <f t="shared" si="1"/>
        <v>Fixo</v>
      </c>
      <c r="R42" s="188" t="s">
        <v>249</v>
      </c>
      <c r="S42" s="185">
        <f t="shared" si="2"/>
        <v>1.2999999999999999E-2</v>
      </c>
      <c r="T42" s="189">
        <v>11</v>
      </c>
      <c r="U42" s="188" t="str">
        <f t="shared" si="3"/>
        <v>3#50(50)T25</v>
      </c>
      <c r="V42" s="186" t="str">
        <f>COMPLEX(0.46,0.1881)</f>
        <v>0,46+0,1881i</v>
      </c>
      <c r="W42" s="186"/>
      <c r="X42" s="186" t="str">
        <f>IMPRODUCT(V42,S42)</f>
        <v>0,00598+0,0024453i</v>
      </c>
      <c r="Y42" s="186">
        <f>ROUND(((G42*IMABS(X42))/$D$15)*100,4)</f>
        <v>0.26529999999999998</v>
      </c>
      <c r="Z42" s="186">
        <f>Y42+$Y$44</f>
        <v>0.46399999999999997</v>
      </c>
      <c r="AA42" s="186"/>
      <c r="AB42" s="186"/>
    </row>
    <row r="43" spans="2:28">
      <c r="B43" s="207"/>
      <c r="C43" s="190" t="s">
        <v>292</v>
      </c>
      <c r="D43" s="214"/>
      <c r="E43" s="191">
        <v>66</v>
      </c>
      <c r="F43" s="214"/>
      <c r="G43" s="192">
        <f>(E43/(SQRT(3)*$D$42*$F$42))*1000</f>
        <v>113.95071102426826</v>
      </c>
      <c r="H43" s="193">
        <v>35</v>
      </c>
      <c r="I43" s="193">
        <v>181</v>
      </c>
      <c r="J43" s="193">
        <v>0.79</v>
      </c>
      <c r="K43" s="193">
        <v>1</v>
      </c>
      <c r="L43" s="193">
        <f t="shared" si="5"/>
        <v>142.99</v>
      </c>
      <c r="M43" s="194" t="s">
        <v>342</v>
      </c>
      <c r="N43" s="244" t="s">
        <v>345</v>
      </c>
      <c r="O43" s="245"/>
      <c r="P43" s="194">
        <v>125</v>
      </c>
      <c r="Q43" s="194" t="str">
        <f t="shared" si="1"/>
        <v>Fixo</v>
      </c>
      <c r="R43" s="194" t="s">
        <v>249</v>
      </c>
      <c r="S43" s="192">
        <f t="shared" si="2"/>
        <v>1.2999999999999999E-2</v>
      </c>
      <c r="T43" s="195">
        <v>10</v>
      </c>
      <c r="U43" s="194" t="str">
        <f t="shared" si="3"/>
        <v>3#35(35)T16</v>
      </c>
      <c r="V43" s="193" t="str">
        <f>COMPLEX(0.63,0.1981)</f>
        <v>0,63+0,1981i</v>
      </c>
      <c r="W43" s="193"/>
      <c r="X43" s="193" t="str">
        <f>IMPRODUCT(V43,S43)</f>
        <v>0,00819+0,0025753i</v>
      </c>
      <c r="Y43" s="193">
        <f>ROUND(((G43*IMABS(X43))/$D$15)*100,4)</f>
        <v>0.25740000000000002</v>
      </c>
      <c r="Z43" s="186">
        <f>Y43+$Y$44</f>
        <v>0.45610000000000001</v>
      </c>
      <c r="AA43" s="196"/>
      <c r="AB43" s="196"/>
    </row>
    <row r="44" spans="2:28" ht="13.5" thickBot="1">
      <c r="B44" s="208"/>
      <c r="C44" s="197" t="s">
        <v>293</v>
      </c>
      <c r="D44" s="215"/>
      <c r="E44" s="198">
        <f>SUM(E42:E43)</f>
        <v>156.364</v>
      </c>
      <c r="F44" s="215"/>
      <c r="G44" s="199">
        <f>SUM(G42:G43)</f>
        <v>269.96649967573762</v>
      </c>
      <c r="H44" s="200">
        <v>120</v>
      </c>
      <c r="I44" s="200">
        <v>396</v>
      </c>
      <c r="J44" s="201">
        <v>0.79</v>
      </c>
      <c r="K44" s="201">
        <v>1</v>
      </c>
      <c r="L44" s="201">
        <f t="shared" si="5"/>
        <v>312.84000000000003</v>
      </c>
      <c r="M44" s="202" t="s">
        <v>342</v>
      </c>
      <c r="N44" s="246" t="s">
        <v>346</v>
      </c>
      <c r="O44" s="247"/>
      <c r="P44" s="200">
        <v>300</v>
      </c>
      <c r="Q44" s="202" t="str">
        <f t="shared" si="1"/>
        <v>Fixo</v>
      </c>
      <c r="R44" s="202" t="s">
        <v>240</v>
      </c>
      <c r="S44" s="199">
        <f t="shared" si="2"/>
        <v>1.2E-2</v>
      </c>
      <c r="T44" s="200">
        <v>9</v>
      </c>
      <c r="U44" s="202" t="str">
        <f t="shared" si="3"/>
        <v>3#120(120)T70</v>
      </c>
      <c r="V44" s="201" t="str">
        <f>COMPLEX(0.18,0.1481)</f>
        <v>0,18+0,1481i</v>
      </c>
      <c r="W44" s="201"/>
      <c r="X44" s="201" t="str">
        <f>IMPRODUCT(V44,S44)</f>
        <v>0,00216+0,0017772i</v>
      </c>
      <c r="Y44" s="201">
        <f>ROUND(((G44*IMABS(X44))/$D$15)*100,4)</f>
        <v>0.19869999999999999</v>
      </c>
      <c r="Z44" s="203" t="s">
        <v>108</v>
      </c>
      <c r="AA44" s="201"/>
      <c r="AB44" s="201"/>
    </row>
    <row r="45" spans="2:28">
      <c r="C45" s="173"/>
      <c r="M45" s="173"/>
      <c r="N45" s="173"/>
      <c r="O45" s="173"/>
      <c r="V45" s="160"/>
      <c r="W45" s="160"/>
      <c r="X45" s="126"/>
    </row>
    <row r="49" spans="2:25" ht="12.75" customHeight="1"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N49" s="129"/>
      <c r="O49" s="129"/>
      <c r="P49" s="131"/>
      <c r="Q49" s="131"/>
      <c r="R49" s="131"/>
      <c r="S49" s="125"/>
      <c r="T49" s="125"/>
      <c r="U49" s="125"/>
      <c r="V49" s="112"/>
      <c r="X49" s="112"/>
      <c r="Y49" s="112"/>
    </row>
    <row r="50" spans="2:25" ht="12.75" customHeight="1">
      <c r="B50" s="112"/>
      <c r="C50" s="112"/>
      <c r="D50" s="112"/>
      <c r="E50" s="112"/>
      <c r="F50" s="112"/>
      <c r="G50" s="112"/>
      <c r="H50" s="112"/>
      <c r="I50" s="236" t="s">
        <v>359</v>
      </c>
      <c r="J50" s="237"/>
      <c r="K50" s="237"/>
      <c r="L50" s="237"/>
      <c r="M50" s="237"/>
      <c r="N50" s="238"/>
      <c r="O50" s="172"/>
      <c r="P50" s="259" t="s">
        <v>357</v>
      </c>
      <c r="Q50" s="260"/>
      <c r="R50" s="261"/>
      <c r="S50" s="132"/>
      <c r="T50" s="132"/>
      <c r="U50" s="132"/>
    </row>
    <row r="51" spans="2:25">
      <c r="B51" s="114"/>
      <c r="C51" s="114" t="s">
        <v>322</v>
      </c>
      <c r="D51" s="112"/>
      <c r="E51" s="112"/>
      <c r="F51" s="112"/>
      <c r="G51" s="112"/>
      <c r="H51" s="112"/>
      <c r="I51" s="236" t="s">
        <v>325</v>
      </c>
      <c r="J51" s="237"/>
      <c r="K51" s="237"/>
      <c r="L51" s="237"/>
      <c r="M51" s="237"/>
      <c r="N51" s="238"/>
      <c r="O51" s="172"/>
      <c r="P51" s="257"/>
      <c r="Q51" s="256"/>
      <c r="R51" s="258"/>
      <c r="S51" s="132"/>
      <c r="T51" s="132"/>
      <c r="U51" s="132"/>
    </row>
    <row r="52" spans="2:25" ht="38.25">
      <c r="C52" s="118" t="s">
        <v>294</v>
      </c>
      <c r="D52" s="119" t="s">
        <v>296</v>
      </c>
      <c r="E52" s="120" t="s">
        <v>297</v>
      </c>
      <c r="F52" s="118" t="s">
        <v>298</v>
      </c>
      <c r="G52" s="133" t="s">
        <v>305</v>
      </c>
      <c r="H52" s="134" t="s">
        <v>299</v>
      </c>
      <c r="I52" s="133" t="s">
        <v>326</v>
      </c>
      <c r="J52" s="133" t="s">
        <v>302</v>
      </c>
      <c r="K52" s="133" t="s">
        <v>303</v>
      </c>
      <c r="L52" s="133" t="s">
        <v>304</v>
      </c>
      <c r="M52" s="135" t="s">
        <v>344</v>
      </c>
      <c r="N52" s="133" t="s">
        <v>307</v>
      </c>
      <c r="O52" s="132"/>
      <c r="P52" s="118" t="s">
        <v>294</v>
      </c>
      <c r="Q52" s="182" t="s">
        <v>355</v>
      </c>
      <c r="R52" s="182" t="s">
        <v>356</v>
      </c>
      <c r="S52" s="132"/>
      <c r="T52" s="132"/>
      <c r="U52" s="254"/>
      <c r="V52" s="129"/>
      <c r="W52" s="129"/>
    </row>
    <row r="53" spans="2:25" ht="38.25">
      <c r="C53" s="116" t="s">
        <v>354</v>
      </c>
      <c r="D53" s="209">
        <v>13800</v>
      </c>
      <c r="E53" s="127">
        <f>E21+E28+E31+E37+E41+E44</f>
        <v>1671.9953</v>
      </c>
      <c r="F53" s="127">
        <f>F15</f>
        <v>0.89</v>
      </c>
      <c r="G53" s="127">
        <f>(E53/(SQRT(3)*$D$53))*1000</f>
        <v>69.951227285419492</v>
      </c>
      <c r="H53" s="127">
        <v>25</v>
      </c>
      <c r="I53" s="127">
        <v>126</v>
      </c>
      <c r="J53" s="127">
        <v>0.87</v>
      </c>
      <c r="K53" s="127">
        <v>0.7</v>
      </c>
      <c r="L53" s="127">
        <f t="shared" ref="L53:L54" si="9">I53*J53*K53</f>
        <v>76.733999999999995</v>
      </c>
      <c r="M53" s="127"/>
      <c r="N53" s="115" t="s">
        <v>151</v>
      </c>
      <c r="O53" s="255"/>
      <c r="P53" s="115" t="s">
        <v>323</v>
      </c>
      <c r="Q53" s="127">
        <v>9.0999999999999998E-2</v>
      </c>
      <c r="R53" s="127">
        <v>0.39600000000000002</v>
      </c>
      <c r="S53" s="129"/>
      <c r="T53" s="129"/>
      <c r="U53" s="129"/>
      <c r="V53" s="129"/>
      <c r="W53" s="129"/>
    </row>
    <row r="54" spans="2:25" ht="38.25" customHeight="1">
      <c r="C54" s="157" t="s">
        <v>264</v>
      </c>
      <c r="D54" s="240"/>
      <c r="E54" s="127">
        <f>E23</f>
        <v>45.777999999999999</v>
      </c>
      <c r="F54" s="127">
        <f>F22</f>
        <v>0.9</v>
      </c>
      <c r="G54" s="127">
        <f>(E54/(SQRT(3)*$D$53))*1000</f>
        <v>1.9152130886204848</v>
      </c>
      <c r="H54" s="127">
        <v>25</v>
      </c>
      <c r="I54" s="127">
        <v>126</v>
      </c>
      <c r="J54" s="127">
        <v>0.87</v>
      </c>
      <c r="K54" s="127">
        <v>0.7</v>
      </c>
      <c r="L54" s="127">
        <f t="shared" si="9"/>
        <v>76.733999999999995</v>
      </c>
      <c r="M54" s="127"/>
      <c r="N54" s="115" t="s">
        <v>151</v>
      </c>
      <c r="O54" s="255"/>
      <c r="P54" s="157" t="s">
        <v>264</v>
      </c>
      <c r="Q54" s="127">
        <v>0.255</v>
      </c>
      <c r="R54" s="253">
        <v>0</v>
      </c>
      <c r="S54" s="129"/>
      <c r="T54" s="129"/>
      <c r="U54" s="129"/>
      <c r="V54" s="129"/>
      <c r="W54" s="129"/>
    </row>
    <row r="55" spans="2:25">
      <c r="N55" s="129"/>
      <c r="O55" s="129"/>
      <c r="P55" s="127" t="s">
        <v>267</v>
      </c>
      <c r="Q55" s="127">
        <v>0.29099999999999998</v>
      </c>
      <c r="R55" s="127">
        <v>0.19600000000000001</v>
      </c>
      <c r="S55" s="129"/>
      <c r="T55" s="129"/>
      <c r="U55" s="129"/>
      <c r="V55" s="129"/>
      <c r="W55" s="129"/>
    </row>
    <row r="56" spans="2:25" ht="25.5">
      <c r="N56" s="129"/>
      <c r="O56" s="129"/>
      <c r="P56" s="116" t="s">
        <v>324</v>
      </c>
      <c r="Q56" s="127">
        <v>0.25800000000000001</v>
      </c>
      <c r="R56" s="127">
        <v>0.22900000000000001</v>
      </c>
      <c r="S56" s="129"/>
      <c r="T56" s="129"/>
      <c r="U56" s="129"/>
      <c r="V56" s="129"/>
      <c r="W56" s="129"/>
    </row>
    <row r="57" spans="2:25">
      <c r="P57" s="127" t="s">
        <v>278</v>
      </c>
      <c r="Q57" s="127">
        <v>0.34300000000000003</v>
      </c>
      <c r="R57" s="127">
        <v>0.14399999999999999</v>
      </c>
      <c r="T57" s="129"/>
      <c r="U57" s="129"/>
      <c r="V57" s="129"/>
      <c r="W57" s="129"/>
    </row>
    <row r="58" spans="2:25">
      <c r="P58" s="127" t="s">
        <v>285</v>
      </c>
      <c r="Q58" s="127">
        <v>0.377</v>
      </c>
      <c r="R58" s="127">
        <v>0.11</v>
      </c>
    </row>
    <row r="59" spans="2:25">
      <c r="P59" s="127" t="s">
        <v>289</v>
      </c>
      <c r="Q59" s="127">
        <v>0.17499999999999999</v>
      </c>
      <c r="R59" s="127">
        <v>0.312</v>
      </c>
    </row>
    <row r="71" spans="15:24">
      <c r="O71"/>
      <c r="R71" s="112"/>
      <c r="T71"/>
    </row>
    <row r="72" spans="15:24">
      <c r="O72"/>
      <c r="P72" t="s">
        <v>332</v>
      </c>
      <c r="R72" s="112"/>
      <c r="T72"/>
    </row>
    <row r="73" spans="15:24">
      <c r="O73"/>
      <c r="P73" t="s">
        <v>330</v>
      </c>
      <c r="Q73" t="s">
        <v>331</v>
      </c>
      <c r="R73" s="112"/>
      <c r="S73" t="s">
        <v>334</v>
      </c>
      <c r="T73" t="s">
        <v>335</v>
      </c>
      <c r="U73" t="s">
        <v>338</v>
      </c>
      <c r="V73" t="s">
        <v>339</v>
      </c>
      <c r="X73" t="s">
        <v>340</v>
      </c>
    </row>
    <row r="74" spans="15:24">
      <c r="O74" t="s">
        <v>333</v>
      </c>
      <c r="P74">
        <v>2</v>
      </c>
      <c r="Q74">
        <v>6.9</v>
      </c>
      <c r="R74" s="112"/>
      <c r="S74">
        <v>5.51</v>
      </c>
      <c r="T74">
        <f>S74*Q74</f>
        <v>38.018999999999998</v>
      </c>
      <c r="U74">
        <f>T74*20*0.4*0.7</f>
        <v>212.90639999999999</v>
      </c>
      <c r="V74">
        <f>S74*20*0.4*0.7</f>
        <v>30.855999999999998</v>
      </c>
      <c r="X74">
        <f>((G15/20)-S74)+T74</f>
        <v>33.576722430114287</v>
      </c>
    </row>
    <row r="75" spans="15:24">
      <c r="O75" t="s">
        <v>337</v>
      </c>
      <c r="P75">
        <v>10</v>
      </c>
      <c r="Q75">
        <v>7.2</v>
      </c>
      <c r="R75" s="112"/>
      <c r="S75">
        <v>25</v>
      </c>
      <c r="T75" s="112">
        <f>S75*Q75</f>
        <v>180</v>
      </c>
      <c r="U75" s="112">
        <v>180</v>
      </c>
      <c r="V75" s="112">
        <v>25</v>
      </c>
    </row>
    <row r="76" spans="15:24">
      <c r="O76" t="s">
        <v>341</v>
      </c>
      <c r="P76">
        <v>15</v>
      </c>
      <c r="Q76">
        <v>8.3000000000000007</v>
      </c>
      <c r="R76" s="112"/>
      <c r="S76">
        <v>36.200000000000003</v>
      </c>
      <c r="T76" s="112">
        <f>S76*Q76</f>
        <v>300.46000000000004</v>
      </c>
      <c r="U76">
        <f>T76*6</f>
        <v>1802.7600000000002</v>
      </c>
      <c r="V76">
        <f>36.2*2*0.75</f>
        <v>54.300000000000004</v>
      </c>
    </row>
    <row r="77" spans="15:24">
      <c r="O77" t="s">
        <v>336</v>
      </c>
      <c r="P77">
        <v>25</v>
      </c>
      <c r="Q77">
        <v>6.8</v>
      </c>
      <c r="R77" s="112"/>
      <c r="S77">
        <v>61</v>
      </c>
      <c r="T77" s="112">
        <f>S77*Q77</f>
        <v>414.8</v>
      </c>
      <c r="U77">
        <f>T77*4</f>
        <v>1659.2</v>
      </c>
      <c r="V77">
        <f>61*4*0.8*0.85</f>
        <v>165.92000000000002</v>
      </c>
      <c r="X77" s="122">
        <f>((G38/4)-S77)+T77</f>
        <v>381.02227004750171</v>
      </c>
    </row>
    <row r="78" spans="15:24">
      <c r="O78" t="s">
        <v>337</v>
      </c>
      <c r="P78">
        <v>400</v>
      </c>
      <c r="Q78">
        <v>8</v>
      </c>
      <c r="R78" s="112"/>
      <c r="S78">
        <v>896</v>
      </c>
      <c r="T78" s="112">
        <f>S78*Q78</f>
        <v>7168</v>
      </c>
      <c r="U78" s="112">
        <v>7168</v>
      </c>
      <c r="V78" s="112">
        <f>896*0.87</f>
        <v>779.52</v>
      </c>
      <c r="X78" s="122">
        <f>(G18-S78)+T78</f>
        <v>6811.5988680871442</v>
      </c>
    </row>
    <row r="79" spans="15:24">
      <c r="O79"/>
      <c r="R79" s="112"/>
      <c r="T79"/>
    </row>
  </sheetData>
  <mergeCells count="64">
    <mergeCell ref="N14:O14"/>
    <mergeCell ref="I12:O13"/>
    <mergeCell ref="P11:R13"/>
    <mergeCell ref="I11:O11"/>
    <mergeCell ref="P50:R51"/>
    <mergeCell ref="N22:O22"/>
    <mergeCell ref="D22:D23"/>
    <mergeCell ref="N21:O21"/>
    <mergeCell ref="N20:O20"/>
    <mergeCell ref="D15:D21"/>
    <mergeCell ref="N31:O31"/>
    <mergeCell ref="N27:O27"/>
    <mergeCell ref="N28:O28"/>
    <mergeCell ref="D53:D54"/>
    <mergeCell ref="D42:D44"/>
    <mergeCell ref="D38:D41"/>
    <mergeCell ref="D32:D37"/>
    <mergeCell ref="D29:D31"/>
    <mergeCell ref="D24:D28"/>
    <mergeCell ref="N43:O43"/>
    <mergeCell ref="I50:N50"/>
    <mergeCell ref="I51:N51"/>
    <mergeCell ref="N44:O44"/>
    <mergeCell ref="N15:O15"/>
    <mergeCell ref="N16:O16"/>
    <mergeCell ref="N17:O17"/>
    <mergeCell ref="N18:O18"/>
    <mergeCell ref="N19:O19"/>
    <mergeCell ref="N36:O36"/>
    <mergeCell ref="N37:O37"/>
    <mergeCell ref="N38:O38"/>
    <mergeCell ref="N39:O39"/>
    <mergeCell ref="N40:O40"/>
    <mergeCell ref="N41:O41"/>
    <mergeCell ref="N30:O30"/>
    <mergeCell ref="Y13:Z13"/>
    <mergeCell ref="N23:O23"/>
    <mergeCell ref="F42:F44"/>
    <mergeCell ref="F29:F31"/>
    <mergeCell ref="F32:F37"/>
    <mergeCell ref="F38:F41"/>
    <mergeCell ref="N32:O32"/>
    <mergeCell ref="N33:O33"/>
    <mergeCell ref="N34:O34"/>
    <mergeCell ref="N35:O35"/>
    <mergeCell ref="N24:O24"/>
    <mergeCell ref="N25:O25"/>
    <mergeCell ref="N26:O26"/>
    <mergeCell ref="N29:O29"/>
    <mergeCell ref="N42:O42"/>
    <mergeCell ref="S11:AB12"/>
    <mergeCell ref="AA13:AB13"/>
    <mergeCell ref="L6:L7"/>
    <mergeCell ref="I6:I7"/>
    <mergeCell ref="F24:F28"/>
    <mergeCell ref="F22:F23"/>
    <mergeCell ref="F15:F21"/>
    <mergeCell ref="B42:B44"/>
    <mergeCell ref="B15:B21"/>
    <mergeCell ref="B22:B23"/>
    <mergeCell ref="B24:B28"/>
    <mergeCell ref="B30:B31"/>
    <mergeCell ref="B32:B37"/>
    <mergeCell ref="B38:B41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Mendes</dc:creator>
  <cp:lastModifiedBy>Jeferson de Almeida</cp:lastModifiedBy>
  <dcterms:created xsi:type="dcterms:W3CDTF">2019-11-15T23:08:20Z</dcterms:created>
  <dcterms:modified xsi:type="dcterms:W3CDTF">2019-11-20T18:48:14Z</dcterms:modified>
</cp:coreProperties>
</file>