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idential" sheetId="1" state="visible" r:id="rId2"/>
    <sheet name="Calculation" sheetId="2" state="visible" r:id="rId3"/>
  </sheets>
  <definedNames>
    <definedName function="false" hidden="false" localSheetId="0" name="_xlnm.Print_Area" vbProcedure="false">Residential!$A$1:$H$144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<sst xmlns="http://schemas.openxmlformats.org/spreadsheetml/2006/main" count="464" uniqueCount="375">
  <si>
    <r>
      <rPr>
        <b val="true"/>
        <sz val="12"/>
        <rFont val="Calibri"/>
        <family val="2"/>
        <charset val="1"/>
      </rPr>
      <t xml:space="preserve">SOLAR</t>
    </r>
    <r>
      <rPr>
        <sz val="12"/>
        <rFont val="Times New Roman"/>
        <family val="1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POWER</t>
    </r>
    <r>
      <rPr>
        <sz val="12"/>
        <rFont val="Times New Roman"/>
        <family val="1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PLANT</t>
    </r>
    <r>
      <rPr>
        <sz val="12"/>
        <rFont val="Times New Roman"/>
        <family val="1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PROPOSAL</t>
    </r>
  </si>
  <si>
    <t xml:space="preserve">GRID CONNECTED ROOFTOP (CAPTIVE)</t>
  </si>
  <si>
    <t xml:space="preserve">Sr.No.:</t>
  </si>
  <si>
    <t xml:space="preserve">URBAN</t>
  </si>
  <si>
    <t xml:space="preserve">/Ahmedabad/2023-24/</t>
  </si>
  <si>
    <t xml:space="preserve">Date:</t>
  </si>
  <si>
    <t xml:space="preserve">To:- The Grand Eastern</t>
  </si>
  <si>
    <t xml:space="preserve">Cons. No.: </t>
  </si>
  <si>
    <t xml:space="preserve">RURAL</t>
  </si>
  <si>
    <t xml:space="preserve">Location: Ahmedabad</t>
  </si>
  <si>
    <r>
      <rPr>
        <b val="true"/>
        <sz val="10"/>
        <rFont val="Calibri"/>
        <family val="2"/>
        <charset val="1"/>
      </rPr>
      <t xml:space="preserve">Tarrif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Type: Residential</t>
    </r>
  </si>
  <si>
    <t xml:space="preserve">Discom: TPL</t>
  </si>
  <si>
    <t xml:space="preserve">Sr.No.</t>
  </si>
  <si>
    <t xml:space="preserve">Description</t>
  </si>
  <si>
    <r>
      <rPr>
        <b val="true"/>
        <sz val="10"/>
        <rFont val="Calibri"/>
        <family val="2"/>
        <charset val="1"/>
      </rPr>
      <t xml:space="preserve">Proposed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Capacity
(KW)</t>
    </r>
  </si>
  <si>
    <t xml:space="preserve">Rate/KW</t>
  </si>
  <si>
    <r>
      <rPr>
        <b val="true"/>
        <sz val="10"/>
        <rFont val="Calibri"/>
        <family val="2"/>
        <charset val="1"/>
      </rPr>
      <t xml:space="preserve">Value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(INR)</t>
    </r>
  </si>
  <si>
    <r>
      <rPr>
        <sz val="10"/>
        <rFont val="Calibri"/>
        <family val="2"/>
        <charset val="1"/>
      </rPr>
      <t xml:space="preserve">The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solar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power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plant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will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consists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of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required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no.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of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SPV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panels,</t>
    </r>
    <r>
      <rPr>
        <sz val="10"/>
        <rFont val="Times New Roman"/>
        <family val="1"/>
        <charset val="1"/>
      </rPr>
      <t xml:space="preserve"> I</t>
    </r>
    <r>
      <rPr>
        <sz val="10"/>
        <rFont val="Calibri"/>
        <family val="2"/>
        <charset val="1"/>
      </rPr>
      <t xml:space="preserve">nverter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and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with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all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the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electrical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items as per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the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design.</t>
    </r>
  </si>
  <si>
    <t xml:space="preserve">Adani Urban</t>
  </si>
  <si>
    <t xml:space="preserve">kW</t>
  </si>
  <si>
    <t xml:space="preserve">Structure Rate</t>
  </si>
  <si>
    <t xml:space="preserve">Subsidy Rate/kW: -</t>
  </si>
  <si>
    <t xml:space="preserve">Subsidy (20%, 3.01KW to 10.00KW)</t>
  </si>
  <si>
    <t xml:space="preserve">Subsidy (40%, Upto 3.00KW)</t>
  </si>
  <si>
    <t xml:space="preserve">Net - Meter Charges</t>
  </si>
  <si>
    <t xml:space="preserve">Extra Cable Charges, Structure Charges and Mono perc panel charges</t>
  </si>
  <si>
    <t xml:space="preserve">Solar Plant Cost .</t>
  </si>
  <si>
    <t xml:space="preserve">Note:- If any government taxes changes than it will be same levied on to the consumer.</t>
  </si>
  <si>
    <t xml:space="preserve">Note:- Below charges are aprox. included in above quoted rate.</t>
  </si>
  <si>
    <t xml:space="preserve">Net Meter Charges(Included per application): Up to ₹ 5831/- (Depend upon customer connection and sanction ld.)</t>
  </si>
  <si>
    <t xml:space="preserve">Pahal Urban</t>
  </si>
  <si>
    <r>
      <rPr>
        <sz val="10"/>
        <rFont val="Calibri"/>
        <family val="2"/>
        <charset val="1"/>
      </rPr>
      <t xml:space="preserve">Roof/Space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area</t>
    </r>
    <r>
      <rPr>
        <sz val="10"/>
        <rFont val="Times New Roman"/>
        <family val="1"/>
        <charset val="1"/>
      </rPr>
      <t xml:space="preserve"> required - 8 Sq. Mtr/KW</t>
    </r>
  </si>
  <si>
    <r>
      <rPr>
        <sz val="10"/>
        <rFont val="Calibri"/>
        <family val="2"/>
        <charset val="1"/>
      </rPr>
      <t xml:space="preserve">Customer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Scope</t>
    </r>
  </si>
  <si>
    <t xml:space="preserve">Liasoning/Permission</t>
  </si>
  <si>
    <t xml:space="preserve">Included</t>
  </si>
  <si>
    <t xml:space="preserve">Earthing and LA material</t>
  </si>
  <si>
    <r>
      <rPr>
        <sz val="10"/>
        <rFont val="Calibri"/>
        <family val="2"/>
        <charset val="1"/>
      </rPr>
      <t xml:space="preserve">Earthing</t>
    </r>
    <r>
      <rPr>
        <sz val="10"/>
        <rFont val="Times New Roman"/>
        <family val="1"/>
        <charset val="1"/>
      </rPr>
      <t xml:space="preserve"> systems arrangement space</t>
    </r>
  </si>
  <si>
    <t xml:space="preserve">Customer Scope</t>
  </si>
  <si>
    <r>
      <rPr>
        <b val="true"/>
        <sz val="10"/>
        <rFont val="Calibri"/>
        <family val="2"/>
        <charset val="1"/>
      </rPr>
      <t xml:space="preserve">Terms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&amp;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Conditions</t>
    </r>
  </si>
  <si>
    <t xml:space="preserve">Sr.no</t>
  </si>
  <si>
    <t xml:space="preserve">Parameters</t>
  </si>
  <si>
    <t xml:space="preserve">Remarks</t>
  </si>
  <si>
    <r>
      <rPr>
        <sz val="10"/>
        <rFont val="Calibri"/>
        <family val="2"/>
        <charset val="1"/>
      </rPr>
      <t xml:space="preserve">All</t>
    </r>
    <r>
      <rPr>
        <sz val="10"/>
        <rFont val="Times New Roman"/>
        <family val="1"/>
        <charset val="1"/>
      </rPr>
      <t xml:space="preserve"> other </t>
    </r>
    <r>
      <rPr>
        <sz val="10"/>
        <rFont val="Calibri"/>
        <family val="2"/>
        <charset val="1"/>
      </rPr>
      <t xml:space="preserve">taxes,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Duties,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Levies,Cess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etc.</t>
    </r>
  </si>
  <si>
    <r>
      <rPr>
        <sz val="10"/>
        <rFont val="Calibri"/>
        <family val="2"/>
        <charset val="1"/>
      </rPr>
      <t xml:space="preserve">Extra</t>
    </r>
    <r>
      <rPr>
        <sz val="10"/>
        <rFont val="Times New Roman"/>
        <family val="1"/>
        <charset val="1"/>
      </rPr>
      <t xml:space="preserve"> @ </t>
    </r>
    <r>
      <rPr>
        <sz val="10"/>
        <rFont val="Calibri"/>
        <family val="2"/>
        <charset val="1"/>
      </rPr>
      <t xml:space="preserve">actual</t>
    </r>
  </si>
  <si>
    <r>
      <rPr>
        <sz val="10"/>
        <rFont val="Calibri"/>
        <family val="2"/>
        <charset val="1"/>
      </rPr>
      <t xml:space="preserve">Validity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period</t>
    </r>
    <r>
      <rPr>
        <sz val="10"/>
        <rFont val="Times New Roman"/>
        <family val="1"/>
        <charset val="1"/>
      </rPr>
      <t xml:space="preserve"> o</t>
    </r>
    <r>
      <rPr>
        <sz val="10"/>
        <rFont val="Calibri"/>
        <family val="2"/>
        <charset val="1"/>
      </rPr>
      <t xml:space="preserve">f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this</t>
    </r>
    <r>
      <rPr>
        <sz val="10"/>
        <rFont val="Times New Roman"/>
        <family val="1"/>
        <charset val="1"/>
      </rPr>
      <t xml:space="preserve"> proposal</t>
    </r>
  </si>
  <si>
    <r>
      <rPr>
        <sz val="10"/>
        <rFont val="Times New Roman"/>
        <family val="1"/>
        <charset val="1"/>
      </rPr>
      <t xml:space="preserve">5 </t>
    </r>
    <r>
      <rPr>
        <sz val="10"/>
        <rFont val="Calibri"/>
        <family val="2"/>
        <charset val="1"/>
      </rPr>
      <t xml:space="preserve">days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from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the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date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of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this</t>
    </r>
    <r>
      <rPr>
        <sz val="10"/>
        <rFont val="Times New Roman"/>
        <family val="1"/>
        <charset val="1"/>
      </rPr>
      <t xml:space="preserve"> p</t>
    </r>
    <r>
      <rPr>
        <sz val="10"/>
        <rFont val="Calibri"/>
        <family val="2"/>
        <charset val="1"/>
      </rPr>
      <t xml:space="preserve">roposal</t>
    </r>
  </si>
  <si>
    <r>
      <rPr>
        <sz val="10"/>
        <rFont val="Calibri"/>
        <family val="2"/>
        <charset val="1"/>
      </rPr>
      <t xml:space="preserve">All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extra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and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additional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material/work</t>
    </r>
  </si>
  <si>
    <t xml:space="preserve">Payment should be made by account payee cheque in favour of “PV Renewables.”</t>
  </si>
  <si>
    <t xml:space="preserve">GEDA application fees needs to be paid seperately in advance at the time of registration.</t>
  </si>
  <si>
    <t xml:space="preserve">Depreciation benefit can be claimed at 40% of book value every year if eligible.</t>
  </si>
  <si>
    <t xml:space="preserve">This rate is applicable only if we allowed to use your lift and equipments for material unloading &amp; loading to terrace.</t>
  </si>
  <si>
    <t xml:space="preserve">We'll liable to pickup all material from site if any payment remaining from consumer side after installation.</t>
  </si>
  <si>
    <t xml:space="preserve">Warranty &amp; Guarantee</t>
  </si>
  <si>
    <r>
      <rPr>
        <sz val="10"/>
        <rFont val="Calibri"/>
        <family val="2"/>
        <charset val="1"/>
      </rPr>
      <t xml:space="preserve">SPV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modules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(for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Manufacturing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Defects)</t>
    </r>
  </si>
  <si>
    <r>
      <rPr>
        <sz val="10"/>
        <rFont val="Calibri"/>
        <family val="2"/>
        <charset val="1"/>
      </rPr>
      <t xml:space="preserve">90% Power output for the 1st 10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Years</t>
    </r>
  </si>
  <si>
    <r>
      <rPr>
        <sz val="10"/>
        <rFont val="Calibri"/>
        <family val="2"/>
        <charset val="1"/>
      </rPr>
      <t xml:space="preserve">SPV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modules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(for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performance only)</t>
    </r>
  </si>
  <si>
    <t xml:space="preserve">84% Power output for the remaining 20 Years</t>
  </si>
  <si>
    <t xml:space="preserve">Inverter</t>
  </si>
  <si>
    <t xml:space="preserve">Warranty will be provided by particular manufacturers of the product.</t>
  </si>
  <si>
    <r>
      <rPr>
        <b val="true"/>
        <sz val="10"/>
        <rFont val="Calibri"/>
        <family val="2"/>
        <charset val="1"/>
      </rPr>
      <t xml:space="preserve">ITEMS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CONSIDERED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FOR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PROPOSAL</t>
    </r>
  </si>
  <si>
    <t xml:space="preserve">Unit</t>
  </si>
  <si>
    <t xml:space="preserve">Qty.</t>
  </si>
  <si>
    <t xml:space="preserve">Size</t>
  </si>
  <si>
    <t xml:space="preserve">Make</t>
  </si>
  <si>
    <r>
      <rPr>
        <sz val="10"/>
        <rFont val="Calibri"/>
        <family val="2"/>
        <charset val="1"/>
      </rPr>
      <t xml:space="preserve">SPV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modules</t>
    </r>
  </si>
  <si>
    <t xml:space="preserve">Nos</t>
  </si>
  <si>
    <t xml:space="preserve">Pahal/Equi.</t>
  </si>
  <si>
    <t xml:space="preserve">Adani/Equi.</t>
  </si>
  <si>
    <r>
      <rPr>
        <sz val="10"/>
        <rFont val="Calibri"/>
        <family val="2"/>
        <charset val="1"/>
      </rPr>
      <t xml:space="preserve">Module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mounting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structure</t>
    </r>
  </si>
  <si>
    <t xml:space="preserve">Set</t>
  </si>
  <si>
    <r>
      <rPr>
        <sz val="10"/>
        <rFont val="Calibri"/>
        <family val="2"/>
        <charset val="1"/>
      </rPr>
      <t xml:space="preserve">As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per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design</t>
    </r>
  </si>
  <si>
    <t xml:space="preserve">60*40*2mm, 40*40*2mm</t>
  </si>
  <si>
    <t xml:space="preserve">Hot Dip G.I. 80 Micron</t>
  </si>
  <si>
    <r>
      <rPr>
        <sz val="10"/>
        <rFont val="Calibri"/>
        <family val="2"/>
        <charset val="1"/>
      </rPr>
      <t xml:space="preserve">String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Inverter</t>
    </r>
  </si>
  <si>
    <t xml:space="preserve">PV Inverter/Equi.</t>
  </si>
  <si>
    <t xml:space="preserve">DCDB</t>
  </si>
  <si>
    <t xml:space="preserve">1 Nos.</t>
  </si>
  <si>
    <t xml:space="preserve">Polycab/C&amp;S/Equi.</t>
  </si>
  <si>
    <t xml:space="preserve">ACDB</t>
  </si>
  <si>
    <t xml:space="preserve">ABB/Equi.</t>
  </si>
  <si>
    <r>
      <rPr>
        <sz val="10"/>
        <rFont val="Calibri"/>
        <family val="2"/>
        <charset val="1"/>
      </rPr>
      <t xml:space="preserve">DC</t>
    </r>
    <r>
      <rPr>
        <sz val="10"/>
        <rFont val="Times New Roman"/>
        <family val="1"/>
        <charset val="1"/>
      </rPr>
      <t xml:space="preserve"> C</t>
    </r>
    <r>
      <rPr>
        <sz val="10"/>
        <rFont val="Calibri"/>
        <family val="2"/>
        <charset val="1"/>
      </rPr>
      <t xml:space="preserve">able</t>
    </r>
  </si>
  <si>
    <t xml:space="preserve">Mtr</t>
  </si>
  <si>
    <t xml:space="preserve">As per design</t>
  </si>
  <si>
    <t xml:space="preserve">Polycab/Standard</t>
  </si>
  <si>
    <r>
      <rPr>
        <sz val="10"/>
        <rFont val="Calibri"/>
        <family val="2"/>
        <charset val="1"/>
      </rPr>
      <t xml:space="preserve">AC</t>
    </r>
    <r>
      <rPr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Cable</t>
    </r>
  </si>
  <si>
    <t xml:space="preserve">Earthing Systems</t>
  </si>
  <si>
    <t xml:space="preserve">Standard</t>
  </si>
  <si>
    <t xml:space="preserve">LA Systems</t>
  </si>
  <si>
    <t xml:space="preserve">Lot</t>
  </si>
  <si>
    <t xml:space="preserve">J Bolt</t>
  </si>
  <si>
    <t xml:space="preserve">At actual</t>
  </si>
  <si>
    <t xml:space="preserve">8mm</t>
  </si>
  <si>
    <t xml:space="preserve">SS304</t>
  </si>
  <si>
    <t xml:space="preserve">Base Plate</t>
  </si>
  <si>
    <t xml:space="preserve">125*125*3mm</t>
  </si>
  <si>
    <t xml:space="preserve">MS Plate</t>
  </si>
  <si>
    <t xml:space="preserve">Anchor Fastner</t>
  </si>
  <si>
    <t xml:space="preserve">10*100mm</t>
  </si>
  <si>
    <t xml:space="preserve">GI with chrome</t>
  </si>
  <si>
    <t xml:space="preserve">PVC Pipe</t>
  </si>
  <si>
    <t xml:space="preserve">20mm</t>
  </si>
  <si>
    <t xml:space="preserve">Crown/ISI Make</t>
  </si>
  <si>
    <t xml:space="preserve">Foundation</t>
  </si>
  <si>
    <t xml:space="preserve">300*250mm</t>
  </si>
  <si>
    <t xml:space="preserve">Elbow/Tie</t>
  </si>
  <si>
    <t xml:space="preserve">Isolation MCB</t>
  </si>
  <si>
    <t xml:space="preserve">40A</t>
  </si>
  <si>
    <t xml:space="preserve">Havells</t>
  </si>
  <si>
    <t xml:space="preserve">Earthing Cable</t>
  </si>
  <si>
    <t xml:space="preserve">6sqmm</t>
  </si>
  <si>
    <t xml:space="preserve">PVI/Jhonson</t>
  </si>
  <si>
    <t xml:space="preserve">LA Cable</t>
  </si>
  <si>
    <t xml:space="preserve">25sqmm</t>
  </si>
  <si>
    <t xml:space="preserve">Total Saving = Electicity bill saving + Tax benefit through elevated depreciation</t>
  </si>
  <si>
    <t xml:space="preserve">Particular</t>
  </si>
  <si>
    <t xml:space="preserve">1st Year</t>
  </si>
  <si>
    <t xml:space="preserve">2nd Year</t>
  </si>
  <si>
    <t xml:space="preserve">3rd Year</t>
  </si>
  <si>
    <t xml:space="preserve">Fourth Year</t>
  </si>
  <si>
    <t xml:space="preserve">Depreciation 40% of book value</t>
  </si>
  <si>
    <t xml:space="preserve">Tax benefit @30% (A)</t>
  </si>
  <si>
    <t xml:space="preserve">Saving in Electricity Bill (B)</t>
  </si>
  <si>
    <t xml:space="preserve">Total Saving (A+B)</t>
  </si>
  <si>
    <t xml:space="preserve">Net cash flow at the end</t>
  </si>
  <si>
    <t xml:space="preserve">Savings &amp; ROI</t>
  </si>
  <si>
    <t xml:space="preserve">Total Investment (Rs.) (A)</t>
  </si>
  <si>
    <t xml:space="preserve">Existing Rate per Unit (Rs./unit) (B)</t>
  </si>
  <si>
    <t xml:space="preserve">Units generation from solar project (approx) (C)</t>
  </si>
  <si>
    <t xml:space="preserve">Yearly bill Savings in (Rs.) (E = B x C - D)</t>
  </si>
  <si>
    <t xml:space="preserve">Total Savings in 25 years(Rs.) (E x 25)</t>
  </si>
  <si>
    <t xml:space="preserve">Pay back period in Years without depreciation benefit (A / D)</t>
  </si>
  <si>
    <t xml:space="preserve">R.O.I (Return on Investment in %) without depreciation benefit (D / A)%</t>
  </si>
  <si>
    <t xml:space="preserve">*Payback Start from 5th Year</t>
  </si>
  <si>
    <t xml:space="preserve">Year</t>
  </si>
  <si>
    <r>
      <rPr>
        <b val="true"/>
        <sz val="10"/>
        <rFont val="Calibri"/>
        <family val="2"/>
        <charset val="1"/>
      </rPr>
      <t xml:space="preserve">Bill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Calibri"/>
        <family val="2"/>
        <charset val="1"/>
      </rPr>
      <t xml:space="preserve">Save</t>
    </r>
  </si>
  <si>
    <r>
      <rPr>
        <sz val="10"/>
        <color rgb="FFFF0000"/>
        <rFont val="Calibri"/>
        <family val="2"/>
        <charset val="1"/>
      </rPr>
      <t xml:space="preserve">1st</t>
    </r>
    <r>
      <rPr>
        <sz val="10"/>
        <color rgb="FFFF0000"/>
        <rFont val="Times New Roman"/>
        <family val="1"/>
        <charset val="1"/>
      </rPr>
      <t xml:space="preserve"> </t>
    </r>
    <r>
      <rPr>
        <sz val="10"/>
        <color rgb="FFFF0000"/>
        <rFont val="Calibri"/>
        <family val="2"/>
        <charset val="1"/>
      </rPr>
      <t xml:space="preserve">Year</t>
    </r>
  </si>
  <si>
    <r>
      <rPr>
        <sz val="10"/>
        <color rgb="FFFF0000"/>
        <rFont val="Calibri"/>
        <family val="2"/>
        <charset val="1"/>
      </rPr>
      <t xml:space="preserve">2nd</t>
    </r>
    <r>
      <rPr>
        <sz val="10"/>
        <color rgb="FFFF0000"/>
        <rFont val="Times New Roman"/>
        <family val="1"/>
        <charset val="1"/>
      </rPr>
      <t xml:space="preserve"> </t>
    </r>
    <r>
      <rPr>
        <sz val="10"/>
        <color rgb="FFFF0000"/>
        <rFont val="Calibri"/>
        <family val="2"/>
        <charset val="1"/>
      </rPr>
      <t xml:space="preserve">Year</t>
    </r>
  </si>
  <si>
    <r>
      <rPr>
        <sz val="10"/>
        <color rgb="FFFF0000"/>
        <rFont val="Calibri"/>
        <family val="2"/>
        <charset val="1"/>
      </rPr>
      <t xml:space="preserve">3rd</t>
    </r>
    <r>
      <rPr>
        <sz val="10"/>
        <color rgb="FFFF0000"/>
        <rFont val="Times New Roman"/>
        <family val="1"/>
        <charset val="1"/>
      </rPr>
      <t xml:space="preserve"> </t>
    </r>
    <r>
      <rPr>
        <sz val="10"/>
        <color rgb="FFFF0000"/>
        <rFont val="Calibri"/>
        <family val="2"/>
        <charset val="1"/>
      </rPr>
      <t xml:space="preserve">Year</t>
    </r>
  </si>
  <si>
    <r>
      <rPr>
        <sz val="10"/>
        <color rgb="FFFF0000"/>
        <rFont val="Calibri"/>
        <family val="2"/>
        <charset val="1"/>
      </rPr>
      <t xml:space="preserve">4th</t>
    </r>
    <r>
      <rPr>
        <sz val="10"/>
        <color rgb="FFFF0000"/>
        <rFont val="Times New Roman"/>
        <family val="1"/>
        <charset val="1"/>
      </rPr>
      <t xml:space="preserve"> </t>
    </r>
    <r>
      <rPr>
        <sz val="10"/>
        <color rgb="FFFF0000"/>
        <rFont val="Calibri"/>
        <family val="2"/>
        <charset val="1"/>
      </rPr>
      <t xml:space="preserve">Year</t>
    </r>
  </si>
  <si>
    <r>
      <rPr>
        <sz val="10"/>
        <color rgb="FF00B050"/>
        <rFont val="Calibri"/>
        <family val="2"/>
        <charset val="1"/>
      </rPr>
      <t xml:space="preserve">5th</t>
    </r>
    <r>
      <rPr>
        <sz val="10"/>
        <color rgb="FF00B050"/>
        <rFont val="Times New Roman"/>
        <family val="1"/>
        <charset val="1"/>
      </rPr>
      <t xml:space="preserve"> </t>
    </r>
    <r>
      <rPr>
        <sz val="10"/>
        <color rgb="FF00B050"/>
        <rFont val="Calibri"/>
        <family val="2"/>
        <charset val="1"/>
      </rPr>
      <t xml:space="preserve">Year</t>
    </r>
  </si>
  <si>
    <t xml:space="preserve">Payment Schedule for Solar Power Plant:</t>
  </si>
  <si>
    <t xml:space="preserve">Payment Stage</t>
  </si>
  <si>
    <t xml:space="preserve">Payment (In %)</t>
  </si>
  <si>
    <t xml:space="preserve">Amount In Rs.</t>
  </si>
  <si>
    <t xml:space="preserve">Process
time (approx)</t>
  </si>
  <si>
    <t xml:space="preserve">At time of Purchase Order</t>
  </si>
  <si>
    <t xml:space="preserve">After Discom approval and before material dispatch</t>
  </si>
  <si>
    <t xml:space="preserve">Total</t>
  </si>
  <si>
    <t xml:space="preserve">Timely payment will leads to faster execution of projects.</t>
  </si>
  <si>
    <t xml:space="preserve">Note : Net meter charges are considered in the above calculation. Customer needs to pay the same seperately if its vary.</t>
  </si>
  <si>
    <r>
      <rPr>
        <b val="true"/>
        <sz val="12"/>
        <rFont val="Calibri"/>
        <family val="2"/>
        <charset val="1"/>
      </rPr>
      <t xml:space="preserve">Company</t>
    </r>
    <r>
      <rPr>
        <sz val="12"/>
        <rFont val="Times New Roman"/>
        <family val="1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Bank</t>
    </r>
    <r>
      <rPr>
        <sz val="12"/>
        <rFont val="Times New Roman"/>
        <family val="1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details</t>
    </r>
  </si>
  <si>
    <r>
      <rPr>
        <sz val="11"/>
        <rFont val="Calibri"/>
        <family val="2"/>
        <charset val="1"/>
      </rPr>
      <t xml:space="preserve">Account</t>
    </r>
    <r>
      <rPr>
        <sz val="11"/>
        <rFont val="Times New Roman"/>
        <family val="1"/>
        <charset val="1"/>
      </rPr>
      <t xml:space="preserve"> </t>
    </r>
    <r>
      <rPr>
        <sz val="11"/>
        <rFont val="Calibri"/>
        <family val="2"/>
        <charset val="1"/>
      </rPr>
      <t xml:space="preserve">Name</t>
    </r>
  </si>
  <si>
    <t xml:space="preserve">PV Renewables</t>
  </si>
  <si>
    <r>
      <rPr>
        <sz val="11"/>
        <rFont val="Calibri"/>
        <family val="2"/>
        <charset val="1"/>
      </rPr>
      <t xml:space="preserve">Account</t>
    </r>
    <r>
      <rPr>
        <sz val="11"/>
        <rFont val="Times New Roman"/>
        <family val="1"/>
        <charset val="1"/>
      </rPr>
      <t xml:space="preserve"> </t>
    </r>
    <r>
      <rPr>
        <sz val="11"/>
        <rFont val="Calibri"/>
        <family val="2"/>
        <charset val="1"/>
      </rPr>
      <t xml:space="preserve">Number</t>
    </r>
  </si>
  <si>
    <t xml:space="preserve">Bank</t>
  </si>
  <si>
    <t xml:space="preserve">ICICI Bank</t>
  </si>
  <si>
    <t xml:space="preserve">Branch</t>
  </si>
  <si>
    <t xml:space="preserve">Memnagar,Ahmedabad</t>
  </si>
  <si>
    <t xml:space="preserve">IFSC</t>
  </si>
  <si>
    <t xml:space="preserve">ICIC0001827</t>
  </si>
  <si>
    <t xml:space="preserve">Documents Required for Application</t>
  </si>
  <si>
    <t xml:space="preserve">Latest Lightbill</t>
  </si>
  <si>
    <t xml:space="preserve">Tax bill</t>
  </si>
  <si>
    <t xml:space="preserve">Passport Size Photo</t>
  </si>
  <si>
    <t xml:space="preserve">Aadhar Card</t>
  </si>
  <si>
    <t xml:space="preserve">Pan Card</t>
  </si>
  <si>
    <t xml:space="preserve">Bank details/ Cancel cheque</t>
  </si>
  <si>
    <t xml:space="preserve">Email ID</t>
  </si>
  <si>
    <t xml:space="preserve">Mobile No. for OTP Verification</t>
  </si>
  <si>
    <t xml:space="preserve">Capacity</t>
  </si>
  <si>
    <t xml:space="preserve">Area To be Edit</t>
  </si>
  <si>
    <t xml:space="preserve">Discom</t>
  </si>
  <si>
    <t xml:space="preserve">TPL</t>
  </si>
  <si>
    <t xml:space="preserve">adani</t>
  </si>
  <si>
    <t xml:space="preserve">Auto fetch Data</t>
  </si>
  <si>
    <t xml:space="preserve">kW Capacity</t>
  </si>
  <si>
    <t xml:space="preserve">Particulars</t>
  </si>
  <si>
    <t xml:space="preserve">Amount</t>
  </si>
  <si>
    <t xml:space="preserve">Solar Panel</t>
  </si>
  <si>
    <t xml:space="preserve">No of Module</t>
  </si>
  <si>
    <t xml:space="preserve">No of structure</t>
  </si>
  <si>
    <t xml:space="preserve">Structure Type</t>
  </si>
  <si>
    <t xml:space="preserve">Ht of structure</t>
  </si>
  <si>
    <t xml:space="preserve">Total Foundation</t>
  </si>
  <si>
    <t xml:space="preserve">Basic Height in MM</t>
  </si>
  <si>
    <t xml:space="preserve">Degree</t>
  </si>
  <si>
    <t xml:space="preserve">Rafter Length</t>
  </si>
  <si>
    <t xml:space="preserve">No. of Legs</t>
  </si>
  <si>
    <t xml:space="preserve">1 Leg Ht</t>
  </si>
  <si>
    <t xml:space="preserve">2 Leg Ht</t>
  </si>
  <si>
    <t xml:space="preserve">3 Leg Ht</t>
  </si>
  <si>
    <t xml:space="preserve">4 Leg Ht</t>
  </si>
  <si>
    <t xml:space="preserve">5 Leg Ht</t>
  </si>
  <si>
    <t xml:space="preserve">6 Leg Ht</t>
  </si>
  <si>
    <t xml:space="preserve">Purllin length</t>
  </si>
  <si>
    <t xml:space="preserve">No. of 1 Leg</t>
  </si>
  <si>
    <t xml:space="preserve">No. of 2 Leg</t>
  </si>
  <si>
    <t xml:space="preserve">No. of 3 Leg</t>
  </si>
  <si>
    <t xml:space="preserve">4th Leg</t>
  </si>
  <si>
    <t xml:space="preserve">5th Leg</t>
  </si>
  <si>
    <t xml:space="preserve">6th Leg</t>
  </si>
  <si>
    <t xml:space="preserve">No. of Rafter</t>
  </si>
  <si>
    <t xml:space="preserve">Purllin</t>
  </si>
  <si>
    <t xml:space="preserve">Total 60*40</t>
  </si>
  <si>
    <t xml:space="preserve">Total 40*40</t>
  </si>
  <si>
    <t xml:space="preserve">Total Weight</t>
  </si>
  <si>
    <t xml:space="preserve">Cable DC</t>
  </si>
  <si>
    <t xml:space="preserve">Cable AC</t>
  </si>
  <si>
    <t xml:space="preserve">Meter Charges</t>
  </si>
  <si>
    <t xml:space="preserve">Torrent</t>
  </si>
  <si>
    <t xml:space="preserve">Cable Selction</t>
  </si>
  <si>
    <t xml:space="preserve">No of Base Plate</t>
  </si>
  <si>
    <t xml:space="preserve">125*125*4</t>
  </si>
  <si>
    <t xml:space="preserve">DC 2.5sqmm</t>
  </si>
  <si>
    <t xml:space="preserve">Range</t>
  </si>
  <si>
    <t xml:space="preserve">Price</t>
  </si>
  <si>
    <t xml:space="preserve">GEB</t>
  </si>
  <si>
    <t xml:space="preserve">UGVCL</t>
  </si>
  <si>
    <t xml:space="preserve">kW capacity</t>
  </si>
  <si>
    <t xml:space="preserve">Rate</t>
  </si>
  <si>
    <t xml:space="preserve">No of anchor fastner</t>
  </si>
  <si>
    <t xml:space="preserve">DC 4sqmm</t>
  </si>
  <si>
    <t xml:space="preserve">1kW - 5kW</t>
  </si>
  <si>
    <t xml:space="preserve">1-4kW</t>
  </si>
  <si>
    <t xml:space="preserve">2kW</t>
  </si>
  <si>
    <t xml:space="preserve">1-6kW</t>
  </si>
  <si>
    <t xml:space="preserve">PGVCL</t>
  </si>
  <si>
    <t xml:space="preserve">4sq mm</t>
  </si>
  <si>
    <t xml:space="preserve">No. of foundation</t>
  </si>
  <si>
    <t xml:space="preserve">250*300mm</t>
  </si>
  <si>
    <t xml:space="preserve">AC 2.5sqmm</t>
  </si>
  <si>
    <t xml:space="preserve">5kW - 10kW</t>
  </si>
  <si>
    <t xml:space="preserve">4-8kW</t>
  </si>
  <si>
    <t xml:space="preserve">3kW</t>
  </si>
  <si>
    <t xml:space="preserve">6-20kW</t>
  </si>
  <si>
    <t xml:space="preserve">DGVCL</t>
  </si>
  <si>
    <t xml:space="preserve">6sq mm</t>
  </si>
  <si>
    <t xml:space="preserve">Support Plate</t>
  </si>
  <si>
    <t xml:space="preserve">50*100mm</t>
  </si>
  <si>
    <t xml:space="preserve">11kW - 18kW</t>
  </si>
  <si>
    <t xml:space="preserve">8-11kW</t>
  </si>
  <si>
    <t xml:space="preserve">3.3kW</t>
  </si>
  <si>
    <t xml:space="preserve">20-50kW</t>
  </si>
  <si>
    <t xml:space="preserve">MGVCL</t>
  </si>
  <si>
    <t xml:space="preserve">10sq mm</t>
  </si>
  <si>
    <t xml:space="preserve">AC 4sqmm</t>
  </si>
  <si>
    <t xml:space="preserve">Structure</t>
  </si>
  <si>
    <t xml:space="preserve">19kW -25kW</t>
  </si>
  <si>
    <t xml:space="preserve">11-16kW</t>
  </si>
  <si>
    <t xml:space="preserve">4kW</t>
  </si>
  <si>
    <t xml:space="preserve">50-100kW</t>
  </si>
  <si>
    <t xml:space="preserve">16sq mm</t>
  </si>
  <si>
    <t xml:space="preserve">60*40*2mm</t>
  </si>
  <si>
    <t xml:space="preserve">Panel Rate</t>
  </si>
  <si>
    <t xml:space="preserve">26kW - 35kW</t>
  </si>
  <si>
    <t xml:space="preserve">16-21kW</t>
  </si>
  <si>
    <t xml:space="preserve">5kW</t>
  </si>
  <si>
    <t xml:space="preserve">25sq mm</t>
  </si>
  <si>
    <t xml:space="preserve">40*40*2mm</t>
  </si>
  <si>
    <t xml:space="preserve">36kW -60kW</t>
  </si>
  <si>
    <t xml:space="preserve">21-25kW</t>
  </si>
  <si>
    <t xml:space="preserve">6kW</t>
  </si>
  <si>
    <t xml:space="preserve">35sq mm</t>
  </si>
  <si>
    <t xml:space="preserve">LA</t>
  </si>
  <si>
    <t xml:space="preserve">Multi Spike</t>
  </si>
  <si>
    <t xml:space="preserve">61kW - 70kW</t>
  </si>
  <si>
    <t xml:space="preserve">26-35kW</t>
  </si>
  <si>
    <t xml:space="preserve">8kW</t>
  </si>
  <si>
    <t xml:space="preserve">50sq mm</t>
  </si>
  <si>
    <t xml:space="preserve">71kW - 120kW(1in-1out)</t>
  </si>
  <si>
    <t xml:space="preserve">35-55kW</t>
  </si>
  <si>
    <t xml:space="preserve">10kW</t>
  </si>
  <si>
    <t xml:space="preserve">Earthing Rod</t>
  </si>
  <si>
    <t xml:space="preserve">71kW - 100kW(2in-2out)</t>
  </si>
  <si>
    <t xml:space="preserve">40-60kW</t>
  </si>
  <si>
    <t xml:space="preserve">15kW</t>
  </si>
  <si>
    <t xml:space="preserve">Earthing Pit</t>
  </si>
  <si>
    <t xml:space="preserve">100kW - 120kW(2in-1out)</t>
  </si>
  <si>
    <t xml:space="preserve">50-65kW</t>
  </si>
  <si>
    <t xml:space="preserve">20kW</t>
  </si>
  <si>
    <t xml:space="preserve">120kW - 160kW(2in-1out)</t>
  </si>
  <si>
    <t xml:space="preserve">60-80kW</t>
  </si>
  <si>
    <t xml:space="preserve">25kW</t>
  </si>
  <si>
    <t xml:space="preserve">160kW - 200kW(2in-1out)</t>
  </si>
  <si>
    <t xml:space="preserve">70-100kW</t>
  </si>
  <si>
    <t xml:space="preserve">33kW</t>
  </si>
  <si>
    <t xml:space="preserve">200kW - 250kW(2in-1out)</t>
  </si>
  <si>
    <t xml:space="preserve">100-250kW</t>
  </si>
  <si>
    <t xml:space="preserve">40kW</t>
  </si>
  <si>
    <t xml:space="preserve">Elbow/Tee</t>
  </si>
  <si>
    <t xml:space="preserve">Edit M25</t>
  </si>
  <si>
    <t xml:space="preserve">Edit P25</t>
  </si>
  <si>
    <t xml:space="preserve">50kW</t>
  </si>
  <si>
    <t xml:space="preserve">60kW</t>
  </si>
  <si>
    <t xml:space="preserve">Aggrement</t>
  </si>
  <si>
    <t xml:space="preserve">80kW</t>
  </si>
  <si>
    <t xml:space="preserve">Lug for LA</t>
  </si>
  <si>
    <t xml:space="preserve">100kW</t>
  </si>
  <si>
    <t xml:space="preserve">Lug for Earthing</t>
  </si>
  <si>
    <t xml:space="preserve">125kW</t>
  </si>
  <si>
    <t xml:space="preserve">Lug for AC Cable</t>
  </si>
  <si>
    <t xml:space="preserve">150kW</t>
  </si>
  <si>
    <t xml:space="preserve">200kW</t>
  </si>
  <si>
    <t xml:space="preserve">MC4 Connector</t>
  </si>
  <si>
    <t xml:space="preserve">250kW</t>
  </si>
  <si>
    <t xml:space="preserve">Cable Tie</t>
  </si>
  <si>
    <t xml:space="preserve">300kW</t>
  </si>
  <si>
    <t xml:space="preserve">Cable Tie (S.S)</t>
  </si>
  <si>
    <t xml:space="preserve">400kW</t>
  </si>
  <si>
    <t xml:space="preserve">Zinc Spray</t>
  </si>
  <si>
    <t xml:space="preserve">500kW</t>
  </si>
  <si>
    <t xml:space="preserve">Saddle</t>
  </si>
  <si>
    <t xml:space="preserve">Installation</t>
  </si>
  <si>
    <t xml:space="preserve">Service and Maintenance</t>
  </si>
  <si>
    <t xml:space="preserve">Office Expense</t>
  </si>
  <si>
    <t xml:space="preserve">Miscellaneous Expenses</t>
  </si>
  <si>
    <t xml:space="preserve">Petrol Expenses</t>
  </si>
  <si>
    <t xml:space="preserve">Distance</t>
  </si>
  <si>
    <t xml:space="preserve">Common Agrrement</t>
  </si>
  <si>
    <t xml:space="preserve">Core cutting</t>
  </si>
  <si>
    <t xml:space="preserve">Structure Report</t>
  </si>
  <si>
    <t xml:space="preserve">CEI Expenses</t>
  </si>
  <si>
    <t xml:space="preserve">Transportation</t>
  </si>
  <si>
    <t xml:space="preserve">Fare</t>
  </si>
  <si>
    <t xml:space="preserve">100+13.8%</t>
  </si>
  <si>
    <t xml:space="preserve">Dealer Commission</t>
  </si>
  <si>
    <t xml:space="preserve">Sprinkler</t>
  </si>
  <si>
    <t xml:space="preserve">Motor</t>
  </si>
  <si>
    <t xml:space="preserve">UPVC Pipe</t>
  </si>
  <si>
    <t xml:space="preserve">Sprinkler System material</t>
  </si>
  <si>
    <t xml:space="preserve">Silicon</t>
  </si>
  <si>
    <t xml:space="preserve">Sprinkler Labour</t>
  </si>
  <si>
    <t xml:space="preserve">Rs./Kw</t>
  </si>
  <si>
    <t xml:space="preserve">PBG</t>
  </si>
  <si>
    <t xml:space="preserve">Total Cost W/O GST</t>
  </si>
  <si>
    <t xml:space="preserve">20% Subsidy</t>
  </si>
  <si>
    <t xml:space="preserve">Hold Amount</t>
  </si>
  <si>
    <t xml:space="preserve">per kW Cost W/O GST</t>
  </si>
  <si>
    <t xml:space="preserve">40% Subsidy</t>
  </si>
  <si>
    <t xml:space="preserve">Interest Calculation</t>
  </si>
  <si>
    <t xml:space="preserve">Profit per kW</t>
  </si>
  <si>
    <t xml:space="preserve">GST per kW on Costing</t>
  </si>
  <si>
    <t xml:space="preserve">Hold PBG Amount</t>
  </si>
  <si>
    <t xml:space="preserve">Final Price per kW incl. GST</t>
  </si>
  <si>
    <t xml:space="preserve">Total Amount Incl. GST</t>
  </si>
  <si>
    <t xml:space="preserve">Total Subsidy</t>
  </si>
  <si>
    <t xml:space="preserve">GST</t>
  </si>
  <si>
    <t xml:space="preserve">Sub</t>
  </si>
  <si>
    <t xml:space="preserve">Total Amount After Subsidy</t>
  </si>
  <si>
    <t xml:space="preserve">Connection Charges</t>
  </si>
  <si>
    <t xml:space="preserve">Aggreement Charge</t>
  </si>
  <si>
    <t xml:space="preserve">Total Add. Cost (GST NA)</t>
  </si>
  <si>
    <t xml:space="preserve">Payable Amount by Cust.</t>
  </si>
  <si>
    <t xml:space="preserve">Extra per kW</t>
  </si>
  <si>
    <t xml:space="preserve">Total Profit</t>
  </si>
  <si>
    <t xml:space="preserve">PBG (5 years) 3%</t>
  </si>
  <si>
    <t xml:space="preserve">Net Profit</t>
  </si>
  <si>
    <t xml:space="preserve">Final Profit</t>
  </si>
  <si>
    <t xml:space="preserve">Subsidy For Comman</t>
  </si>
  <si>
    <t xml:space="preserve">Subsidy Amount</t>
  </si>
  <si>
    <t xml:space="preserve">Interest On Subisidy</t>
  </si>
  <si>
    <t xml:space="preserve">Total Rate</t>
  </si>
  <si>
    <t xml:space="preserve">Without Subsidy</t>
  </si>
  <si>
    <t xml:space="preserve">With Meter Charges</t>
  </si>
  <si>
    <t xml:space="preserve">Meter Charge</t>
  </si>
  <si>
    <t xml:space="preserve">Company</t>
  </si>
  <si>
    <t xml:space="preserve">Remain to receive</t>
  </si>
  <si>
    <t xml:space="preserve">Received</t>
  </si>
  <si>
    <t xml:space="preserve">PVR</t>
  </si>
  <si>
    <t xml:space="preserve">Oorja</t>
  </si>
  <si>
    <t xml:space="preserve">EFW</t>
  </si>
  <si>
    <t xml:space="preserve">Deluxe</t>
  </si>
  <si>
    <t xml:space="preserve">Lumech</t>
  </si>
  <si>
    <t xml:space="preserve">Blue Cloud</t>
  </si>
  <si>
    <t xml:space="preserve">Zharna Solar</t>
  </si>
</sst>
</file>

<file path=xl/styles.xml><?xml version="1.0" encoding="utf-8"?>
<styleSheet xmlns="http://schemas.openxmlformats.org/spreadsheetml/2006/main">
  <numFmts count="42">
    <numFmt numFmtId="164" formatCode="General"/>
    <numFmt numFmtId="165" formatCode="dd/mm/yyyy"/>
    <numFmt numFmtId="166" formatCode="#&quot;Rs/kW&quot;"/>
    <numFmt numFmtId="167" formatCode="0"/>
    <numFmt numFmtId="168" formatCode="0.00"/>
    <numFmt numFmtId="169" formatCode="&quot;₹ &quot;#,##0;[RED]&quot;₹ -&quot;#,##0"/>
    <numFmt numFmtId="170" formatCode="&quot;₹ &quot;#,##0.0;[RED]&quot;₹ -&quot;#,##0.0"/>
    <numFmt numFmtId="171" formatCode="#&quot;/kW&quot;"/>
    <numFmt numFmtId="172" formatCode="General"/>
    <numFmt numFmtId="173" formatCode="#&quot; Years&quot;"/>
    <numFmt numFmtId="174" formatCode="#&quot; Nos.&quot;"/>
    <numFmt numFmtId="175" formatCode="#&quot; wp&quot;"/>
    <numFmt numFmtId="176" formatCode="#.0&quot; kW&quot;"/>
    <numFmt numFmtId="177" formatCode="#.0&quot; sqmm&quot;"/>
    <numFmt numFmtId="178" formatCode="0.0"/>
    <numFmt numFmtId="179" formatCode="&quot;₹ &quot;#,##0.00;[RED]&quot;₹ -&quot;#,##0.00"/>
    <numFmt numFmtId="180" formatCode="0%"/>
    <numFmt numFmtId="181" formatCode="&quot;₹ &quot;#,##0"/>
    <numFmt numFmtId="182" formatCode="#&quot; Days&quot;"/>
    <numFmt numFmtId="183" formatCode="#&quot; kW&quot;"/>
    <numFmt numFmtId="184" formatCode="#&quot; Nos&quot;"/>
    <numFmt numFmtId="185" formatCode="#&quot; ₹/Nos&quot;"/>
    <numFmt numFmtId="186" formatCode="#,##0.00"/>
    <numFmt numFmtId="187" formatCode="#&quot; X&quot;"/>
    <numFmt numFmtId="188" formatCode="#&quot; Module&quot;"/>
    <numFmt numFmtId="189" formatCode="#&quot; mm&quot;"/>
    <numFmt numFmtId="190" formatCode="#&quot; Mtr&quot;"/>
    <numFmt numFmtId="191" formatCode="#.0&quot; ₹/Mtr&quot;"/>
    <numFmt numFmtId="192" formatCode="#.0&quot; ₹/Nos&quot;"/>
    <numFmt numFmtId="193" formatCode="#\ #&quot; mm&quot;"/>
    <numFmt numFmtId="194" formatCode="#&quot; kg&quot;"/>
    <numFmt numFmtId="195" formatCode="&quot;₹ &quot;#,##0.00"/>
    <numFmt numFmtId="196" formatCode="#&quot; ₹/kg&quot;"/>
    <numFmt numFmtId="197" formatCode="#.0&quot;kg/Nos&quot;"/>
    <numFmt numFmtId="198" formatCode="#&quot; sqmm&quot;"/>
    <numFmt numFmtId="199" formatCode="#&quot; ₹/Mtr&quot;"/>
    <numFmt numFmtId="200" formatCode="#&quot; MM&quot;"/>
    <numFmt numFmtId="201" formatCode="#.00&quot; ₹/Nos&quot;"/>
    <numFmt numFmtId="202" formatCode="#&quot; Pkt&quot;"/>
    <numFmt numFmtId="203" formatCode="#&quot; ₹/Project&quot;"/>
    <numFmt numFmtId="204" formatCode="_ * #,##0.00_ ;_ * \-#,##0.00_ ;_ * \-??_ ;_ @_ "/>
    <numFmt numFmtId="205" formatCode="0.00%"/>
  </numFmts>
  <fonts count="5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Times New Roman"/>
      <family val="1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00B050"/>
      <name val="Times New Roman"/>
      <family val="1"/>
      <charset val="1"/>
    </font>
    <font>
      <sz val="11"/>
      <color rgb="FF00B050"/>
      <name val="Calibri"/>
      <family val="2"/>
      <charset val="1"/>
    </font>
    <font>
      <b val="true"/>
      <sz val="16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Times New Roman"/>
      <family val="1"/>
      <charset val="1"/>
    </font>
    <font>
      <sz val="11"/>
      <color rgb="FF21212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E2F0D9"/>
      </patternFill>
    </fill>
    <fill>
      <patternFill patternType="solid">
        <fgColor rgb="FF404040"/>
        <bgColor rgb="FF212121"/>
      </patternFill>
    </fill>
    <fill>
      <patternFill patternType="solid">
        <fgColor rgb="FF000000"/>
        <bgColor rgb="FF212121"/>
      </patternFill>
    </fill>
    <fill>
      <patternFill patternType="solid">
        <fgColor rgb="FFA8D08D"/>
        <bgColor rgb="FFA9D18E"/>
      </patternFill>
    </fill>
    <fill>
      <patternFill patternType="solid">
        <fgColor rgb="FF9CC2E5"/>
        <bgColor rgb="FFB4C6E7"/>
      </patternFill>
    </fill>
    <fill>
      <patternFill patternType="solid">
        <fgColor rgb="FF8FAADC"/>
        <bgColor rgb="FF9CC2E5"/>
      </patternFill>
    </fill>
    <fill>
      <patternFill patternType="solid">
        <fgColor rgb="FFB4C6E7"/>
        <bgColor rgb="FF9CC2E5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F2F2F2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A9D18E"/>
        <bgColor rgb="FFA8D08D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20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9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6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8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2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3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10" fillId="0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4" fontId="10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5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6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77" fontId="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9" fillId="0" borderId="9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19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8" fontId="19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19" fillId="0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19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7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7" fillId="6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4" fontId="20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20" fillId="5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5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9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9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7" fontId="19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8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8" fontId="19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80" fontId="19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7" fontId="19" fillId="0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80" fontId="19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2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0" fontId="32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1" fontId="32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2" fontId="3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0" fontId="30" fillId="5" borderId="6" xfId="19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81" fontId="30" fillId="5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82" fontId="3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80" fontId="30" fillId="2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7" fontId="30" fillId="2" borderId="0" xfId="0" applyFont="true" applyBorder="false" applyAlignment="true" applyProtection="false">
      <alignment horizontal="right" vertical="top" textRotation="0" wrapText="false" indent="0" shrinkToFit="true"/>
      <protection locked="true" hidden="false"/>
    </xf>
    <xf numFmtId="164" fontId="33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3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1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3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3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43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6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7" fontId="43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8" fontId="43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9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9" fontId="0" fillId="8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4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43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43" fillId="9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1" fontId="43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43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85" fontId="0" fillId="1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2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9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2" fontId="0" fillId="1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6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94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5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2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4" fontId="43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8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9" fontId="43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6" fontId="2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0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9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1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1" fontId="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202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3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0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11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86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3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5" fontId="43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9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5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5" fontId="13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1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7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6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7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7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7" fillId="14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7" fillId="1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5" fillId="14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1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5" fillId="14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5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8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5" fillId="1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4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CC2E5"/>
      <rgbColor rgb="FFFF99CC"/>
      <rgbColor rgb="FFCC99FF"/>
      <rgbColor rgb="FFF8CBAD"/>
      <rgbColor rgb="FF3366FF"/>
      <rgbColor rgb="FF33CCCC"/>
      <rgbColor rgb="FFA9D18E"/>
      <rgbColor rgb="FFFFCC00"/>
      <rgbColor rgb="FFFF9900"/>
      <rgbColor rgb="FFFF6600"/>
      <rgbColor rgb="FF666699"/>
      <rgbColor rgb="FFA8D08D"/>
      <rgbColor rgb="FF003366"/>
      <rgbColor rgb="FF00B050"/>
      <rgbColor rgb="FF003300"/>
      <rgbColor rgb="FF212121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5"/>
  <sheetViews>
    <sheetView showFormulas="false" showGridLines="true" showRowColHeaders="true" showZeros="true" rightToLeft="false" tabSelected="false" showOutlineSymbols="true" defaultGridColor="true" view="normal" topLeftCell="A49" colorId="64" zoomScale="111" zoomScaleNormal="111" zoomScalePageLayoutView="100" workbookViewId="0">
      <selection pane="topLeft" activeCell="F72" activeCellId="0" sqref="F7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.11"/>
    <col collapsed="false" customWidth="true" hidden="false" outlineLevel="0" max="4" min="4" style="0" width="8.66"/>
    <col collapsed="false" customWidth="true" hidden="false" outlineLevel="0" max="5" min="5" style="0" width="7.66"/>
    <col collapsed="false" customWidth="true" hidden="false" outlineLevel="0" max="6" min="6" style="0" width="15.44"/>
    <col collapsed="false" customWidth="true" hidden="false" outlineLevel="0" max="7" min="7" style="0" width="12.33"/>
    <col collapsed="false" customWidth="true" hidden="false" outlineLevel="0" max="8" min="8" style="0" width="18.11"/>
    <col collapsed="false" customWidth="true" hidden="false" outlineLevel="0" max="9" min="9" style="0" width="9.66"/>
    <col collapsed="false" customWidth="true" hidden="false" outlineLevel="0" max="13" min="13" style="0" width="11.66"/>
    <col collapsed="false" customWidth="true" hidden="false" outlineLevel="0" max="14" min="14" style="0" width="4"/>
    <col collapsed="false" customWidth="true" hidden="false" outlineLevel="0" max="15" min="15" style="0" width="12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4.4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4.4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7.5" hidden="false" customHeight="tru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20.25" hidden="false" customHeight="true" outlineLevel="0" collapsed="false">
      <c r="A6" s="2" t="s">
        <v>0</v>
      </c>
      <c r="B6" s="2"/>
      <c r="C6" s="2"/>
      <c r="D6" s="2"/>
      <c r="E6" s="2"/>
      <c r="F6" s="2"/>
      <c r="G6" s="2"/>
      <c r="H6" s="2"/>
    </row>
    <row r="7" customFormat="false" ht="19.5" hidden="false" customHeight="true" outlineLevel="0" collapsed="false">
      <c r="A7" s="3" t="s">
        <v>1</v>
      </c>
      <c r="B7" s="3"/>
      <c r="C7" s="3"/>
      <c r="D7" s="3"/>
      <c r="E7" s="3"/>
      <c r="F7" s="3"/>
      <c r="G7" s="3"/>
      <c r="H7" s="3"/>
    </row>
    <row r="8" customFormat="false" ht="15" hidden="false" customHeight="true" outlineLevel="0" collapsed="false">
      <c r="A8" s="4" t="s">
        <v>2</v>
      </c>
      <c r="B8" s="5" t="s">
        <v>3</v>
      </c>
      <c r="C8" s="6" t="s">
        <v>4</v>
      </c>
      <c r="D8" s="6"/>
      <c r="E8" s="7" t="n">
        <v>86</v>
      </c>
      <c r="F8" s="8" t="s">
        <v>5</v>
      </c>
      <c r="G8" s="8"/>
      <c r="H8" s="9" t="n">
        <f aca="true">TODAY()</f>
        <v>45167</v>
      </c>
      <c r="L8" s="0" t="s">
        <v>3</v>
      </c>
      <c r="M8" s="10"/>
    </row>
    <row r="9" customFormat="false" ht="15" hidden="false" customHeight="true" outlineLevel="0" collapsed="false">
      <c r="A9" s="11"/>
      <c r="B9" s="12" t="s">
        <v>6</v>
      </c>
      <c r="C9" s="12"/>
      <c r="D9" s="12"/>
      <c r="E9" s="12"/>
      <c r="F9" s="12"/>
      <c r="G9" s="13" t="s">
        <v>7</v>
      </c>
      <c r="H9" s="13"/>
      <c r="L9" s="0" t="s">
        <v>8</v>
      </c>
      <c r="M9" s="10"/>
    </row>
    <row r="10" customFormat="false" ht="14.4" hidden="false" customHeight="true" outlineLevel="0" collapsed="false">
      <c r="A10" s="11"/>
      <c r="B10" s="14" t="s">
        <v>9</v>
      </c>
      <c r="C10" s="14"/>
      <c r="D10" s="14"/>
      <c r="E10" s="14" t="s">
        <v>10</v>
      </c>
      <c r="F10" s="14"/>
      <c r="G10" s="14" t="s">
        <v>11</v>
      </c>
      <c r="H10" s="14"/>
      <c r="M10" s="10"/>
    </row>
    <row r="11" customFormat="false" ht="41.4" hidden="false" customHeight="true" outlineLevel="0" collapsed="false">
      <c r="A11" s="15" t="s">
        <v>12</v>
      </c>
      <c r="B11" s="15" t="s">
        <v>13</v>
      </c>
      <c r="C11" s="15"/>
      <c r="D11" s="15"/>
      <c r="E11" s="15"/>
      <c r="F11" s="15" t="s">
        <v>14</v>
      </c>
      <c r="G11" s="15" t="s">
        <v>15</v>
      </c>
      <c r="H11" s="15" t="s">
        <v>16</v>
      </c>
      <c r="M11" s="10"/>
    </row>
    <row r="12" customFormat="false" ht="15" hidden="false" customHeight="true" outlineLevel="0" collapsed="false">
      <c r="A12" s="16" t="n">
        <v>1</v>
      </c>
      <c r="B12" s="17" t="s">
        <v>17</v>
      </c>
      <c r="C12" s="17"/>
      <c r="D12" s="17"/>
      <c r="E12" s="17"/>
      <c r="F12" s="18" t="n">
        <v>3.24</v>
      </c>
      <c r="G12" s="19" t="n">
        <f aca="false">IF(B8="RURAL",IF(F12&lt;=2,51210,IF(F12&lt;=4,48934,IF(F12&lt;=5,47796,IF(F12&lt;=6,46658,IF(F12&lt;=10,46089.6,IF(F12&lt;=25,44115.7,IF(F12&lt;=50,43813,37212.6))))))),IF(B8="URBAN",IF(F12&lt;=2,51210,IF(F12&lt;=5,47796,IF(F12&lt;=6,46658,IF(F12&lt;=10,46089,IF(F12&lt;=25,43813,IF(F12&lt;=50,42675,38350)))))),0))</f>
        <v>47796</v>
      </c>
      <c r="H12" s="20" t="n">
        <f aca="false">(F12*G12)</f>
        <v>154859.04</v>
      </c>
      <c r="J12" s="0" t="n">
        <f aca="false">330*25</f>
        <v>8250</v>
      </c>
      <c r="L12" s="21"/>
      <c r="M12" s="21"/>
      <c r="N12" s="22" t="s">
        <v>18</v>
      </c>
      <c r="O12" s="22"/>
      <c r="P12" s="21"/>
      <c r="Q12" s="21"/>
    </row>
    <row r="13" customFormat="false" ht="14.4" hidden="false" customHeight="false" outlineLevel="0" collapsed="false">
      <c r="A13" s="16"/>
      <c r="B13" s="17"/>
      <c r="C13" s="17"/>
      <c r="D13" s="17"/>
      <c r="E13" s="17"/>
      <c r="F13" s="18"/>
      <c r="G13" s="19"/>
      <c r="H13" s="20"/>
      <c r="N13" s="23" t="s">
        <v>19</v>
      </c>
      <c r="O13" s="23" t="s">
        <v>20</v>
      </c>
    </row>
    <row r="14" customFormat="false" ht="24.75" hidden="false" customHeight="true" outlineLevel="0" collapsed="false">
      <c r="A14" s="16"/>
      <c r="B14" s="17"/>
      <c r="C14" s="17"/>
      <c r="D14" s="17"/>
      <c r="E14" s="17"/>
      <c r="F14" s="18"/>
      <c r="G14" s="19"/>
      <c r="H14" s="20"/>
      <c r="N14" s="23" t="n">
        <v>3</v>
      </c>
      <c r="O14" s="23" t="n">
        <v>27136</v>
      </c>
    </row>
    <row r="15" customFormat="false" ht="15" hidden="false" customHeight="true" outlineLevel="0" collapsed="false">
      <c r="A15" s="24" t="s">
        <v>21</v>
      </c>
      <c r="B15" s="24"/>
      <c r="C15" s="24"/>
      <c r="D15" s="25" t="n">
        <f aca="false">IF(B8="RURAL",IF(F12&lt;=2,49093,IF(F12&lt;=3,47818,IF(F12&lt;=6,46647,IF(F12&lt;=10,46089.6,IF(F12&lt;=25,43512,IF(F12&lt;=50,43512,37212)))))),IF(B8="URBAN",IF(F12&lt;=2,49093,IF(F12&lt;=3,47796,IF(F12&lt;=6,46647,IF(F12&lt;=10,46089.6,IF(F12&lt;=25,43512,IF(F12&lt;=50,42675,38350))))))))</f>
        <v>46647</v>
      </c>
      <c r="E15" s="25"/>
      <c r="F15" s="26" t="s">
        <v>22</v>
      </c>
      <c r="G15" s="26"/>
      <c r="H15" s="27" t="n">
        <f aca="false">IF(F12&lt;=3,0,IF(F12&lt;=10,(F12-3)*D15*0.2,D15*7*0.2))</f>
        <v>2239.056</v>
      </c>
      <c r="L15" s="28" t="n">
        <f aca="false">IF(H55="Adani",IF(F12&lt;=3,O14,IF(F12&lt;=3.3,O15,IF(F12&lt;=4,O16,IF(F12&lt;=5,O17,IF(F12&lt;=6,O18,IF(F12&lt;=8,O19,IF(F12&lt;=10,O20,37212.6))))))),IF(H55="Pahal",IF(F12&lt;=3,O24,IF(F12&lt;=3.3,O25,IF(F12&lt;=4,O26,IF(F12&lt;=5,O27,IF(F12&lt;=6,O28,IF(F12&lt;=8,O29,IF(F12&lt;=10,O30,37212.6))))))),0))</f>
        <v>0</v>
      </c>
      <c r="N15" s="23" t="n">
        <v>3.3</v>
      </c>
      <c r="O15" s="29" t="n">
        <v>24302.2</v>
      </c>
    </row>
    <row r="16" customFormat="false" ht="15" hidden="false" customHeight="true" outlineLevel="0" collapsed="false">
      <c r="A16" s="24"/>
      <c r="B16" s="24"/>
      <c r="C16" s="24"/>
      <c r="D16" s="25"/>
      <c r="E16" s="25"/>
      <c r="F16" s="26" t="s">
        <v>23</v>
      </c>
      <c r="G16" s="26"/>
      <c r="H16" s="27" t="n">
        <f aca="false">D15*F12*0.4</f>
        <v>60454.512</v>
      </c>
      <c r="I16" s="27" t="n">
        <f aca="false">IF(G12&lt;=3,G12*E15*0.4,E15*3*0.4)</f>
        <v>0</v>
      </c>
      <c r="L16" s="30" t="n">
        <f aca="false">L15-H18</f>
        <v>-28674</v>
      </c>
      <c r="N16" s="23" t="n">
        <v>4</v>
      </c>
      <c r="O16" s="23" t="n">
        <v>31999</v>
      </c>
    </row>
    <row r="17" customFormat="false" ht="15" hidden="false" customHeight="true" outlineLevel="0" collapsed="false">
      <c r="A17" s="31" t="s">
        <v>24</v>
      </c>
      <c r="B17" s="31"/>
      <c r="C17" s="31"/>
      <c r="D17" s="31"/>
      <c r="E17" s="31"/>
      <c r="F17" s="31"/>
      <c r="G17" s="31"/>
      <c r="H17" s="27" t="n">
        <v>5831</v>
      </c>
      <c r="L17" s="30" t="n">
        <f aca="false">L16/F12</f>
        <v>-8850</v>
      </c>
      <c r="N17" s="23" t="n">
        <v>5</v>
      </c>
      <c r="O17" s="23" t="n">
        <v>38773</v>
      </c>
    </row>
    <row r="18" customFormat="false" ht="14.4" hidden="false" customHeight="true" outlineLevel="0" collapsed="false">
      <c r="A18" s="32" t="s">
        <v>25</v>
      </c>
      <c r="B18" s="32"/>
      <c r="C18" s="32"/>
      <c r="D18" s="32"/>
      <c r="E18" s="32"/>
      <c r="F18" s="32"/>
      <c r="G18" s="32"/>
      <c r="H18" s="27" t="n">
        <f aca="false">I18*F12</f>
        <v>28674</v>
      </c>
      <c r="I18" s="0" t="n">
        <v>8850</v>
      </c>
      <c r="N18" s="23" t="n">
        <v>6</v>
      </c>
      <c r="O18" s="23" t="n">
        <v>44047</v>
      </c>
    </row>
    <row r="19" customFormat="false" ht="15" hidden="false" customHeight="true" outlineLevel="0" collapsed="false">
      <c r="A19" s="33" t="s">
        <v>26</v>
      </c>
      <c r="B19" s="33"/>
      <c r="C19" s="33"/>
      <c r="D19" s="33"/>
      <c r="E19" s="33"/>
      <c r="F19" s="33"/>
      <c r="G19" s="33"/>
      <c r="H19" s="34" t="n">
        <f aca="false">H12-H15-H16+H17+H18</f>
        <v>126670.472</v>
      </c>
      <c r="J19" s="35" t="n">
        <f aca="false">I18+L17</f>
        <v>0</v>
      </c>
      <c r="N19" s="23" t="n">
        <v>8</v>
      </c>
      <c r="O19" s="23" t="n">
        <v>62401</v>
      </c>
    </row>
    <row r="20" customFormat="false" ht="15" hidden="false" customHeight="true" outlineLevel="0" collapsed="false">
      <c r="A20" s="36" t="s">
        <v>27</v>
      </c>
      <c r="B20" s="36"/>
      <c r="C20" s="36"/>
      <c r="D20" s="36"/>
      <c r="E20" s="36"/>
      <c r="F20" s="36"/>
      <c r="G20" s="36"/>
      <c r="H20" s="36"/>
      <c r="N20" s="23" t="n">
        <v>10</v>
      </c>
      <c r="O20" s="23" t="n">
        <v>63311</v>
      </c>
    </row>
    <row r="21" customFormat="false" ht="14.4" hidden="false" customHeight="true" outlineLevel="0" collapsed="false">
      <c r="A21" s="36" t="s">
        <v>28</v>
      </c>
      <c r="B21" s="36"/>
      <c r="C21" s="36"/>
      <c r="D21" s="36"/>
      <c r="E21" s="36"/>
      <c r="F21" s="36"/>
      <c r="G21" s="36"/>
      <c r="H21" s="36"/>
      <c r="I21" s="37" t="n">
        <f aca="false">H19+5000</f>
        <v>131670.472</v>
      </c>
    </row>
    <row r="22" customFormat="false" ht="14.4" hidden="false" customHeight="true" outlineLevel="0" collapsed="false">
      <c r="A22" s="38" t="s">
        <v>29</v>
      </c>
      <c r="B22" s="38"/>
      <c r="C22" s="38"/>
      <c r="D22" s="38"/>
      <c r="E22" s="38"/>
      <c r="F22" s="38"/>
      <c r="G22" s="38"/>
      <c r="H22" s="38"/>
      <c r="I22" s="0" t="n">
        <v>158476</v>
      </c>
      <c r="N22" s="22" t="s">
        <v>30</v>
      </c>
      <c r="O22" s="22"/>
    </row>
    <row r="23" customFormat="false" ht="15" hidden="false" customHeight="true" outlineLevel="0" collapsed="false">
      <c r="A23" s="39" t="n">
        <v>1</v>
      </c>
      <c r="B23" s="40" t="s">
        <v>31</v>
      </c>
      <c r="C23" s="40"/>
      <c r="D23" s="40"/>
      <c r="E23" s="40"/>
      <c r="F23" s="40" t="s">
        <v>32</v>
      </c>
      <c r="G23" s="40"/>
      <c r="H23" s="40"/>
      <c r="N23" s="23" t="s">
        <v>19</v>
      </c>
      <c r="O23" s="23" t="s">
        <v>20</v>
      </c>
    </row>
    <row r="24" customFormat="false" ht="14.4" hidden="false" customHeight="true" outlineLevel="0" collapsed="false">
      <c r="A24" s="39" t="n">
        <v>2</v>
      </c>
      <c r="B24" s="40" t="s">
        <v>33</v>
      </c>
      <c r="C24" s="40"/>
      <c r="D24" s="40"/>
      <c r="E24" s="40"/>
      <c r="F24" s="40" t="s">
        <v>34</v>
      </c>
      <c r="G24" s="40"/>
      <c r="H24" s="40"/>
      <c r="N24" s="23" t="n">
        <v>3</v>
      </c>
      <c r="O24" s="23" t="n">
        <v>21732</v>
      </c>
    </row>
    <row r="25" customFormat="false" ht="14.4" hidden="false" customHeight="true" outlineLevel="0" collapsed="false">
      <c r="A25" s="39" t="n">
        <v>3</v>
      </c>
      <c r="B25" s="40" t="s">
        <v>35</v>
      </c>
      <c r="C25" s="40"/>
      <c r="D25" s="40"/>
      <c r="E25" s="40"/>
      <c r="F25" s="40" t="s">
        <v>34</v>
      </c>
      <c r="G25" s="40"/>
      <c r="H25" s="40"/>
      <c r="N25" s="23" t="n">
        <v>3.3</v>
      </c>
      <c r="O25" s="29" t="n">
        <v>18298.2</v>
      </c>
    </row>
    <row r="26" customFormat="false" ht="14.4" hidden="false" customHeight="true" outlineLevel="0" collapsed="false">
      <c r="A26" s="39" t="n">
        <v>4</v>
      </c>
      <c r="B26" s="40" t="s">
        <v>36</v>
      </c>
      <c r="C26" s="40"/>
      <c r="D26" s="40"/>
      <c r="E26" s="40"/>
      <c r="F26" s="40" t="s">
        <v>37</v>
      </c>
      <c r="G26" s="40"/>
      <c r="H26" s="40"/>
      <c r="N26" s="23" t="n">
        <v>4</v>
      </c>
      <c r="O26" s="23" t="n">
        <v>24794</v>
      </c>
    </row>
    <row r="27" customFormat="false" ht="14.4" hidden="false" customHeight="true" outlineLevel="0" collapsed="false">
      <c r="A27" s="41" t="s">
        <v>38</v>
      </c>
      <c r="B27" s="41"/>
      <c r="C27" s="41"/>
      <c r="D27" s="41"/>
      <c r="E27" s="41"/>
      <c r="F27" s="41"/>
      <c r="G27" s="41"/>
      <c r="H27" s="41"/>
      <c r="N27" s="23" t="n">
        <v>5</v>
      </c>
      <c r="O27" s="23" t="n">
        <v>29766</v>
      </c>
    </row>
    <row r="28" customFormat="false" ht="14.4" hidden="false" customHeight="true" outlineLevel="0" collapsed="false">
      <c r="A28" s="15" t="s">
        <v>39</v>
      </c>
      <c r="B28" s="41" t="s">
        <v>40</v>
      </c>
      <c r="C28" s="41"/>
      <c r="D28" s="41"/>
      <c r="E28" s="41"/>
      <c r="F28" s="41" t="s">
        <v>41</v>
      </c>
      <c r="G28" s="41"/>
      <c r="H28" s="41"/>
      <c r="N28" s="23" t="n">
        <v>6</v>
      </c>
      <c r="O28" s="23" t="n">
        <v>33239</v>
      </c>
    </row>
    <row r="29" customFormat="false" ht="14.4" hidden="false" customHeight="true" outlineLevel="0" collapsed="false">
      <c r="A29" s="39" t="n">
        <v>1</v>
      </c>
      <c r="B29" s="40" t="s">
        <v>42</v>
      </c>
      <c r="C29" s="40"/>
      <c r="D29" s="40"/>
      <c r="E29" s="40"/>
      <c r="F29" s="40" t="s">
        <v>43</v>
      </c>
      <c r="G29" s="40"/>
      <c r="H29" s="40"/>
      <c r="N29" s="23" t="n">
        <v>8</v>
      </c>
      <c r="O29" s="23" t="n">
        <v>48128</v>
      </c>
    </row>
    <row r="30" customFormat="false" ht="14.4" hidden="false" customHeight="true" outlineLevel="0" collapsed="false">
      <c r="A30" s="39" t="n">
        <v>2</v>
      </c>
      <c r="B30" s="40" t="s">
        <v>44</v>
      </c>
      <c r="C30" s="40"/>
      <c r="D30" s="40"/>
      <c r="E30" s="40"/>
      <c r="F30" s="42" t="s">
        <v>45</v>
      </c>
      <c r="G30" s="42"/>
      <c r="H30" s="42"/>
      <c r="N30" s="23" t="n">
        <v>10</v>
      </c>
      <c r="O30" s="23" t="n">
        <v>45469</v>
      </c>
    </row>
    <row r="31" customFormat="false" ht="14.4" hidden="false" customHeight="true" outlineLevel="0" collapsed="false">
      <c r="A31" s="16" t="n">
        <v>3</v>
      </c>
      <c r="B31" s="17" t="s">
        <v>46</v>
      </c>
      <c r="C31" s="17"/>
      <c r="D31" s="17"/>
      <c r="E31" s="17"/>
      <c r="F31" s="40" t="s">
        <v>43</v>
      </c>
      <c r="G31" s="40"/>
      <c r="H31" s="40"/>
    </row>
    <row r="32" customFormat="false" ht="14.4" hidden="false" customHeight="true" outlineLevel="0" collapsed="false">
      <c r="A32" s="39" t="n">
        <v>4</v>
      </c>
      <c r="B32" s="43" t="s">
        <v>47</v>
      </c>
      <c r="C32" s="43"/>
      <c r="D32" s="43"/>
      <c r="E32" s="43"/>
      <c r="F32" s="43"/>
      <c r="G32" s="43"/>
      <c r="H32" s="43"/>
    </row>
    <row r="33" customFormat="false" ht="14.4" hidden="false" customHeight="true" outlineLevel="0" collapsed="false">
      <c r="A33" s="39" t="n">
        <v>5</v>
      </c>
      <c r="B33" s="43" t="s">
        <v>48</v>
      </c>
      <c r="C33" s="43"/>
      <c r="D33" s="43"/>
      <c r="E33" s="43"/>
      <c r="F33" s="43"/>
      <c r="G33" s="43"/>
      <c r="H33" s="43"/>
    </row>
    <row r="34" customFormat="false" ht="14.4" hidden="false" customHeight="true" outlineLevel="0" collapsed="false">
      <c r="A34" s="39" t="n">
        <v>6</v>
      </c>
      <c r="B34" s="43" t="s">
        <v>49</v>
      </c>
      <c r="C34" s="43"/>
      <c r="D34" s="43"/>
      <c r="E34" s="43"/>
      <c r="F34" s="43"/>
      <c r="G34" s="43"/>
      <c r="H34" s="43"/>
    </row>
    <row r="35" customFormat="false" ht="30" hidden="false" customHeight="true" outlineLevel="0" collapsed="false">
      <c r="A35" s="39" t="n">
        <v>7</v>
      </c>
      <c r="B35" s="43" t="s">
        <v>50</v>
      </c>
      <c r="C35" s="43"/>
      <c r="D35" s="43"/>
      <c r="E35" s="43"/>
      <c r="F35" s="43"/>
      <c r="G35" s="43"/>
      <c r="H35" s="43"/>
    </row>
    <row r="36" customFormat="false" ht="31.5" hidden="false" customHeight="true" outlineLevel="0" collapsed="false">
      <c r="A36" s="39" t="n">
        <v>8</v>
      </c>
      <c r="B36" s="43" t="s">
        <v>51</v>
      </c>
      <c r="C36" s="43"/>
      <c r="D36" s="43"/>
      <c r="E36" s="43"/>
      <c r="F36" s="43"/>
      <c r="G36" s="43"/>
      <c r="H36" s="43"/>
    </row>
    <row r="37" customFormat="false" ht="14.4" hidden="false" customHeight="true" outlineLevel="0" collapsed="false">
      <c r="A37" s="44" t="s">
        <v>52</v>
      </c>
      <c r="B37" s="44"/>
      <c r="C37" s="44"/>
      <c r="D37" s="44"/>
      <c r="E37" s="44"/>
      <c r="F37" s="44"/>
      <c r="G37" s="44"/>
      <c r="H37" s="44"/>
    </row>
    <row r="38" customFormat="false" ht="14.4" hidden="false" customHeight="true" outlineLevel="0" collapsed="false">
      <c r="A38" s="39" t="n">
        <v>1</v>
      </c>
      <c r="B38" s="40" t="s">
        <v>53</v>
      </c>
      <c r="C38" s="40"/>
      <c r="D38" s="40"/>
      <c r="E38" s="40"/>
      <c r="F38" s="40" t="s">
        <v>54</v>
      </c>
      <c r="G38" s="40"/>
      <c r="H38" s="40"/>
    </row>
    <row r="39" customFormat="false" ht="14.4" hidden="false" customHeight="true" outlineLevel="0" collapsed="false">
      <c r="A39" s="39" t="n">
        <v>2</v>
      </c>
      <c r="B39" s="45" t="s">
        <v>55</v>
      </c>
      <c r="C39" s="45"/>
      <c r="D39" s="45"/>
      <c r="E39" s="45"/>
      <c r="F39" s="46" t="n">
        <v>15</v>
      </c>
      <c r="G39" s="46"/>
      <c r="H39" s="46"/>
    </row>
    <row r="40" customFormat="false" ht="14.4" hidden="false" customHeight="true" outlineLevel="0" collapsed="false">
      <c r="A40" s="39"/>
      <c r="B40" s="45"/>
      <c r="C40" s="45"/>
      <c r="D40" s="45"/>
      <c r="E40" s="45"/>
      <c r="F40" s="40" t="s">
        <v>56</v>
      </c>
      <c r="G40" s="40"/>
      <c r="H40" s="40"/>
    </row>
    <row r="41" customFormat="false" ht="14.4" hidden="false" customHeight="true" outlineLevel="0" collapsed="false">
      <c r="A41" s="39" t="n">
        <v>3</v>
      </c>
      <c r="B41" s="40" t="s">
        <v>57</v>
      </c>
      <c r="C41" s="40"/>
      <c r="D41" s="40"/>
      <c r="E41" s="40"/>
      <c r="F41" s="46" t="n">
        <v>10</v>
      </c>
      <c r="G41" s="46"/>
      <c r="H41" s="46"/>
    </row>
    <row r="42" customFormat="false" ht="14.4" hidden="false" customHeight="false" outlineLevel="0" collapsed="false">
      <c r="A42" s="47" t="s">
        <v>58</v>
      </c>
      <c r="B42" s="47"/>
      <c r="C42" s="47"/>
      <c r="D42" s="47"/>
      <c r="E42" s="47"/>
      <c r="F42" s="47"/>
      <c r="G42" s="47"/>
      <c r="H42" s="47"/>
    </row>
    <row r="43" customFormat="false" ht="14.4" hidden="false" customHeight="false" outlineLevel="0" collapsed="false">
      <c r="A43" s="48"/>
      <c r="B43" s="49"/>
      <c r="C43" s="49"/>
      <c r="D43" s="49"/>
      <c r="E43" s="49"/>
      <c r="F43" s="50"/>
      <c r="G43" s="49"/>
      <c r="H43" s="49"/>
    </row>
    <row r="44" customFormat="false" ht="14.4" hidden="false" customHeight="false" outlineLevel="0" collapsed="false">
      <c r="A44" s="48"/>
      <c r="B44" s="49"/>
      <c r="C44" s="49"/>
      <c r="D44" s="49"/>
      <c r="E44" s="49"/>
      <c r="F44" s="50"/>
      <c r="G44" s="49"/>
      <c r="H44" s="49"/>
    </row>
    <row r="45" customFormat="false" ht="14.4" hidden="false" customHeight="false" outlineLevel="0" collapsed="false">
      <c r="A45" s="48"/>
      <c r="B45" s="49"/>
      <c r="C45" s="49"/>
      <c r="D45" s="49"/>
      <c r="E45" s="49"/>
      <c r="F45" s="50"/>
      <c r="G45" s="49"/>
      <c r="H45" s="49"/>
    </row>
    <row r="46" customFormat="false" ht="14.4" hidden="false" customHeight="false" outlineLevel="0" collapsed="false">
      <c r="A46" s="48"/>
      <c r="B46" s="49"/>
      <c r="C46" s="49"/>
      <c r="D46" s="49"/>
      <c r="E46" s="49"/>
      <c r="F46" s="50"/>
      <c r="G46" s="49"/>
      <c r="H46" s="49"/>
    </row>
    <row r="47" customFormat="false" ht="14.4" hidden="false" customHeight="false" outlineLevel="0" collapsed="false">
      <c r="A47" s="51"/>
      <c r="B47" s="51"/>
      <c r="C47" s="51"/>
      <c r="D47" s="51"/>
      <c r="E47" s="51"/>
      <c r="F47" s="51"/>
      <c r="G47" s="51"/>
      <c r="H47" s="51"/>
    </row>
    <row r="48" customFormat="false" ht="14.4" hidden="false" customHeight="false" outlineLevel="0" collapsed="false">
      <c r="A48" s="51"/>
      <c r="B48" s="51"/>
      <c r="C48" s="51"/>
      <c r="D48" s="51"/>
      <c r="E48" s="51"/>
      <c r="F48" s="51"/>
      <c r="G48" s="51"/>
      <c r="H48" s="51"/>
    </row>
    <row r="49" customFormat="false" ht="14.4" hidden="false" customHeight="false" outlineLevel="0" collapsed="false">
      <c r="A49" s="51"/>
      <c r="B49" s="51"/>
      <c r="C49" s="51"/>
      <c r="D49" s="51"/>
      <c r="E49" s="51"/>
      <c r="F49" s="51"/>
      <c r="G49" s="51"/>
      <c r="H49" s="51"/>
    </row>
    <row r="50" customFormat="false" ht="14.4" hidden="false" customHeight="false" outlineLevel="0" collapsed="false">
      <c r="A50" s="51"/>
      <c r="B50" s="51"/>
      <c r="C50" s="51"/>
      <c r="D50" s="51"/>
      <c r="E50" s="51"/>
      <c r="F50" s="51"/>
      <c r="G50" s="51"/>
      <c r="H50" s="51"/>
    </row>
    <row r="51" customFormat="false" ht="14.4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</row>
    <row r="53" customFormat="false" ht="14.4" hidden="false" customHeight="true" outlineLevel="0" collapsed="false">
      <c r="A53" s="53" t="s">
        <v>59</v>
      </c>
      <c r="B53" s="53"/>
      <c r="C53" s="53"/>
      <c r="D53" s="53"/>
      <c r="E53" s="53"/>
      <c r="F53" s="53"/>
      <c r="G53" s="53"/>
      <c r="H53" s="53"/>
    </row>
    <row r="54" customFormat="false" ht="15" hidden="false" customHeight="true" outlineLevel="0" collapsed="false">
      <c r="A54" s="15" t="s">
        <v>12</v>
      </c>
      <c r="B54" s="15" t="s">
        <v>13</v>
      </c>
      <c r="C54" s="15"/>
      <c r="D54" s="15"/>
      <c r="E54" s="15" t="s">
        <v>60</v>
      </c>
      <c r="F54" s="15" t="s">
        <v>61</v>
      </c>
      <c r="G54" s="15" t="s">
        <v>62</v>
      </c>
      <c r="H54" s="15" t="s">
        <v>63</v>
      </c>
    </row>
    <row r="55" customFormat="false" ht="15" hidden="false" customHeight="true" outlineLevel="0" collapsed="false">
      <c r="A55" s="39" t="n">
        <v>1</v>
      </c>
      <c r="B55" s="45" t="s">
        <v>64</v>
      </c>
      <c r="C55" s="45"/>
      <c r="D55" s="45"/>
      <c r="E55" s="45" t="s">
        <v>65</v>
      </c>
      <c r="F55" s="54" t="n">
        <f aca="false">ROUND((F12*1000)/G55,0)</f>
        <v>6</v>
      </c>
      <c r="G55" s="55" t="n">
        <v>540</v>
      </c>
      <c r="H55" s="56" t="s">
        <v>66</v>
      </c>
      <c r="J55" s="0" t="s">
        <v>67</v>
      </c>
    </row>
    <row r="56" customFormat="false" ht="27.6" hidden="false" customHeight="true" outlineLevel="0" collapsed="false">
      <c r="A56" s="39" t="n">
        <v>2</v>
      </c>
      <c r="B56" s="45" t="s">
        <v>68</v>
      </c>
      <c r="C56" s="45"/>
      <c r="D56" s="45"/>
      <c r="E56" s="45" t="s">
        <v>69</v>
      </c>
      <c r="F56" s="45" t="s">
        <v>70</v>
      </c>
      <c r="G56" s="45" t="s">
        <v>71</v>
      </c>
      <c r="H56" s="56" t="s">
        <v>72</v>
      </c>
      <c r="J56" s="0" t="s">
        <v>66</v>
      </c>
    </row>
    <row r="57" customFormat="false" ht="15" hidden="false" customHeight="true" outlineLevel="0" collapsed="false">
      <c r="A57" s="39" t="n">
        <v>3</v>
      </c>
      <c r="B57" s="45" t="s">
        <v>73</v>
      </c>
      <c r="C57" s="45"/>
      <c r="D57" s="45"/>
      <c r="E57" s="45" t="s">
        <v>65</v>
      </c>
      <c r="F57" s="57" t="n">
        <v>1</v>
      </c>
      <c r="G57" s="58" t="n">
        <v>3.3</v>
      </c>
      <c r="H57" s="45" t="s">
        <v>74</v>
      </c>
    </row>
    <row r="58" customFormat="false" ht="15" hidden="false" customHeight="true" outlineLevel="0" collapsed="false">
      <c r="A58" s="39" t="n">
        <v>4</v>
      </c>
      <c r="B58" s="45" t="s">
        <v>75</v>
      </c>
      <c r="C58" s="45"/>
      <c r="D58" s="45"/>
      <c r="E58" s="45" t="s">
        <v>65</v>
      </c>
      <c r="F58" s="57" t="s">
        <v>76</v>
      </c>
      <c r="G58" s="45" t="s">
        <v>70</v>
      </c>
      <c r="H58" s="45" t="s">
        <v>77</v>
      </c>
    </row>
    <row r="59" customFormat="false" ht="15" hidden="false" customHeight="true" outlineLevel="0" collapsed="false">
      <c r="A59" s="39" t="n">
        <v>5</v>
      </c>
      <c r="B59" s="45" t="s">
        <v>78</v>
      </c>
      <c r="C59" s="45"/>
      <c r="D59" s="45"/>
      <c r="E59" s="45" t="s">
        <v>65</v>
      </c>
      <c r="F59" s="57" t="s">
        <v>76</v>
      </c>
      <c r="G59" s="45" t="s">
        <v>70</v>
      </c>
      <c r="H59" s="45" t="s">
        <v>79</v>
      </c>
    </row>
    <row r="60" customFormat="false" ht="14.4" hidden="false" customHeight="true" outlineLevel="0" collapsed="false">
      <c r="A60" s="39" t="n">
        <v>6</v>
      </c>
      <c r="B60" s="45" t="s">
        <v>80</v>
      </c>
      <c r="C60" s="45"/>
      <c r="D60" s="45"/>
      <c r="E60" s="45" t="s">
        <v>81</v>
      </c>
      <c r="F60" s="57" t="s">
        <v>82</v>
      </c>
      <c r="G60" s="59" t="n">
        <v>4</v>
      </c>
      <c r="H60" s="45" t="s">
        <v>83</v>
      </c>
    </row>
    <row r="61" customFormat="false" ht="14.4" hidden="false" customHeight="true" outlineLevel="0" collapsed="false">
      <c r="A61" s="39" t="n">
        <v>7</v>
      </c>
      <c r="B61" s="45" t="s">
        <v>84</v>
      </c>
      <c r="C61" s="45"/>
      <c r="D61" s="45"/>
      <c r="E61" s="45" t="s">
        <v>81</v>
      </c>
      <c r="F61" s="57" t="s">
        <v>82</v>
      </c>
      <c r="G61" s="59" t="n">
        <v>2.5</v>
      </c>
      <c r="H61" s="45" t="s">
        <v>83</v>
      </c>
      <c r="J61" s="59" t="n">
        <f aca="false">IF(I12&lt;=3.3,2.5,IF(I12&lt;=4,4,IF(I12&lt;=6,4,IF(I12&lt;=10,2.5))))</f>
        <v>2.5</v>
      </c>
    </row>
    <row r="62" customFormat="false" ht="15" hidden="false" customHeight="true" outlineLevel="0" collapsed="false">
      <c r="A62" s="39" t="n">
        <v>8</v>
      </c>
      <c r="B62" s="45" t="s">
        <v>85</v>
      </c>
      <c r="C62" s="45"/>
      <c r="D62" s="45"/>
      <c r="E62" s="45" t="s">
        <v>65</v>
      </c>
      <c r="F62" s="57" t="s">
        <v>82</v>
      </c>
      <c r="G62" s="45" t="s">
        <v>70</v>
      </c>
      <c r="H62" s="45" t="s">
        <v>86</v>
      </c>
    </row>
    <row r="63" customFormat="false" ht="14.4" hidden="false" customHeight="true" outlineLevel="0" collapsed="false">
      <c r="A63" s="39" t="n">
        <v>9</v>
      </c>
      <c r="B63" s="45" t="s">
        <v>87</v>
      </c>
      <c r="C63" s="45"/>
      <c r="D63" s="45"/>
      <c r="E63" s="45" t="s">
        <v>88</v>
      </c>
      <c r="F63" s="57" t="n">
        <v>1</v>
      </c>
      <c r="G63" s="45" t="s">
        <v>70</v>
      </c>
      <c r="H63" s="45" t="s">
        <v>86</v>
      </c>
    </row>
    <row r="64" customFormat="false" ht="14.4" hidden="false" customHeight="true" outlineLevel="0" collapsed="false">
      <c r="A64" s="39" t="n">
        <v>10</v>
      </c>
      <c r="B64" s="45" t="s">
        <v>89</v>
      </c>
      <c r="C64" s="45"/>
      <c r="D64" s="45"/>
      <c r="E64" s="45" t="s">
        <v>65</v>
      </c>
      <c r="F64" s="57" t="s">
        <v>90</v>
      </c>
      <c r="G64" s="60" t="s">
        <v>91</v>
      </c>
      <c r="H64" s="45" t="s">
        <v>92</v>
      </c>
    </row>
    <row r="65" customFormat="false" ht="14.4" hidden="false" customHeight="true" outlineLevel="0" collapsed="false">
      <c r="A65" s="39" t="n">
        <v>11</v>
      </c>
      <c r="B65" s="45" t="s">
        <v>93</v>
      </c>
      <c r="C65" s="45"/>
      <c r="D65" s="45"/>
      <c r="E65" s="45" t="s">
        <v>65</v>
      </c>
      <c r="F65" s="57" t="s">
        <v>90</v>
      </c>
      <c r="G65" s="61" t="s">
        <v>94</v>
      </c>
      <c r="H65" s="62" t="s">
        <v>95</v>
      </c>
    </row>
    <row r="66" customFormat="false" ht="14.4" hidden="false" customHeight="true" outlineLevel="0" collapsed="false">
      <c r="A66" s="39" t="n">
        <v>12</v>
      </c>
      <c r="B66" s="45" t="s">
        <v>96</v>
      </c>
      <c r="C66" s="45"/>
      <c r="D66" s="45"/>
      <c r="E66" s="45" t="s">
        <v>65</v>
      </c>
      <c r="F66" s="57" t="s">
        <v>90</v>
      </c>
      <c r="G66" s="61" t="s">
        <v>97</v>
      </c>
      <c r="H66" s="62" t="s">
        <v>98</v>
      </c>
    </row>
    <row r="67" customFormat="false" ht="14.4" hidden="false" customHeight="true" outlineLevel="0" collapsed="false">
      <c r="A67" s="39" t="n">
        <v>13</v>
      </c>
      <c r="B67" s="45" t="s">
        <v>99</v>
      </c>
      <c r="C67" s="45"/>
      <c r="D67" s="45"/>
      <c r="E67" s="45" t="s">
        <v>65</v>
      </c>
      <c r="F67" s="57" t="s">
        <v>90</v>
      </c>
      <c r="G67" s="61" t="s">
        <v>100</v>
      </c>
      <c r="H67" s="62" t="s">
        <v>101</v>
      </c>
    </row>
    <row r="68" customFormat="false" ht="14.4" hidden="false" customHeight="true" outlineLevel="0" collapsed="false">
      <c r="A68" s="39" t="n">
        <v>14</v>
      </c>
      <c r="B68" s="45" t="s">
        <v>102</v>
      </c>
      <c r="C68" s="45"/>
      <c r="D68" s="45"/>
      <c r="E68" s="45" t="s">
        <v>65</v>
      </c>
      <c r="F68" s="57" t="s">
        <v>90</v>
      </c>
      <c r="G68" s="61" t="s">
        <v>103</v>
      </c>
      <c r="H68" s="62" t="s">
        <v>86</v>
      </c>
    </row>
    <row r="69" customFormat="false" ht="14.4" hidden="false" customHeight="true" outlineLevel="0" collapsed="false">
      <c r="A69" s="39" t="n">
        <v>15</v>
      </c>
      <c r="B69" s="45" t="s">
        <v>104</v>
      </c>
      <c r="C69" s="45"/>
      <c r="D69" s="45"/>
      <c r="E69" s="45" t="s">
        <v>65</v>
      </c>
      <c r="F69" s="57" t="s">
        <v>90</v>
      </c>
      <c r="G69" s="61" t="s">
        <v>100</v>
      </c>
      <c r="H69" s="62" t="s">
        <v>101</v>
      </c>
    </row>
    <row r="70" customFormat="false" ht="14.4" hidden="false" customHeight="true" outlineLevel="0" collapsed="false">
      <c r="A70" s="39" t="n">
        <v>16</v>
      </c>
      <c r="B70" s="45" t="s">
        <v>105</v>
      </c>
      <c r="C70" s="45"/>
      <c r="D70" s="45"/>
      <c r="E70" s="45" t="s">
        <v>65</v>
      </c>
      <c r="F70" s="57" t="s">
        <v>90</v>
      </c>
      <c r="G70" s="61" t="s">
        <v>106</v>
      </c>
      <c r="H70" s="62" t="s">
        <v>107</v>
      </c>
    </row>
    <row r="71" customFormat="false" ht="14.4" hidden="false" customHeight="true" outlineLevel="0" collapsed="false">
      <c r="A71" s="39" t="n">
        <v>17</v>
      </c>
      <c r="B71" s="45" t="s">
        <v>108</v>
      </c>
      <c r="C71" s="45"/>
      <c r="D71" s="45"/>
      <c r="E71" s="45" t="s">
        <v>65</v>
      </c>
      <c r="F71" s="57" t="s">
        <v>90</v>
      </c>
      <c r="G71" s="61" t="s">
        <v>109</v>
      </c>
      <c r="H71" s="62" t="s">
        <v>110</v>
      </c>
    </row>
    <row r="72" customFormat="false" ht="14.4" hidden="false" customHeight="true" outlineLevel="0" collapsed="false">
      <c r="A72" s="39" t="n">
        <v>18</v>
      </c>
      <c r="B72" s="45" t="s">
        <v>111</v>
      </c>
      <c r="C72" s="45"/>
      <c r="D72" s="45"/>
      <c r="E72" s="45" t="s">
        <v>65</v>
      </c>
      <c r="F72" s="57" t="s">
        <v>90</v>
      </c>
      <c r="G72" s="61" t="s">
        <v>112</v>
      </c>
      <c r="H72" s="62" t="s">
        <v>110</v>
      </c>
    </row>
    <row r="74" customFormat="false" ht="14.4" hidden="false" customHeight="true" outlineLevel="0" collapsed="false">
      <c r="A74" s="63" t="s">
        <v>113</v>
      </c>
      <c r="B74" s="63"/>
      <c r="C74" s="63"/>
      <c r="D74" s="63"/>
      <c r="E74" s="63"/>
      <c r="F74" s="63"/>
      <c r="G74" s="63"/>
      <c r="H74" s="63"/>
    </row>
    <row r="75" customFormat="false" ht="14.4" hidden="false" customHeight="true" outlineLevel="0" collapsed="false">
      <c r="A75" s="64" t="s">
        <v>114</v>
      </c>
      <c r="B75" s="64"/>
      <c r="C75" s="64"/>
      <c r="D75" s="64"/>
      <c r="E75" s="65" t="s">
        <v>115</v>
      </c>
      <c r="F75" s="65" t="s">
        <v>116</v>
      </c>
      <c r="G75" s="65" t="s">
        <v>117</v>
      </c>
      <c r="H75" s="65" t="s">
        <v>118</v>
      </c>
    </row>
    <row r="76" customFormat="false" ht="14.4" hidden="false" customHeight="true" outlineLevel="0" collapsed="false">
      <c r="A76" s="66" t="s">
        <v>119</v>
      </c>
      <c r="B76" s="66"/>
      <c r="C76" s="66"/>
      <c r="D76" s="66"/>
      <c r="E76" s="67" t="n">
        <f aca="false">SUM(H19*40%)</f>
        <v>50668.1888</v>
      </c>
      <c r="F76" s="68" t="n">
        <f aca="false">SUM(H19-E76)*40%</f>
        <v>30400.91328</v>
      </c>
      <c r="G76" s="68" t="n">
        <f aca="false">SUM(H19-F76)*40%</f>
        <v>38507.823488</v>
      </c>
      <c r="H76" s="68" t="n">
        <f aca="false">SUM(H19-F76-E76-G76)*40%</f>
        <v>2837.4185728</v>
      </c>
    </row>
    <row r="77" customFormat="false" ht="14.4" hidden="false" customHeight="true" outlineLevel="0" collapsed="false">
      <c r="A77" s="66" t="s">
        <v>120</v>
      </c>
      <c r="B77" s="66"/>
      <c r="C77" s="66"/>
      <c r="D77" s="66"/>
      <c r="E77" s="69" t="n">
        <f aca="false">E76*0.3</f>
        <v>15200.45664</v>
      </c>
      <c r="F77" s="69" t="n">
        <f aca="false">F76*0.3</f>
        <v>9120.273984</v>
      </c>
      <c r="G77" s="69" t="n">
        <f aca="false">G76*0.3</f>
        <v>11552.3470464</v>
      </c>
      <c r="H77" s="69" t="n">
        <f aca="false">H76*0.3</f>
        <v>851.22557184</v>
      </c>
    </row>
    <row r="78" customFormat="false" ht="15" hidden="false" customHeight="true" outlineLevel="0" collapsed="false">
      <c r="A78" s="66" t="s">
        <v>121</v>
      </c>
      <c r="B78" s="66"/>
      <c r="C78" s="66"/>
      <c r="D78" s="66"/>
      <c r="E78" s="70" t="n">
        <f aca="false">H87</f>
        <v>39191.04</v>
      </c>
      <c r="F78" s="71" t="n">
        <f aca="false">E78</f>
        <v>39191.04</v>
      </c>
      <c r="G78" s="71" t="n">
        <f aca="false">F78</f>
        <v>39191.04</v>
      </c>
      <c r="H78" s="71" t="n">
        <f aca="false">G78</f>
        <v>39191.04</v>
      </c>
    </row>
    <row r="79" customFormat="false" ht="14.4" hidden="false" customHeight="true" outlineLevel="0" collapsed="false">
      <c r="A79" s="72" t="s">
        <v>122</v>
      </c>
      <c r="B79" s="72"/>
      <c r="C79" s="72"/>
      <c r="D79" s="72"/>
      <c r="E79" s="73" t="n">
        <f aca="false">SUM(E77+E78)</f>
        <v>54391.49664</v>
      </c>
      <c r="F79" s="73" t="n">
        <f aca="false">SUM(F77+F78)</f>
        <v>48311.313984</v>
      </c>
      <c r="G79" s="73" t="n">
        <f aca="false">SUM(G77+G78)</f>
        <v>50743.3870464</v>
      </c>
      <c r="H79" s="73" t="n">
        <f aca="false">SUM(H77+H78)</f>
        <v>40042.26557184</v>
      </c>
    </row>
    <row r="80" customFormat="false" ht="14.4" hidden="false" customHeight="true" outlineLevel="0" collapsed="false">
      <c r="A80" s="74" t="s">
        <v>123</v>
      </c>
      <c r="B80" s="74"/>
      <c r="C80" s="74"/>
      <c r="D80" s="74"/>
      <c r="E80" s="75" t="n">
        <f aca="false">SUM(E79-H19)</f>
        <v>-72278.97536</v>
      </c>
      <c r="F80" s="75" t="n">
        <f aca="false">SUM(E80+F79)</f>
        <v>-23967.661376</v>
      </c>
      <c r="G80" s="75" t="n">
        <f aca="false">SUM(F80+G79)</f>
        <v>26775.7256704</v>
      </c>
      <c r="H80" s="75" t="n">
        <f aca="false">SUM(G80+H79)</f>
        <v>66817.99124224</v>
      </c>
    </row>
    <row r="81" customFormat="false" ht="14.4" hidden="false" customHeight="false" outlineLevel="0" collapsed="false">
      <c r="A81" s="76"/>
      <c r="B81" s="76"/>
      <c r="C81" s="76"/>
      <c r="D81" s="76"/>
      <c r="E81" s="76"/>
      <c r="F81" s="76"/>
      <c r="G81" s="76"/>
      <c r="H81" s="76"/>
    </row>
    <row r="82" customFormat="false" ht="14.4" hidden="false" customHeight="false" outlineLevel="0" collapsed="false">
      <c r="A82" s="77"/>
      <c r="B82" s="77"/>
      <c r="C82" s="77"/>
      <c r="D82" s="77"/>
      <c r="E82" s="77"/>
      <c r="F82" s="77"/>
    </row>
    <row r="83" customFormat="false" ht="14.4" hidden="false" customHeight="true" outlineLevel="0" collapsed="false">
      <c r="A83" s="78" t="s">
        <v>124</v>
      </c>
      <c r="B83" s="78"/>
      <c r="C83" s="78"/>
      <c r="D83" s="78"/>
      <c r="E83" s="78"/>
      <c r="F83" s="78"/>
      <c r="G83" s="78"/>
      <c r="H83" s="78"/>
    </row>
    <row r="84" customFormat="false" ht="14.4" hidden="false" customHeight="true" outlineLevel="0" collapsed="false">
      <c r="A84" s="79" t="n">
        <v>1</v>
      </c>
      <c r="B84" s="80" t="s">
        <v>125</v>
      </c>
      <c r="C84" s="80"/>
      <c r="D84" s="80"/>
      <c r="E84" s="80"/>
      <c r="F84" s="80"/>
      <c r="G84" s="80"/>
      <c r="H84" s="81" t="n">
        <f aca="false">H19</f>
        <v>126670.472</v>
      </c>
    </row>
    <row r="85" customFormat="false" ht="14.4" hidden="false" customHeight="true" outlineLevel="0" collapsed="false">
      <c r="A85" s="79" t="n">
        <v>2</v>
      </c>
      <c r="B85" s="80" t="s">
        <v>126</v>
      </c>
      <c r="C85" s="80"/>
      <c r="D85" s="80"/>
      <c r="E85" s="80"/>
      <c r="F85" s="80"/>
      <c r="G85" s="80"/>
      <c r="H85" s="82" t="n">
        <v>8</v>
      </c>
    </row>
    <row r="86" customFormat="false" ht="14.4" hidden="false" customHeight="true" outlineLevel="0" collapsed="false">
      <c r="A86" s="79" t="n">
        <v>3</v>
      </c>
      <c r="B86" s="80" t="s">
        <v>127</v>
      </c>
      <c r="C86" s="80"/>
      <c r="D86" s="80"/>
      <c r="E86" s="80"/>
      <c r="F86" s="80"/>
      <c r="G86" s="80"/>
      <c r="H86" s="83" t="n">
        <f aca="false">F12*4.2*360</f>
        <v>4898.88</v>
      </c>
    </row>
    <row r="87" customFormat="false" ht="14.4" hidden="false" customHeight="true" outlineLevel="0" collapsed="false">
      <c r="A87" s="79" t="n">
        <v>4</v>
      </c>
      <c r="B87" s="80" t="s">
        <v>128</v>
      </c>
      <c r="C87" s="80"/>
      <c r="D87" s="80"/>
      <c r="E87" s="80"/>
      <c r="F87" s="80"/>
      <c r="G87" s="80"/>
      <c r="H87" s="84" t="n">
        <f aca="false">SUM(H85*H86)</f>
        <v>39191.04</v>
      </c>
    </row>
    <row r="88" customFormat="false" ht="14.4" hidden="false" customHeight="true" outlineLevel="0" collapsed="false">
      <c r="A88" s="79" t="n">
        <v>5</v>
      </c>
      <c r="B88" s="80" t="s">
        <v>129</v>
      </c>
      <c r="C88" s="80"/>
      <c r="D88" s="80"/>
      <c r="E88" s="80"/>
      <c r="F88" s="80"/>
      <c r="G88" s="80"/>
      <c r="H88" s="85" t="n">
        <f aca="false">SUM(H87*25)</f>
        <v>979776</v>
      </c>
    </row>
    <row r="89" customFormat="false" ht="14.4" hidden="false" customHeight="true" outlineLevel="0" collapsed="false">
      <c r="A89" s="79" t="n">
        <v>6</v>
      </c>
      <c r="B89" s="80" t="s">
        <v>130</v>
      </c>
      <c r="C89" s="80"/>
      <c r="D89" s="80"/>
      <c r="E89" s="80"/>
      <c r="F89" s="80"/>
      <c r="G89" s="80"/>
      <c r="H89" s="86" t="n">
        <f aca="false">SUM(H84/H87)</f>
        <v>3.23212836403423</v>
      </c>
    </row>
    <row r="90" customFormat="false" ht="14.4" hidden="false" customHeight="true" outlineLevel="0" collapsed="false">
      <c r="A90" s="79" t="n">
        <v>7</v>
      </c>
      <c r="B90" s="80" t="s">
        <v>131</v>
      </c>
      <c r="C90" s="80"/>
      <c r="D90" s="80"/>
      <c r="E90" s="80"/>
      <c r="F90" s="80"/>
      <c r="G90" s="80"/>
      <c r="H90" s="87" t="n">
        <f aca="false">SUM(H87/H84)</f>
        <v>0.309393652531744</v>
      </c>
    </row>
    <row r="91" customFormat="false" ht="14.4" hidden="false" customHeight="false" outlineLevel="0" collapsed="false">
      <c r="A91" s="88"/>
      <c r="B91" s="89"/>
      <c r="C91" s="89"/>
      <c r="D91" s="89"/>
      <c r="E91" s="89"/>
      <c r="F91" s="89"/>
      <c r="G91" s="89"/>
      <c r="H91" s="90"/>
    </row>
    <row r="92" customFormat="false" ht="14.4" hidden="false" customHeight="false" outlineLevel="0" collapsed="false">
      <c r="A92" s="88"/>
      <c r="B92" s="89"/>
      <c r="C92" s="89"/>
      <c r="D92" s="89"/>
      <c r="E92" s="89"/>
      <c r="F92" s="89"/>
      <c r="G92" s="89"/>
      <c r="H92" s="90"/>
    </row>
    <row r="93" customFormat="false" ht="14.4" hidden="false" customHeight="false" outlineLevel="0" collapsed="false">
      <c r="A93" s="88"/>
      <c r="B93" s="89"/>
      <c r="C93" s="89"/>
      <c r="D93" s="89"/>
      <c r="E93" s="89"/>
      <c r="F93" s="89"/>
      <c r="G93" s="89"/>
      <c r="H93" s="90"/>
    </row>
    <row r="94" customFormat="false" ht="14.4" hidden="false" customHeight="false" outlineLevel="0" collapsed="false">
      <c r="A94" s="88"/>
      <c r="B94" s="89"/>
      <c r="C94" s="89"/>
      <c r="D94" s="89"/>
      <c r="E94" s="89"/>
      <c r="F94" s="89"/>
      <c r="G94" s="89"/>
      <c r="H94" s="90"/>
    </row>
    <row r="95" customFormat="false" ht="14.4" hidden="false" customHeight="false" outlineLevel="0" collapsed="false">
      <c r="A95" s="88"/>
      <c r="B95" s="89"/>
      <c r="C95" s="89"/>
      <c r="D95" s="89"/>
      <c r="E95" s="89"/>
      <c r="F95" s="89"/>
      <c r="G95" s="89"/>
      <c r="H95" s="90"/>
    </row>
    <row r="96" customFormat="false" ht="14.4" hidden="false" customHeight="false" outlineLevel="0" collapsed="false">
      <c r="A96" s="88"/>
      <c r="B96" s="89"/>
      <c r="C96" s="89"/>
      <c r="D96" s="89"/>
      <c r="E96" s="89"/>
      <c r="F96" s="89"/>
      <c r="G96" s="89"/>
      <c r="H96" s="90"/>
    </row>
    <row r="97" customFormat="false" ht="14.4" hidden="false" customHeight="false" outlineLevel="0" collapsed="false">
      <c r="A97" s="88"/>
      <c r="B97" s="89"/>
      <c r="C97" s="89"/>
      <c r="D97" s="89"/>
      <c r="E97" s="89"/>
      <c r="F97" s="89"/>
      <c r="G97" s="89"/>
      <c r="H97" s="90"/>
    </row>
    <row r="98" customFormat="false" ht="14.4" hidden="false" customHeight="false" outlineLevel="0" collapsed="false">
      <c r="A98" s="88"/>
      <c r="B98" s="89"/>
      <c r="C98" s="89"/>
      <c r="D98" s="89"/>
      <c r="E98" s="89"/>
      <c r="F98" s="89"/>
      <c r="G98" s="89"/>
      <c r="H98" s="90"/>
    </row>
    <row r="99" customFormat="false" ht="14.4" hidden="false" customHeight="false" outlineLevel="0" collapsed="false">
      <c r="A99" s="88"/>
      <c r="B99" s="89"/>
      <c r="C99" s="89"/>
      <c r="D99" s="89"/>
      <c r="E99" s="89"/>
      <c r="F99" s="89"/>
      <c r="G99" s="89"/>
      <c r="H99" s="90"/>
    </row>
    <row r="100" customFormat="false" ht="18" hidden="false" customHeight="false" outlineLevel="0" collapsed="false">
      <c r="A100" s="88"/>
      <c r="B100" s="89"/>
      <c r="C100" s="89"/>
      <c r="D100" s="91" t="s">
        <v>132</v>
      </c>
      <c r="E100" s="91"/>
      <c r="F100" s="91"/>
      <c r="G100" s="89"/>
      <c r="H100" s="90"/>
    </row>
    <row r="101" customFormat="false" ht="14.4" hidden="false" customHeight="true" outlineLevel="0" collapsed="false">
      <c r="A101" s="88"/>
      <c r="B101" s="89"/>
      <c r="C101" s="89"/>
      <c r="D101" s="92" t="s">
        <v>133</v>
      </c>
      <c r="E101" s="15" t="s">
        <v>134</v>
      </c>
      <c r="F101" s="15"/>
      <c r="G101" s="89"/>
      <c r="H101" s="90"/>
    </row>
    <row r="102" customFormat="false" ht="15.6" hidden="false" customHeight="false" outlineLevel="0" collapsed="false">
      <c r="A102" s="88"/>
      <c r="B102" s="89"/>
      <c r="C102" s="89"/>
      <c r="D102" s="93" t="s">
        <v>135</v>
      </c>
      <c r="E102" s="94" t="n">
        <f aca="false">H87</f>
        <v>39191.04</v>
      </c>
      <c r="F102" s="94"/>
      <c r="G102" s="89"/>
      <c r="H102" s="90"/>
    </row>
    <row r="103" customFormat="false" ht="14.4" hidden="false" customHeight="false" outlineLevel="0" collapsed="false">
      <c r="A103" s="88"/>
      <c r="B103" s="89"/>
      <c r="C103" s="89"/>
      <c r="D103" s="93" t="s">
        <v>136</v>
      </c>
      <c r="E103" s="95" t="n">
        <f aca="false">E102</f>
        <v>39191.04</v>
      </c>
      <c r="F103" s="95"/>
      <c r="G103" s="89"/>
      <c r="H103" s="90"/>
    </row>
    <row r="104" customFormat="false" ht="14.4" hidden="false" customHeight="false" outlineLevel="0" collapsed="false">
      <c r="A104" s="88"/>
      <c r="B104" s="89"/>
      <c r="C104" s="89"/>
      <c r="D104" s="93" t="s">
        <v>137</v>
      </c>
      <c r="E104" s="95" t="n">
        <f aca="false">E103</f>
        <v>39191.04</v>
      </c>
      <c r="F104" s="95"/>
      <c r="G104" s="89"/>
      <c r="H104" s="90"/>
    </row>
    <row r="105" customFormat="false" ht="14.4" hidden="false" customHeight="false" outlineLevel="0" collapsed="false">
      <c r="A105" s="88"/>
      <c r="B105" s="89"/>
      <c r="C105" s="89"/>
      <c r="D105" s="93" t="s">
        <v>138</v>
      </c>
      <c r="E105" s="95" t="n">
        <f aca="false">E104</f>
        <v>39191.04</v>
      </c>
      <c r="F105" s="95"/>
      <c r="G105" s="89"/>
      <c r="H105" s="90"/>
    </row>
    <row r="106" customFormat="false" ht="14.4" hidden="false" customHeight="false" outlineLevel="0" collapsed="false">
      <c r="A106" s="88"/>
      <c r="B106" s="89"/>
      <c r="C106" s="89"/>
      <c r="D106" s="96" t="s">
        <v>139</v>
      </c>
      <c r="E106" s="97" t="n">
        <f aca="false">E105</f>
        <v>39191.04</v>
      </c>
      <c r="F106" s="97"/>
      <c r="G106" s="89"/>
      <c r="H106" s="90"/>
    </row>
    <row r="107" customFormat="false" ht="14.4" hidden="false" customHeight="false" outlineLevel="0" collapsed="false">
      <c r="A107" s="88"/>
      <c r="B107" s="89"/>
      <c r="C107" s="89"/>
      <c r="D107" s="89"/>
      <c r="E107" s="89"/>
      <c r="F107" s="89"/>
      <c r="G107" s="89"/>
      <c r="H107" s="90"/>
    </row>
    <row r="108" customFormat="false" ht="14.25" hidden="false" customHeight="true" outlineLevel="0" collapsed="false">
      <c r="A108" s="88"/>
      <c r="B108" s="89"/>
      <c r="C108" s="89"/>
      <c r="D108" s="89"/>
      <c r="E108" s="89"/>
      <c r="F108" s="89"/>
      <c r="G108" s="89"/>
      <c r="H108" s="90"/>
    </row>
    <row r="109" customFormat="false" ht="14.4" hidden="true" customHeight="true" outlineLevel="0" collapsed="false">
      <c r="A109" s="98" t="s">
        <v>140</v>
      </c>
      <c r="B109" s="98"/>
      <c r="C109" s="98"/>
      <c r="D109" s="98"/>
      <c r="E109" s="98"/>
      <c r="F109" s="98"/>
      <c r="G109" s="98"/>
      <c r="H109" s="98"/>
    </row>
    <row r="110" customFormat="false" ht="14.4" hidden="true" customHeight="false" outlineLevel="0" collapsed="false">
      <c r="A110" s="98"/>
      <c r="B110" s="98"/>
      <c r="C110" s="98"/>
      <c r="D110" s="98"/>
      <c r="E110" s="98"/>
      <c r="F110" s="98"/>
      <c r="G110" s="98"/>
      <c r="H110" s="98"/>
    </row>
    <row r="111" customFormat="false" ht="24" hidden="false" customHeight="true" outlineLevel="0" collapsed="false">
      <c r="A111" s="99" t="s">
        <v>141</v>
      </c>
      <c r="B111" s="99"/>
      <c r="C111" s="99"/>
      <c r="D111" s="99"/>
      <c r="E111" s="99"/>
      <c r="F111" s="100" t="s">
        <v>142</v>
      </c>
      <c r="G111" s="101" t="s">
        <v>143</v>
      </c>
      <c r="H111" s="100" t="s">
        <v>144</v>
      </c>
    </row>
    <row r="112" customFormat="false" ht="14.4" hidden="false" customHeight="true" outlineLevel="0" collapsed="false">
      <c r="A112" s="102" t="s">
        <v>145</v>
      </c>
      <c r="B112" s="102"/>
      <c r="C112" s="102"/>
      <c r="D112" s="102"/>
      <c r="E112" s="102"/>
      <c r="F112" s="103" t="n">
        <v>0.2</v>
      </c>
      <c r="G112" s="104" t="n">
        <f aca="false">SUM(H19*F112)</f>
        <v>25334.0944</v>
      </c>
      <c r="H112" s="105" t="n">
        <v>10</v>
      </c>
    </row>
    <row r="113" customFormat="false" ht="14.4" hidden="false" customHeight="true" outlineLevel="0" collapsed="false">
      <c r="A113" s="102" t="s">
        <v>146</v>
      </c>
      <c r="B113" s="102"/>
      <c r="C113" s="102"/>
      <c r="D113" s="102"/>
      <c r="E113" s="102"/>
      <c r="F113" s="103" t="n">
        <v>0.8</v>
      </c>
      <c r="G113" s="104" t="n">
        <f aca="false">SUM(H19*F113)</f>
        <v>101336.3776</v>
      </c>
      <c r="H113" s="105" t="n">
        <v>25</v>
      </c>
    </row>
    <row r="114" customFormat="false" ht="14.4" hidden="false" customHeight="true" outlineLevel="0" collapsed="false">
      <c r="A114" s="106" t="s">
        <v>147</v>
      </c>
      <c r="B114" s="106"/>
      <c r="C114" s="106"/>
      <c r="D114" s="106"/>
      <c r="E114" s="106"/>
      <c r="F114" s="107" t="n">
        <f aca="false">SUM(F112:F113)</f>
        <v>1</v>
      </c>
      <c r="G114" s="108" t="n">
        <f aca="false">SUM(G112:G113)</f>
        <v>126670.472</v>
      </c>
      <c r="H114" s="109" t="n">
        <f aca="false">SUM(H112:H113)</f>
        <v>35</v>
      </c>
    </row>
    <row r="115" customFormat="false" ht="14.4" hidden="false" customHeight="true" outlineLevel="0" collapsed="false">
      <c r="A115" s="100" t="s">
        <v>148</v>
      </c>
      <c r="B115" s="100"/>
      <c r="C115" s="100"/>
      <c r="D115" s="100"/>
      <c r="E115" s="100"/>
      <c r="F115" s="100"/>
      <c r="G115" s="100"/>
      <c r="H115" s="100"/>
    </row>
    <row r="116" customFormat="false" ht="15" hidden="false" customHeight="false" outlineLevel="0" collapsed="false">
      <c r="A116" s="110"/>
      <c r="B116" s="110"/>
      <c r="C116" s="110"/>
      <c r="D116" s="110"/>
      <c r="E116" s="110"/>
      <c r="F116" s="111"/>
      <c r="G116" s="112"/>
      <c r="H116" s="113"/>
    </row>
    <row r="117" customFormat="false" ht="14.4" hidden="false" customHeight="true" outlineLevel="0" collapsed="false">
      <c r="A117" s="114" t="s">
        <v>149</v>
      </c>
      <c r="B117" s="114"/>
      <c r="C117" s="114"/>
      <c r="D117" s="114"/>
      <c r="E117" s="114"/>
      <c r="F117" s="114"/>
      <c r="G117" s="114"/>
      <c r="H117" s="114"/>
    </row>
    <row r="118" customFormat="false" ht="15" hidden="false" customHeight="false" outlineLevel="0" collapsed="false">
      <c r="A118" s="114"/>
      <c r="B118" s="114"/>
      <c r="C118" s="114"/>
      <c r="D118" s="114"/>
      <c r="E118" s="114"/>
      <c r="F118" s="114"/>
      <c r="G118" s="114"/>
      <c r="H118" s="114"/>
    </row>
    <row r="119" customFormat="false" ht="14.4" hidden="false" customHeight="false" outlineLevel="0" collapsed="false">
      <c r="A119" s="115"/>
      <c r="B119" s="115"/>
      <c r="C119" s="115"/>
      <c r="D119" s="115"/>
      <c r="E119" s="115"/>
      <c r="F119" s="115"/>
      <c r="G119" s="115"/>
      <c r="H119" s="115"/>
    </row>
    <row r="121" customFormat="false" ht="15.6" hidden="false" customHeight="true" outlineLevel="0" collapsed="false">
      <c r="C121" s="116" t="s">
        <v>150</v>
      </c>
      <c r="D121" s="116"/>
      <c r="E121" s="116"/>
      <c r="F121" s="116"/>
      <c r="G121" s="116"/>
    </row>
    <row r="122" customFormat="false" ht="14.4" hidden="false" customHeight="true" outlineLevel="0" collapsed="false">
      <c r="C122" s="117" t="s">
        <v>151</v>
      </c>
      <c r="D122" s="117"/>
      <c r="E122" s="117"/>
      <c r="F122" s="118" t="s">
        <v>152</v>
      </c>
      <c r="G122" s="118"/>
    </row>
    <row r="123" customFormat="false" ht="14.4" hidden="false" customHeight="true" outlineLevel="0" collapsed="false">
      <c r="C123" s="117" t="s">
        <v>153</v>
      </c>
      <c r="D123" s="117"/>
      <c r="E123" s="117"/>
      <c r="F123" s="119" t="n">
        <v>182705500393</v>
      </c>
      <c r="G123" s="119"/>
    </row>
    <row r="124" customFormat="false" ht="14.4" hidden="false" customHeight="true" outlineLevel="0" collapsed="false">
      <c r="C124" s="117" t="s">
        <v>154</v>
      </c>
      <c r="D124" s="117"/>
      <c r="E124" s="117"/>
      <c r="F124" s="120" t="s">
        <v>155</v>
      </c>
      <c r="G124" s="120"/>
    </row>
    <row r="125" customFormat="false" ht="14.4" hidden="false" customHeight="true" outlineLevel="0" collapsed="false">
      <c r="C125" s="117" t="s">
        <v>156</v>
      </c>
      <c r="D125" s="117"/>
      <c r="E125" s="117"/>
      <c r="F125" s="121" t="s">
        <v>157</v>
      </c>
      <c r="G125" s="121"/>
    </row>
    <row r="126" customFormat="false" ht="15" hidden="true" customHeight="true" outlineLevel="0" collapsed="false">
      <c r="C126" s="117" t="s">
        <v>158</v>
      </c>
      <c r="D126" s="117"/>
      <c r="E126" s="117"/>
      <c r="F126" s="118" t="s">
        <v>159</v>
      </c>
      <c r="G126" s="118"/>
    </row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>
      <c r="C129" s="122" t="s">
        <v>160</v>
      </c>
      <c r="D129" s="122"/>
      <c r="E129" s="122"/>
      <c r="F129" s="122"/>
      <c r="G129" s="122"/>
    </row>
    <row r="130" customFormat="false" ht="15" hidden="false" customHeight="true" outlineLevel="0" collapsed="false">
      <c r="C130" s="61" t="n">
        <v>1</v>
      </c>
      <c r="D130" s="61" t="s">
        <v>161</v>
      </c>
      <c r="E130" s="61"/>
      <c r="F130" s="61"/>
      <c r="G130" s="61"/>
    </row>
    <row r="131" customFormat="false" ht="14.4" hidden="false" customHeight="true" outlineLevel="0" collapsed="false">
      <c r="C131" s="61" t="n">
        <v>2</v>
      </c>
      <c r="D131" s="60" t="s">
        <v>162</v>
      </c>
      <c r="E131" s="60"/>
      <c r="F131" s="60"/>
      <c r="G131" s="60"/>
    </row>
    <row r="132" customFormat="false" ht="14.4" hidden="false" customHeight="true" outlineLevel="0" collapsed="false">
      <c r="C132" s="61" t="n">
        <v>3</v>
      </c>
      <c r="D132" s="60" t="s">
        <v>163</v>
      </c>
      <c r="E132" s="60"/>
      <c r="F132" s="60"/>
      <c r="G132" s="60"/>
    </row>
    <row r="133" customFormat="false" ht="15" hidden="false" customHeight="true" outlineLevel="0" collapsed="false">
      <c r="C133" s="123" t="n">
        <v>4</v>
      </c>
      <c r="D133" s="60" t="s">
        <v>164</v>
      </c>
      <c r="E133" s="60"/>
      <c r="F133" s="60"/>
      <c r="G133" s="60"/>
      <c r="H133" s="52"/>
    </row>
    <row r="134" customFormat="false" ht="14.4" hidden="false" customHeight="true" outlineLevel="0" collapsed="false">
      <c r="C134" s="123"/>
      <c r="D134" s="60"/>
      <c r="E134" s="60"/>
      <c r="F134" s="60"/>
      <c r="G134" s="60"/>
    </row>
    <row r="135" customFormat="false" ht="14.4" hidden="false" customHeight="true" outlineLevel="0" collapsed="false">
      <c r="C135" s="61" t="n">
        <v>5</v>
      </c>
      <c r="D135" s="60" t="s">
        <v>165</v>
      </c>
      <c r="E135" s="60"/>
      <c r="F135" s="60"/>
      <c r="G135" s="60"/>
    </row>
    <row r="136" customFormat="false" ht="14.4" hidden="false" customHeight="true" outlineLevel="0" collapsed="false">
      <c r="C136" s="61" t="n">
        <v>6</v>
      </c>
      <c r="D136" s="60" t="s">
        <v>166</v>
      </c>
      <c r="E136" s="60"/>
      <c r="F136" s="60"/>
      <c r="G136" s="60"/>
    </row>
    <row r="137" customFormat="false" ht="15" hidden="false" customHeight="true" outlineLevel="0" collapsed="false">
      <c r="C137" s="61" t="n">
        <v>7</v>
      </c>
      <c r="D137" s="60" t="s">
        <v>167</v>
      </c>
      <c r="E137" s="60"/>
      <c r="F137" s="60"/>
      <c r="G137" s="60"/>
    </row>
    <row r="138" customFormat="false" ht="15" hidden="false" customHeight="true" outlineLevel="0" collapsed="false">
      <c r="C138" s="61" t="n">
        <v>8</v>
      </c>
      <c r="D138" s="60" t="s">
        <v>168</v>
      </c>
      <c r="E138" s="60"/>
      <c r="F138" s="60"/>
      <c r="G138" s="60"/>
    </row>
    <row r="139" customFormat="false" ht="15" hidden="false" customHeight="true" outlineLevel="0" collapsed="false"/>
    <row r="140" customFormat="false" ht="15" hidden="false" customHeight="true" outlineLevel="0" collapsed="false"/>
    <row r="143" customFormat="false" ht="28.5" hidden="false" customHeight="true" outlineLevel="0" collapsed="false"/>
    <row r="144" customFormat="false" ht="15.7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</sheetData>
  <mergeCells count="133">
    <mergeCell ref="A1:H5"/>
    <mergeCell ref="A6:H6"/>
    <mergeCell ref="A7:H7"/>
    <mergeCell ref="C8:D8"/>
    <mergeCell ref="F8:G8"/>
    <mergeCell ref="A9:A10"/>
    <mergeCell ref="B9:F9"/>
    <mergeCell ref="G9:H9"/>
    <mergeCell ref="B10:D10"/>
    <mergeCell ref="E10:F10"/>
    <mergeCell ref="G10:H10"/>
    <mergeCell ref="B11:E11"/>
    <mergeCell ref="A12:A14"/>
    <mergeCell ref="B12:E14"/>
    <mergeCell ref="F12:F14"/>
    <mergeCell ref="G12:G14"/>
    <mergeCell ref="H12:H14"/>
    <mergeCell ref="N12:O12"/>
    <mergeCell ref="A15:C16"/>
    <mergeCell ref="D15:E16"/>
    <mergeCell ref="F15:G15"/>
    <mergeCell ref="F16:G16"/>
    <mergeCell ref="A17:G17"/>
    <mergeCell ref="A18:G18"/>
    <mergeCell ref="A19:G19"/>
    <mergeCell ref="A20:H20"/>
    <mergeCell ref="A21:H21"/>
    <mergeCell ref="A22:H22"/>
    <mergeCell ref="N22:O22"/>
    <mergeCell ref="B23:E23"/>
    <mergeCell ref="F23:H23"/>
    <mergeCell ref="B24:E24"/>
    <mergeCell ref="F24:H24"/>
    <mergeCell ref="B25:E25"/>
    <mergeCell ref="F25:H25"/>
    <mergeCell ref="B26:E26"/>
    <mergeCell ref="F26:H26"/>
    <mergeCell ref="A27:H27"/>
    <mergeCell ref="B28:E28"/>
    <mergeCell ref="F28:H28"/>
    <mergeCell ref="B29:E29"/>
    <mergeCell ref="F29:H29"/>
    <mergeCell ref="B30:E30"/>
    <mergeCell ref="F30:H30"/>
    <mergeCell ref="B31:E31"/>
    <mergeCell ref="F31:H31"/>
    <mergeCell ref="B32:H32"/>
    <mergeCell ref="B33:H33"/>
    <mergeCell ref="B34:H34"/>
    <mergeCell ref="B35:H35"/>
    <mergeCell ref="B36:H36"/>
    <mergeCell ref="A37:H37"/>
    <mergeCell ref="B38:E38"/>
    <mergeCell ref="F38:H38"/>
    <mergeCell ref="A39:A40"/>
    <mergeCell ref="B39:E40"/>
    <mergeCell ref="F39:H39"/>
    <mergeCell ref="F40:H40"/>
    <mergeCell ref="B41:E41"/>
    <mergeCell ref="F41:H41"/>
    <mergeCell ref="A42:H42"/>
    <mergeCell ref="A47:H50"/>
    <mergeCell ref="A53:H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A74:H74"/>
    <mergeCell ref="A75:D75"/>
    <mergeCell ref="A76:D76"/>
    <mergeCell ref="A77:D77"/>
    <mergeCell ref="A78:D78"/>
    <mergeCell ref="A79:D79"/>
    <mergeCell ref="A80:D80"/>
    <mergeCell ref="A81:H81"/>
    <mergeCell ref="A83:H83"/>
    <mergeCell ref="B84:G84"/>
    <mergeCell ref="B85:G85"/>
    <mergeCell ref="B86:G86"/>
    <mergeCell ref="B87:G87"/>
    <mergeCell ref="B88:G88"/>
    <mergeCell ref="B89:G89"/>
    <mergeCell ref="B90:G90"/>
    <mergeCell ref="D100:F100"/>
    <mergeCell ref="E101:F101"/>
    <mergeCell ref="E102:F102"/>
    <mergeCell ref="E103:F103"/>
    <mergeCell ref="E104:F104"/>
    <mergeCell ref="E105:F105"/>
    <mergeCell ref="E106:F106"/>
    <mergeCell ref="A109:H110"/>
    <mergeCell ref="A111:E111"/>
    <mergeCell ref="A112:E112"/>
    <mergeCell ref="A113:E113"/>
    <mergeCell ref="A114:E114"/>
    <mergeCell ref="A115:H115"/>
    <mergeCell ref="A117:H118"/>
    <mergeCell ref="C121:G121"/>
    <mergeCell ref="C122:E122"/>
    <mergeCell ref="F122:G122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C129:G129"/>
    <mergeCell ref="D130:G130"/>
    <mergeCell ref="D131:G131"/>
    <mergeCell ref="D132:G132"/>
    <mergeCell ref="C133:C134"/>
    <mergeCell ref="D133:G134"/>
    <mergeCell ref="D135:G135"/>
    <mergeCell ref="D136:G136"/>
    <mergeCell ref="D137:G137"/>
    <mergeCell ref="D138:G138"/>
  </mergeCells>
  <dataValidations count="2">
    <dataValidation allowBlank="true" operator="between" showDropDown="false" showErrorMessage="true" showInputMessage="true" sqref="B8" type="list">
      <formula1>$L$8:$L$9</formula1>
      <formula2>0</formula2>
    </dataValidation>
    <dataValidation allowBlank="true" operator="between" showDropDown="false" showErrorMessage="true" showInputMessage="true" sqref="H55" type="list">
      <formula1>$J$55:$J$56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443055555555556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1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4" activeCellId="0" sqref="S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4.55"/>
    <col collapsed="false" customWidth="true" hidden="false" outlineLevel="0" max="3" min="3" style="0" width="12.55"/>
    <col collapsed="false" customWidth="true" hidden="false" outlineLevel="0" max="4" min="4" style="0" width="30"/>
    <col collapsed="false" customWidth="true" hidden="false" outlineLevel="0" max="5" min="5" style="0" width="17.33"/>
    <col collapsed="false" customWidth="true" hidden="false" outlineLevel="0" max="6" min="6" style="0" width="13.33"/>
    <col collapsed="false" customWidth="true" hidden="false" outlineLevel="0" max="7" min="7" style="0" width="15.55"/>
    <col collapsed="false" customWidth="true" hidden="false" outlineLevel="0" max="8" min="8" style="0" width="12"/>
    <col collapsed="false" customWidth="true" hidden="false" outlineLevel="0" max="9" min="9" style="0" width="12.68"/>
    <col collapsed="false" customWidth="true" hidden="false" outlineLevel="0" max="10" min="10" style="0" width="14.66"/>
    <col collapsed="false" customWidth="true" hidden="false" outlineLevel="0" max="11" min="11" style="0" width="4.52"/>
    <col collapsed="false" customWidth="true" hidden="false" outlineLevel="0" max="12" min="12" style="0" width="9.81"/>
    <col collapsed="false" customWidth="true" hidden="false" outlineLevel="0" max="13" min="13" style="0" width="13"/>
    <col collapsed="false" customWidth="true" hidden="false" outlineLevel="0" max="14" min="14" style="0" width="15.11"/>
    <col collapsed="false" customWidth="true" hidden="false" outlineLevel="0" max="15" min="15" style="0" width="5.4"/>
    <col collapsed="false" customWidth="true" hidden="false" outlineLevel="0" max="16" min="16" style="0" width="17.97"/>
    <col collapsed="false" customWidth="true" hidden="false" outlineLevel="0" max="18" min="18" style="0" width="12.45"/>
    <col collapsed="false" customWidth="true" hidden="false" outlineLevel="0" max="19" min="19" style="0" width="12.33"/>
    <col collapsed="false" customWidth="true" hidden="false" outlineLevel="0" max="26" min="26" style="0" width="13.11"/>
  </cols>
  <sheetData>
    <row r="1" customFormat="false" ht="23.4" hidden="false" customHeight="false" outlineLevel="0" collapsed="false">
      <c r="A1" s="124" t="s">
        <v>169</v>
      </c>
      <c r="B1" s="125" t="n">
        <v>3.3</v>
      </c>
      <c r="C1" s="23"/>
      <c r="D1" s="126"/>
      <c r="E1" s="23" t="s">
        <v>170</v>
      </c>
      <c r="F1" s="23"/>
      <c r="G1" s="23"/>
      <c r="H1" s="23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 t="n">
        <f aca="false">(SIN(Q5*PI()/180)*((R5*1000)-954))+T5</f>
        <v>3563.37154413773</v>
      </c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</row>
    <row r="2" customFormat="false" ht="14.4" hidden="false" customHeight="false" outlineLevel="0" collapsed="false">
      <c r="A2" s="128" t="s">
        <v>171</v>
      </c>
      <c r="B2" s="129" t="s">
        <v>172</v>
      </c>
      <c r="C2" s="23" t="s">
        <v>173</v>
      </c>
      <c r="D2" s="130"/>
      <c r="E2" s="23" t="s">
        <v>174</v>
      </c>
      <c r="F2" s="23"/>
      <c r="G2" s="23" t="s">
        <v>175</v>
      </c>
      <c r="H2" s="131" t="n">
        <f aca="false">B1</f>
        <v>3.3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</row>
    <row r="3" customFormat="false" ht="14.4" hidden="false" customHeight="false" outlineLevel="0" collapsed="false">
      <c r="A3" s="23"/>
      <c r="B3" s="23"/>
      <c r="C3" s="23" t="n">
        <v>23.3</v>
      </c>
      <c r="D3" s="23" t="n">
        <f aca="false">C3*C5</f>
        <v>12582</v>
      </c>
      <c r="E3" s="23"/>
      <c r="F3" s="23"/>
      <c r="G3" s="23"/>
      <c r="H3" s="13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customFormat="false" ht="13.8" hidden="false" customHeight="false" outlineLevel="0" collapsed="false">
      <c r="A4" s="128" t="s">
        <v>176</v>
      </c>
      <c r="B4" s="128" t="s">
        <v>65</v>
      </c>
      <c r="C4" s="128" t="s">
        <v>13</v>
      </c>
      <c r="D4" s="128" t="s">
        <v>177</v>
      </c>
      <c r="E4" s="128" t="s">
        <v>147</v>
      </c>
      <c r="F4" s="23"/>
      <c r="G4" s="23" t="s">
        <v>178</v>
      </c>
      <c r="H4" s="133" t="n">
        <v>540</v>
      </c>
      <c r="I4" s="23" t="s">
        <v>179</v>
      </c>
      <c r="J4" s="23" t="s">
        <v>180</v>
      </c>
      <c r="K4" s="134" t="s">
        <v>181</v>
      </c>
      <c r="L4" s="134"/>
      <c r="M4" s="23" t="s">
        <v>182</v>
      </c>
      <c r="N4" s="23" t="s">
        <v>183</v>
      </c>
      <c r="O4" s="23"/>
      <c r="P4" s="23" t="s">
        <v>184</v>
      </c>
      <c r="Q4" s="23" t="s">
        <v>185</v>
      </c>
      <c r="R4" s="23" t="s">
        <v>186</v>
      </c>
      <c r="S4" s="23" t="s">
        <v>187</v>
      </c>
      <c r="T4" s="23" t="s">
        <v>188</v>
      </c>
      <c r="U4" s="23" t="s">
        <v>189</v>
      </c>
      <c r="V4" s="23" t="s">
        <v>190</v>
      </c>
      <c r="W4" s="23" t="s">
        <v>191</v>
      </c>
      <c r="X4" s="23" t="s">
        <v>192</v>
      </c>
      <c r="Y4" s="23" t="s">
        <v>193</v>
      </c>
      <c r="Z4" s="23" t="s">
        <v>194</v>
      </c>
      <c r="AA4" s="23" t="s">
        <v>195</v>
      </c>
      <c r="AB4" s="23" t="s">
        <v>196</v>
      </c>
      <c r="AC4" s="23" t="s">
        <v>197</v>
      </c>
      <c r="AD4" s="23" t="s">
        <v>198</v>
      </c>
      <c r="AE4" s="23" t="s">
        <v>199</v>
      </c>
      <c r="AF4" s="23" t="s">
        <v>200</v>
      </c>
      <c r="AG4" s="23" t="s">
        <v>201</v>
      </c>
      <c r="AH4" s="23" t="s">
        <v>202</v>
      </c>
      <c r="AI4" s="23" t="s">
        <v>203</v>
      </c>
      <c r="AJ4" s="23" t="s">
        <v>204</v>
      </c>
      <c r="AK4" s="23" t="s">
        <v>205</v>
      </c>
    </row>
    <row r="5" customFormat="false" ht="14.4" hidden="false" customHeight="false" outlineLevel="0" collapsed="false">
      <c r="A5" s="23" t="s">
        <v>178</v>
      </c>
      <c r="B5" s="135" t="n">
        <f aca="false">SUM(I5:I8)</f>
        <v>72</v>
      </c>
      <c r="C5" s="136" t="n">
        <f aca="false">H4</f>
        <v>540</v>
      </c>
      <c r="D5" s="137" t="n">
        <f aca="false">D3</f>
        <v>12582</v>
      </c>
      <c r="E5" s="138" t="n">
        <f aca="false">B5*D5</f>
        <v>905904</v>
      </c>
      <c r="F5" s="139"/>
      <c r="G5" s="140"/>
      <c r="H5" s="23"/>
      <c r="I5" s="135" t="n">
        <v>24</v>
      </c>
      <c r="J5" s="141" t="n">
        <f aca="false">ROUND(I5/(K5*L5),1)</f>
        <v>1</v>
      </c>
      <c r="K5" s="142" t="n">
        <v>2</v>
      </c>
      <c r="L5" s="143" t="n">
        <v>12</v>
      </c>
      <c r="M5" s="144" t="n">
        <v>9</v>
      </c>
      <c r="N5" s="145" t="n">
        <f aca="false">(AA5+AC5+AB5+AD5+AE5+AF5)*J5</f>
        <v>12</v>
      </c>
      <c r="O5" s="130"/>
      <c r="P5" s="146" t="n">
        <f aca="false">M5*304.8</f>
        <v>2743.2</v>
      </c>
      <c r="Q5" s="144" t="n">
        <v>13</v>
      </c>
      <c r="R5" s="147" t="n">
        <f aca="false">IF("H4"&lt;=390,K5*2,K5*2.3)</f>
        <v>4.6</v>
      </c>
      <c r="S5" s="135" t="n">
        <f aca="false">ROUND(IF(H4&lt;=390,IF(L5&lt;=5,((L5*1.015)/2.5)+1,((L5*1.015)/2.5)+1),((L5*1.143)/2.8)+1),0)</f>
        <v>6</v>
      </c>
      <c r="T5" s="146" t="n">
        <f aca="false">P5</f>
        <v>2743.2</v>
      </c>
      <c r="U5" s="146" t="n">
        <f aca="false">IF(K5&gt;=6,((Y5-T5)/5)+T5,0)</f>
        <v>0</v>
      </c>
      <c r="V5" s="146" t="n">
        <f aca="false">IF(K5&gt;=5,IF(U5&gt;0,((Y5-T5)/5)+U5,((Y5-T5)/4)+T5),0)</f>
        <v>0</v>
      </c>
      <c r="W5" s="146" t="n">
        <f aca="false">IF(K5&gt;=4,IF(U5&gt;0,((Y5-T5)/5)+V5,IF(V5&gt;0,((Y5-T5)/4)+V5,((Y5-T5)/3)+T5)),0)</f>
        <v>0</v>
      </c>
      <c r="X5" s="148" t="n">
        <f aca="false">IF(K5&gt;=3,IF(U5&gt;0,((Y5-T5)/5)+W5,IF(V5&gt;0,((Y5-T5)/4)+W5,IF(W5&gt;0,((Y5-T5)/3)+W5,((Y5-T5)/2)+T5))),0)</f>
        <v>0</v>
      </c>
      <c r="Y5" s="146" t="n">
        <f aca="false">(SIN(Q5*PI()/180)*((R5*1000)-954))+T5</f>
        <v>3563.37154413773</v>
      </c>
      <c r="Z5" s="146" t="n">
        <f aca="false">IF("H4"&lt;=390,L5*1015,L5*1135)</f>
        <v>13620</v>
      </c>
      <c r="AA5" s="135" t="n">
        <f aca="false">S5</f>
        <v>6</v>
      </c>
      <c r="AB5" s="135" t="n">
        <f aca="false">IF(U5&gt;0,S5,0)</f>
        <v>0</v>
      </c>
      <c r="AC5" s="135" t="n">
        <f aca="false">IF(V5&gt;0,S5,0)</f>
        <v>0</v>
      </c>
      <c r="AD5" s="135" t="n">
        <f aca="false">IF(W5&gt;0,S5,0)</f>
        <v>0</v>
      </c>
      <c r="AE5" s="135" t="n">
        <f aca="false">IF(X5&gt;0,S5,0)</f>
        <v>0</v>
      </c>
      <c r="AF5" s="135" t="n">
        <f aca="false">S5</f>
        <v>6</v>
      </c>
      <c r="AG5" s="135" t="n">
        <f aca="false">AA5</f>
        <v>6</v>
      </c>
      <c r="AH5" s="145" t="n">
        <f aca="false">K5*2</f>
        <v>4</v>
      </c>
      <c r="AI5" s="149" t="n">
        <f aca="false">((AA5*T5)+(AB5*U5)+(AC5*V5)+(AD5*W5)+(AE5*X5)+(AF5*Y5)+(AG5*R5*1000))/1000</f>
        <v>65.4394292648264</v>
      </c>
      <c r="AJ5" s="149" t="n">
        <f aca="false">(AH5*Z5)/1000</f>
        <v>54.48</v>
      </c>
      <c r="AK5" s="145" t="n">
        <f aca="false">ROUND((((AI5*3.083)+(AJ5*2.6))*J5),0)</f>
        <v>343</v>
      </c>
      <c r="AL5" s="0" t="n">
        <f aca="false">AK5*AM5</f>
        <v>1337.7</v>
      </c>
      <c r="AM5" s="0" t="n">
        <v>3.9</v>
      </c>
    </row>
    <row r="6" customFormat="false" ht="14.4" hidden="false" customHeight="false" outlineLevel="0" collapsed="false">
      <c r="A6" s="23" t="s">
        <v>57</v>
      </c>
      <c r="B6" s="150" t="n">
        <v>12</v>
      </c>
      <c r="C6" s="151" t="str">
        <f aca="false">IF(B1&lt;=2,R12,IF(B1&lt;=3,R13,IF(B1&lt;=3.3,R14,IF(B1&lt;=4,R16,IF(B1&lt;=5,R17,IF(B1&lt;=6,R18,IF(B1&lt;=8,R19,IF(B1&lt;=10,R20,IF(B1&lt;=15,R21,IF(B1&lt;=20,R22,IF(B1&lt;=25,R23,IF(B1&lt;=33,R24,IF(B1&lt;=40,R25,IF(B1&lt;=50,R26,IF(B1&lt;=60,R27,IF(B1&lt;=80,R28,IF(B1&lt;=100,R29,IF(B1&lt;=125,R30,IF(B1&lt;=150,R31,IF(B1&lt;=200,R32,IF(B1&lt;=250,R33,IF(B1&lt;=300,R34,IF(B1&lt;=400,R35,IF(B1&lt;=500,R36))))))))))))))))))))))))</f>
        <v>3.3kW</v>
      </c>
      <c r="D6" s="151" t="n">
        <f aca="false">IF(B1&lt;=2,S12,IF(B1&lt;=3,S13,IF(B1&lt;=3.3,S14,IF(B1&lt;=4,S16,IF(B1&lt;=5,S17,IF(B1&lt;=6,S18,IF(B1&lt;=8,S19,IF(B1&lt;=10,S20,IF(B1&lt;=15,S21,IF(B1&lt;=20,S22,IF(B1&lt;=25,S23,IF(B1&lt;=33,S24,IF(B1&lt;=40,S25,IF(B1&lt;=50,S26,IF(B1&lt;=60,S27,IF(B1&lt;=80,S28,IF(B1&lt;=100,S29,IF(B1&lt;=125,S30,IF(B1&lt;=150,S31,IF(B1&lt;=200,S32,IF(B1&lt;=250,S33,IF(B1&lt;=300,S34,IF(B1&lt;=400,S35,IF(B1&lt;=500,S36))))))))))))))))))))))))</f>
        <v>17500</v>
      </c>
      <c r="E6" s="138" t="n">
        <f aca="false">B6*D6</f>
        <v>210000</v>
      </c>
      <c r="F6" s="139"/>
      <c r="G6" s="140"/>
      <c r="H6" s="23"/>
      <c r="I6" s="135" t="n">
        <v>48</v>
      </c>
      <c r="J6" s="141" t="n">
        <f aca="false">ROUND(I6/(K6*L6),1)</f>
        <v>1</v>
      </c>
      <c r="K6" s="142" t="n">
        <v>8</v>
      </c>
      <c r="L6" s="143" t="n">
        <v>6</v>
      </c>
      <c r="M6" s="144" t="n">
        <v>13</v>
      </c>
      <c r="N6" s="145" t="n">
        <f aca="false">(AA6+AC6+AB6+AD6+AE6+AF6)*J6</f>
        <v>18</v>
      </c>
      <c r="O6" s="130"/>
      <c r="P6" s="146" t="n">
        <f aca="false">M6*304.8</f>
        <v>3962.4</v>
      </c>
      <c r="Q6" s="144" t="n">
        <v>5</v>
      </c>
      <c r="R6" s="147" t="n">
        <f aca="false">IF("H4"&lt;=390,K6*2,K6*2.3)</f>
        <v>18.4</v>
      </c>
      <c r="S6" s="135" t="n">
        <f aca="false">ROUND(IF(H5&lt;=390,IF(L6&lt;=5,((L6*1.015)/2.5)+1,((L6*1.015)/2.5)+1),((L6*1.143)/2.8)+1),0)</f>
        <v>3</v>
      </c>
      <c r="T6" s="146" t="n">
        <f aca="false">P6</f>
        <v>3962.4</v>
      </c>
      <c r="U6" s="146" t="n">
        <f aca="false">IF(K6&gt;=6,((Y6-T6)/5)+T6,0)</f>
        <v>4266.50381759513</v>
      </c>
      <c r="V6" s="146" t="n">
        <f aca="false">IF(K6&gt;=5,IF(U6&gt;0,((Y6-T6)/5)+U6,((Y6-T6)/4)+T6),0)</f>
        <v>4570.60763519026</v>
      </c>
      <c r="W6" s="146" t="n">
        <f aca="false">IF(K6&gt;=4,IF(U6&gt;0,((Y6-T6)/5)+V6,IF(V6&gt;0,((Y6-T6)/4)+V6,((Y6-T6)/3)+T6)),0)</f>
        <v>4874.71145278539</v>
      </c>
      <c r="X6" s="148" t="n">
        <f aca="false">IF(K6&gt;=3,IF(U6&gt;0,((Y6-T6)/5)+W6,IF(V6&gt;0,((Y6-T6)/4)+W6,IF(W6&gt;0,((Y6-T6)/3)+W6,((Y6-T6)/2)+T6))),0)</f>
        <v>5178.81527038052</v>
      </c>
      <c r="Y6" s="146" t="n">
        <f aca="false">(SIN(Q6*PI()/180)*((R6*1000)-954))+T6</f>
        <v>5482.91908797564</v>
      </c>
      <c r="Z6" s="146" t="n">
        <f aca="false">IF("H4"&lt;=390,L6*1015,L6*1135)</f>
        <v>6810</v>
      </c>
      <c r="AA6" s="135" t="n">
        <f aca="false">S6</f>
        <v>3</v>
      </c>
      <c r="AB6" s="135" t="n">
        <f aca="false">IF(U6&gt;0,S6,0)</f>
        <v>3</v>
      </c>
      <c r="AC6" s="135" t="n">
        <f aca="false">IF(V6&gt;0,S6,0)</f>
        <v>3</v>
      </c>
      <c r="AD6" s="135" t="n">
        <f aca="false">IF(W6&gt;0,S6,0)</f>
        <v>3</v>
      </c>
      <c r="AE6" s="135" t="n">
        <f aca="false">IF(X6&gt;0,S6,0)</f>
        <v>3</v>
      </c>
      <c r="AF6" s="135" t="n">
        <f aca="false">S6</f>
        <v>3</v>
      </c>
      <c r="AG6" s="135" t="n">
        <f aca="false">AA6</f>
        <v>3</v>
      </c>
      <c r="AH6" s="145" t="n">
        <f aca="false">K6*2</f>
        <v>16</v>
      </c>
      <c r="AI6" s="149" t="n">
        <f aca="false">((AA6*T6)+(AB6*U6)+(AC6*V6)+(AD6*W6)+(AE6*X6)+(AF6*Y6)+(AG6*R6*1000))/1000</f>
        <v>140.207871791781</v>
      </c>
      <c r="AJ6" s="149" t="n">
        <f aca="false">(AH6*Z6)/1000</f>
        <v>108.96</v>
      </c>
      <c r="AK6" s="145" t="n">
        <f aca="false">ROUND((((AI6*3.083)+(AJ6*3.083))*J6),0)</f>
        <v>768</v>
      </c>
    </row>
    <row r="7" customFormat="false" ht="14.4" hidden="false" customHeight="false" outlineLevel="0" collapsed="false">
      <c r="A7" s="23" t="s">
        <v>206</v>
      </c>
      <c r="B7" s="152" t="n">
        <v>780</v>
      </c>
      <c r="C7" s="153" t="n">
        <v>4</v>
      </c>
      <c r="D7" s="154" t="n">
        <f aca="false">IF(C7&lt;=2.5,J11,J12)</f>
        <v>36.05</v>
      </c>
      <c r="E7" s="138" t="n">
        <f aca="false">B7*D7</f>
        <v>28119</v>
      </c>
      <c r="F7" s="154" t="n">
        <f aca="false">B7/B6</f>
        <v>65</v>
      </c>
      <c r="G7" s="140"/>
      <c r="H7" s="23" t="n">
        <f aca="false">65*12</f>
        <v>780</v>
      </c>
      <c r="I7" s="135" t="n">
        <v>0</v>
      </c>
      <c r="J7" s="141" t="n">
        <f aca="false">ROUND(I7/(K7*L7),1)</f>
        <v>0</v>
      </c>
      <c r="K7" s="142" t="n">
        <v>3</v>
      </c>
      <c r="L7" s="143" t="n">
        <v>6</v>
      </c>
      <c r="M7" s="144" t="n">
        <v>10</v>
      </c>
      <c r="N7" s="145" t="n">
        <f aca="false">(AA7+AC7+AB7+AD7+AE7+AF7)*J7</f>
        <v>0</v>
      </c>
      <c r="O7" s="130"/>
      <c r="P7" s="146" t="n">
        <f aca="false">M7*304.8</f>
        <v>3048</v>
      </c>
      <c r="Q7" s="144" t="n">
        <v>10</v>
      </c>
      <c r="R7" s="147" t="n">
        <f aca="false">IF("H4"&lt;=390,K7*2,K7*2.3)</f>
        <v>6.9</v>
      </c>
      <c r="S7" s="135" t="n">
        <f aca="false">ROUND(IF(H6&lt;=390,IF(L7&lt;=5,((L7*1.015)/2.5)+1,((L7*1.015)/2.5)+1),((L7*1.143)/2.8)+1),0)</f>
        <v>3</v>
      </c>
      <c r="T7" s="146" t="n">
        <f aca="false">P7</f>
        <v>3048</v>
      </c>
      <c r="U7" s="146" t="n">
        <f aca="false">IF(K7&gt;=6,((Y7-T7)/5)+T7,0)</f>
        <v>0</v>
      </c>
      <c r="V7" s="146" t="n">
        <f aca="false">IF(K7&gt;=5,IF(U7&gt;0,((Y7-T7)/5)+U7,((Y7-T7)/4)+T7),0)</f>
        <v>0</v>
      </c>
      <c r="W7" s="146" t="n">
        <f aca="false">IF(K7&gt;=4,IF(U7&gt;0,((Y7-T7)/5)+V7,IF(V7&gt;0,((Y7-T7)/4)+V7,((Y7-T7)/3)+T7)),0)</f>
        <v>0</v>
      </c>
      <c r="X7" s="148" t="n">
        <f aca="false">IF(K7&gt;=3,IF(U7&gt;0,((Y7-T7)/5)+W7,IF(V7&gt;0,((Y7-T7)/4)+W7,IF(W7&gt;0,((Y7-T7)/3)+W7,((Y7-T7)/2)+T7))),0)</f>
        <v>3564.25603220378</v>
      </c>
      <c r="Y7" s="146" t="n">
        <f aca="false">(SIN(Q7*PI()/180)*((R7*1000)-954))+T7</f>
        <v>4080.51206440757</v>
      </c>
      <c r="Z7" s="146" t="n">
        <f aca="false">IF("H4"&lt;=390,L7*1015,L7*1135)</f>
        <v>6810</v>
      </c>
      <c r="AA7" s="135" t="n">
        <f aca="false">S7</f>
        <v>3</v>
      </c>
      <c r="AB7" s="135" t="n">
        <f aca="false">IF(U7&gt;0,S7,0)</f>
        <v>0</v>
      </c>
      <c r="AC7" s="135" t="n">
        <f aca="false">IF(V7&gt;0,S7,0)</f>
        <v>0</v>
      </c>
      <c r="AD7" s="135" t="n">
        <f aca="false">IF(W7&gt;0,S7,0)</f>
        <v>0</v>
      </c>
      <c r="AE7" s="135" t="n">
        <f aca="false">IF(X7&gt;0,S7,0)</f>
        <v>3</v>
      </c>
      <c r="AF7" s="135" t="n">
        <f aca="false">S7</f>
        <v>3</v>
      </c>
      <c r="AG7" s="135" t="n">
        <f aca="false">AA7</f>
        <v>3</v>
      </c>
      <c r="AH7" s="145" t="n">
        <f aca="false">K7*2</f>
        <v>6</v>
      </c>
      <c r="AI7" s="149" t="n">
        <f aca="false">((AA7*T7)+(AB7*U7)+(AC7*V7)+(AD7*W7)+(AE7*X7)+(AF7*Y7)+(AG7*R7*1000))/1000</f>
        <v>52.7783042898341</v>
      </c>
      <c r="AJ7" s="149" t="n">
        <f aca="false">(AH7*Z7)/1000</f>
        <v>40.86</v>
      </c>
      <c r="AK7" s="145" t="n">
        <f aca="false">ROUND((((AI7*3.083)+(AJ7*3.083))*J7),0)</f>
        <v>0</v>
      </c>
    </row>
    <row r="8" customFormat="false" ht="14.4" hidden="false" customHeight="false" outlineLevel="0" collapsed="false">
      <c r="A8" s="23" t="s">
        <v>207</v>
      </c>
      <c r="B8" s="155" t="n">
        <v>960</v>
      </c>
      <c r="C8" s="153" t="n">
        <v>2.5</v>
      </c>
      <c r="D8" s="154" t="n">
        <f aca="false">IF(B1&lt;=6,IF(C8&lt;=2.5,J13,J15),J16)</f>
        <v>48.41</v>
      </c>
      <c r="E8" s="138" t="n">
        <f aca="false">B8*D8</f>
        <v>46473.6</v>
      </c>
      <c r="F8" s="154" t="n">
        <f aca="false">B8/28</f>
        <v>34.2857142857143</v>
      </c>
      <c r="G8" s="156"/>
      <c r="H8" s="23" t="n">
        <f aca="false">80*12</f>
        <v>960</v>
      </c>
      <c r="I8" s="135" t="n">
        <v>0</v>
      </c>
      <c r="J8" s="141" t="n">
        <f aca="false">ROUND(I8/(K8*L8),1)</f>
        <v>0</v>
      </c>
      <c r="K8" s="142" t="n">
        <v>3</v>
      </c>
      <c r="L8" s="143" t="n">
        <v>6</v>
      </c>
      <c r="M8" s="144" t="n">
        <v>10</v>
      </c>
      <c r="N8" s="145" t="n">
        <f aca="false">(AA8+AC8+AB8+AD8+AE8+AF8)*J8</f>
        <v>0</v>
      </c>
      <c r="O8" s="130"/>
      <c r="P8" s="146" t="n">
        <f aca="false">M8*304.8</f>
        <v>3048</v>
      </c>
      <c r="Q8" s="144" t="n">
        <v>17</v>
      </c>
      <c r="R8" s="147" t="n">
        <f aca="false">IF("H4"&lt;=390,K8*2,K8*2.3)</f>
        <v>6.9</v>
      </c>
      <c r="S8" s="135" t="n">
        <f aca="false">ROUND(IF(H7&lt;=390,IF(L8&lt;=5,((L8*1.015)/2.5)+1,((L8*1.015)/2.5)+1),((L8*1.143)/2.8)+1),0)</f>
        <v>3</v>
      </c>
      <c r="T8" s="146" t="n">
        <f aca="false">P8</f>
        <v>3048</v>
      </c>
      <c r="U8" s="146" t="n">
        <f aca="false">IF(K8&gt;=6,((Y8-T8)/5)+T8,0)</f>
        <v>0</v>
      </c>
      <c r="V8" s="146" t="n">
        <f aca="false">IF(K8&gt;=5,IF(U8&gt;0,((Y8-T8)/5)+U8,((Y8-T8)/4)+T8),0)</f>
        <v>0</v>
      </c>
      <c r="W8" s="146" t="n">
        <f aca="false">IF(K8&gt;=4,IF(U8&gt;0,((Y8-T8)/5)+V8,IF(V8&gt;0,((Y8-T8)/4)+V8,((Y8-T8)/3)+T8)),0)</f>
        <v>0</v>
      </c>
      <c r="X8" s="148" t="n">
        <f aca="false">IF(K8&gt;=3,IF(U8&gt;0,((Y8-T8)/5)+W8,IF(V8&gt;0,((Y8-T8)/4)+W8,IF(W8&gt;0,((Y8-T8)/3)+W8,((Y8-T8)/2)+T8))),0)</f>
        <v>3917.2210781407</v>
      </c>
      <c r="Y8" s="146" t="n">
        <f aca="false">(SIN(Q8*PI()/180)*((R8*1000)-954))+T8</f>
        <v>4786.44215628139</v>
      </c>
      <c r="Z8" s="146" t="n">
        <f aca="false">IF("H4"&lt;=390,L8*1015,L8*1135)</f>
        <v>6810</v>
      </c>
      <c r="AA8" s="135" t="n">
        <f aca="false">S8</f>
        <v>3</v>
      </c>
      <c r="AB8" s="135" t="n">
        <f aca="false">IF(U8&gt;0,S8,0)</f>
        <v>0</v>
      </c>
      <c r="AC8" s="135" t="n">
        <f aca="false">IF(V8&gt;0,S8,0)</f>
        <v>0</v>
      </c>
      <c r="AD8" s="135" t="n">
        <f aca="false">IF(W8&gt;0,S8,0)</f>
        <v>0</v>
      </c>
      <c r="AE8" s="135" t="n">
        <f aca="false">IF(X8&gt;0,S8,0)</f>
        <v>3</v>
      </c>
      <c r="AF8" s="135" t="n">
        <f aca="false">S8</f>
        <v>3</v>
      </c>
      <c r="AG8" s="135" t="n">
        <f aca="false">AA8</f>
        <v>3</v>
      </c>
      <c r="AH8" s="145" t="n">
        <f aca="false">K8*2</f>
        <v>6</v>
      </c>
      <c r="AI8" s="149" t="n">
        <f aca="false">((AA8*T8)+(AB8*U8)+(AC8*V8)+(AD8*W8)+(AE8*X8)+(AF8*Y8)+(AG8*R8*1000))/1000</f>
        <v>55.9549897032663</v>
      </c>
      <c r="AJ8" s="149" t="n">
        <f aca="false">(AH8*Z8)/1000</f>
        <v>40.86</v>
      </c>
      <c r="AK8" s="145" t="n">
        <f aca="false">ROUND((((AI8*3.083)+(AJ8*3.083))*J8),0)</f>
        <v>0</v>
      </c>
    </row>
    <row r="9" customFormat="false" ht="14.4" hidden="false" customHeight="false" outlineLevel="0" collapsed="false">
      <c r="A9" s="23" t="s">
        <v>75</v>
      </c>
      <c r="B9" s="135" t="n">
        <f aca="false">B6</f>
        <v>12</v>
      </c>
      <c r="C9" s="157" t="str">
        <f aca="false">(IF(B1&lt;=5,P12,IF(B1&lt;=8,P13,IF(B1&lt;=11,P14,IF(B1&lt;=16,P16,IF(B1&lt;=21,P17,IF(B1&lt;=25,P18,IF(B1&lt;=35,P19,IF(B1&lt;=55,P20,IF(B1&lt;=60,P21,IF(B1&lt;=65,P22,IF(B1&lt;=80,P23,IF(B1&lt;=100,P24,IF(B1&lt;=250,P25,P26))))))))))))))</f>
        <v>1-4kW</v>
      </c>
      <c r="D9" s="158" t="n">
        <f aca="false">(IF(B1&lt;=4,Q12,IF(B1&lt;=6,Q13,IF(B1&lt;=10,Q14,IF(B1&lt;=16,Q16,IF(B1&lt;=21,Q17,IF(B1&lt;=25,Q18,IF(B1&lt;=35,Q19,IF(B1&lt;=55,Q20,IF(B1&lt;=60,Q21,IF(B1&lt;=65,Q22,IF(B1&lt;=80,Q23,IF(B1&lt;=100,Q24,IF(B1&lt;=250,Q25,Q26))))))))))))))</f>
        <v>1910</v>
      </c>
      <c r="E9" s="138" t="n">
        <f aca="false">B9*D9</f>
        <v>22920</v>
      </c>
      <c r="F9" s="159"/>
      <c r="G9" s="23"/>
      <c r="H9" s="127"/>
      <c r="I9" s="127"/>
      <c r="J9" s="127"/>
      <c r="K9" s="127"/>
      <c r="L9" s="127"/>
      <c r="M9" s="23"/>
      <c r="N9" s="23"/>
      <c r="O9" s="127"/>
      <c r="P9" s="23"/>
      <c r="Q9" s="23"/>
      <c r="R9" s="23"/>
      <c r="S9" s="23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</row>
    <row r="10" customFormat="false" ht="14.4" hidden="false" customHeight="false" outlineLevel="0" collapsed="false">
      <c r="A10" s="23" t="s">
        <v>89</v>
      </c>
      <c r="B10" s="135" t="n">
        <f aca="false">B5*4</f>
        <v>288</v>
      </c>
      <c r="C10" s="130" t="s">
        <v>91</v>
      </c>
      <c r="D10" s="160" t="n">
        <v>13</v>
      </c>
      <c r="E10" s="138" t="n">
        <f aca="false">B10*D10</f>
        <v>3744</v>
      </c>
      <c r="F10" s="139"/>
      <c r="G10" s="160"/>
      <c r="H10" s="127" t="n">
        <f aca="false">H4*B5</f>
        <v>38880</v>
      </c>
      <c r="I10" s="161" t="n">
        <f aca="false">H10/28</f>
        <v>1388.57142857143</v>
      </c>
      <c r="J10" s="162" t="n">
        <f aca="false">H10/B6</f>
        <v>3240</v>
      </c>
      <c r="K10" s="127"/>
      <c r="L10" s="23"/>
      <c r="M10" s="134" t="s">
        <v>78</v>
      </c>
      <c r="N10" s="134"/>
      <c r="O10" s="23"/>
      <c r="P10" s="134" t="s">
        <v>75</v>
      </c>
      <c r="Q10" s="134"/>
      <c r="R10" s="134" t="s">
        <v>57</v>
      </c>
      <c r="S10" s="134"/>
      <c r="T10" s="127"/>
      <c r="U10" s="163" t="s">
        <v>208</v>
      </c>
      <c r="V10" s="163"/>
      <c r="W10" s="163"/>
      <c r="X10" s="127"/>
      <c r="Y10" s="127" t="s">
        <v>209</v>
      </c>
      <c r="Z10" s="164" t="s">
        <v>210</v>
      </c>
      <c r="AA10" s="164"/>
      <c r="AB10" s="164"/>
      <c r="AC10" s="127"/>
      <c r="AD10" s="127"/>
      <c r="AE10" s="127"/>
      <c r="AF10" s="127"/>
      <c r="AG10" s="127"/>
      <c r="AH10" s="127"/>
      <c r="AI10" s="127"/>
      <c r="AJ10" s="127"/>
      <c r="AK10" s="127"/>
    </row>
    <row r="11" customFormat="false" ht="14.4" hidden="false" customHeight="false" outlineLevel="0" collapsed="false">
      <c r="A11" s="23" t="s">
        <v>211</v>
      </c>
      <c r="B11" s="135" t="n">
        <f aca="false">N5+N6+N7+N8</f>
        <v>30</v>
      </c>
      <c r="C11" s="130" t="s">
        <v>212</v>
      </c>
      <c r="D11" s="160" t="n">
        <v>32</v>
      </c>
      <c r="E11" s="138" t="n">
        <f aca="false">B11*D11</f>
        <v>960</v>
      </c>
      <c r="F11" s="139"/>
      <c r="G11" s="160"/>
      <c r="H11" s="127"/>
      <c r="I11" s="127" t="s">
        <v>213</v>
      </c>
      <c r="J11" s="165" t="n">
        <f aca="false">K11*1.03</f>
        <v>26.78</v>
      </c>
      <c r="K11" s="127" t="n">
        <v>26</v>
      </c>
      <c r="L11" s="23"/>
      <c r="M11" s="23" t="s">
        <v>214</v>
      </c>
      <c r="N11" s="23" t="s">
        <v>215</v>
      </c>
      <c r="O11" s="23"/>
      <c r="P11" s="23" t="s">
        <v>214</v>
      </c>
      <c r="Q11" s="23" t="s">
        <v>215</v>
      </c>
      <c r="R11" s="23" t="s">
        <v>214</v>
      </c>
      <c r="S11" s="23" t="s">
        <v>215</v>
      </c>
      <c r="T11" s="127"/>
      <c r="U11" s="127" t="s">
        <v>214</v>
      </c>
      <c r="V11" s="127" t="s">
        <v>172</v>
      </c>
      <c r="W11" s="127" t="s">
        <v>216</v>
      </c>
      <c r="X11" s="127"/>
      <c r="Y11" s="127" t="s">
        <v>217</v>
      </c>
      <c r="Z11" s="127" t="s">
        <v>218</v>
      </c>
      <c r="AA11" s="127" t="s">
        <v>62</v>
      </c>
      <c r="AB11" s="127" t="s">
        <v>219</v>
      </c>
      <c r="AC11" s="127"/>
      <c r="AD11" s="127"/>
      <c r="AE11" s="127"/>
      <c r="AF11" s="127"/>
      <c r="AG11" s="127"/>
      <c r="AH11" s="127"/>
      <c r="AI11" s="127"/>
      <c r="AJ11" s="127"/>
      <c r="AK11" s="127"/>
    </row>
    <row r="12" customFormat="false" ht="14.4" hidden="false" customHeight="false" outlineLevel="0" collapsed="false">
      <c r="A12" s="23" t="s">
        <v>220</v>
      </c>
      <c r="B12" s="135" t="n">
        <f aca="false">B11*4</f>
        <v>120</v>
      </c>
      <c r="C12" s="166" t="s">
        <v>97</v>
      </c>
      <c r="D12" s="160" t="n">
        <v>10</v>
      </c>
      <c r="E12" s="138" t="n">
        <f aca="false">B12*D12</f>
        <v>1200</v>
      </c>
      <c r="F12" s="139"/>
      <c r="G12" s="160"/>
      <c r="H12" s="127"/>
      <c r="I12" s="127" t="s">
        <v>221</v>
      </c>
      <c r="J12" s="165" t="n">
        <f aca="false">K12*1.03</f>
        <v>36.05</v>
      </c>
      <c r="K12" s="127" t="n">
        <v>35</v>
      </c>
      <c r="L12" s="23"/>
      <c r="M12" s="23" t="s">
        <v>222</v>
      </c>
      <c r="N12" s="167" t="n">
        <v>1150</v>
      </c>
      <c r="O12" s="23"/>
      <c r="P12" s="23" t="s">
        <v>223</v>
      </c>
      <c r="Q12" s="167" t="n">
        <v>1910</v>
      </c>
      <c r="R12" s="23" t="s">
        <v>224</v>
      </c>
      <c r="S12" s="167" t="n">
        <v>15500</v>
      </c>
      <c r="T12" s="168"/>
      <c r="U12" s="168" t="s">
        <v>225</v>
      </c>
      <c r="V12" s="169" t="n">
        <v>4791</v>
      </c>
      <c r="W12" s="168"/>
      <c r="X12" s="168"/>
      <c r="Y12" s="170" t="s">
        <v>226</v>
      </c>
      <c r="Z12" s="127"/>
      <c r="AA12" s="127" t="s">
        <v>227</v>
      </c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</row>
    <row r="13" customFormat="false" ht="14.4" hidden="false" customHeight="false" outlineLevel="0" collapsed="false">
      <c r="A13" s="23" t="s">
        <v>228</v>
      </c>
      <c r="B13" s="135" t="n">
        <f aca="false">B11</f>
        <v>30</v>
      </c>
      <c r="C13" s="130" t="s">
        <v>229</v>
      </c>
      <c r="D13" s="160" t="n">
        <v>270</v>
      </c>
      <c r="E13" s="138" t="n">
        <f aca="false">B13*D13</f>
        <v>8100</v>
      </c>
      <c r="F13" s="139"/>
      <c r="G13" s="160"/>
      <c r="H13" s="127"/>
      <c r="I13" s="127" t="s">
        <v>230</v>
      </c>
      <c r="J13" s="165" t="n">
        <f aca="false">K13*1.03</f>
        <v>48.41</v>
      </c>
      <c r="K13" s="127" t="n">
        <v>47</v>
      </c>
      <c r="L13" s="23"/>
      <c r="M13" s="23" t="s">
        <v>231</v>
      </c>
      <c r="N13" s="167" t="n">
        <v>2205</v>
      </c>
      <c r="O13" s="23" t="n">
        <v>2645</v>
      </c>
      <c r="P13" s="23" t="s">
        <v>232</v>
      </c>
      <c r="Q13" s="167" t="n">
        <v>3180</v>
      </c>
      <c r="R13" s="23" t="s">
        <v>233</v>
      </c>
      <c r="S13" s="167" t="n">
        <v>17000</v>
      </c>
      <c r="T13" s="127"/>
      <c r="U13" s="127" t="s">
        <v>234</v>
      </c>
      <c r="V13" s="169" t="n">
        <v>15606</v>
      </c>
      <c r="W13" s="127"/>
      <c r="X13" s="127"/>
      <c r="Y13" s="127" t="s">
        <v>235</v>
      </c>
      <c r="Z13" s="127"/>
      <c r="AA13" s="127" t="s">
        <v>236</v>
      </c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</row>
    <row r="14" customFormat="false" ht="14.4" hidden="false" customHeight="false" outlineLevel="0" collapsed="false">
      <c r="A14" s="23" t="s">
        <v>237</v>
      </c>
      <c r="B14" s="150" t="n">
        <f aca="false">B13*1</f>
        <v>30</v>
      </c>
      <c r="C14" s="130" t="s">
        <v>238</v>
      </c>
      <c r="D14" s="160" t="n">
        <v>12</v>
      </c>
      <c r="E14" s="138" t="n">
        <f aca="false">B14*D14</f>
        <v>360</v>
      </c>
      <c r="F14" s="139"/>
      <c r="G14" s="160"/>
      <c r="H14" s="127"/>
      <c r="I14" s="127" t="s">
        <v>230</v>
      </c>
      <c r="J14" s="165" t="n">
        <f aca="false">K14*1.03</f>
        <v>96.82</v>
      </c>
      <c r="K14" s="127" t="n">
        <f aca="false">K13*2</f>
        <v>94</v>
      </c>
      <c r="L14" s="23"/>
      <c r="M14" s="23" t="s">
        <v>239</v>
      </c>
      <c r="N14" s="167" t="n">
        <v>5073</v>
      </c>
      <c r="O14" s="23"/>
      <c r="P14" s="23" t="s">
        <v>240</v>
      </c>
      <c r="Q14" s="167" t="n">
        <v>6320</v>
      </c>
      <c r="R14" s="23" t="s">
        <v>241</v>
      </c>
      <c r="S14" s="167" t="n">
        <v>17500</v>
      </c>
      <c r="T14" s="127"/>
      <c r="U14" s="127" t="s">
        <v>242</v>
      </c>
      <c r="V14" s="169" t="n">
        <v>23060</v>
      </c>
      <c r="W14" s="127"/>
      <c r="X14" s="127"/>
      <c r="Y14" s="127" t="s">
        <v>243</v>
      </c>
      <c r="Z14" s="127"/>
      <c r="AA14" s="127" t="s">
        <v>244</v>
      </c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</row>
    <row r="15" customFormat="false" ht="14.4" hidden="false" customHeight="false" outlineLevel="0" collapsed="false">
      <c r="A15" s="23" t="s">
        <v>78</v>
      </c>
      <c r="B15" s="150" t="n">
        <v>0</v>
      </c>
      <c r="C15" s="171" t="str">
        <f aca="false">(IF(B1&lt;=5,M12,IF(B1&lt;=10,M13,IF(B1&lt;=18,M14,IF(B1&lt;=25,M16,IF(B1&lt;=35,M17,IF(B1&lt;=60,M18,IF(B1&lt;=70,M19,IF(B1&lt;=120,M22,IF(B1&lt;=160,M23,IF(B1&lt;=200,M24,IF(B1&lt;=250,M25,M26))))))))))))</f>
        <v>1kW - 5kW</v>
      </c>
      <c r="D15" s="172" t="n">
        <f aca="false">(IF(B1&lt;=5,N12,IF(B1&lt;=10,N13,IF(B1&lt;=18,N14,IF(B1&lt;=25,N16,IF(B1&lt;=35,N17,IF(B1&lt;=60,N18,IF(B1&lt;=70,N19,IF(B1&lt;=120,N20,IF(B1&lt;=160,N23,IF(B1&lt;=200,N24,IF(B1&lt;=250,N25,N26))))))))))))</f>
        <v>1150</v>
      </c>
      <c r="E15" s="138" t="n">
        <f aca="false">B15*D15</f>
        <v>0</v>
      </c>
      <c r="F15" s="173"/>
      <c r="G15" s="140"/>
      <c r="H15" s="127"/>
      <c r="I15" s="127" t="s">
        <v>245</v>
      </c>
      <c r="J15" s="165" t="n">
        <f aca="false">K15*1.03</f>
        <v>43.775</v>
      </c>
      <c r="K15" s="127" t="n">
        <v>42.5</v>
      </c>
      <c r="L15" s="23"/>
      <c r="M15" s="23"/>
      <c r="N15" s="167"/>
      <c r="O15" s="23"/>
      <c r="P15" s="23"/>
      <c r="Q15" s="167"/>
      <c r="R15" s="23"/>
      <c r="S15" s="167"/>
      <c r="T15" s="127"/>
      <c r="U15" s="127"/>
      <c r="V15" s="169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</row>
    <row r="16" customFormat="false" ht="14.4" hidden="false" customHeight="false" outlineLevel="0" collapsed="false">
      <c r="A16" s="23" t="s">
        <v>246</v>
      </c>
      <c r="B16" s="174" t="n">
        <f aca="false">((AK5+AK6+AK7+AK8)*2.1)</f>
        <v>2333.1</v>
      </c>
      <c r="C16" s="175" t="n">
        <f aca="false">D16</f>
        <v>76</v>
      </c>
      <c r="D16" s="176" t="n">
        <v>76</v>
      </c>
      <c r="E16" s="138" t="n">
        <f aca="false">B16*D16</f>
        <v>177315.6</v>
      </c>
      <c r="F16" s="139"/>
      <c r="G16" s="177"/>
      <c r="H16" s="127"/>
      <c r="I16" s="127" t="s">
        <v>245</v>
      </c>
      <c r="J16" s="165" t="n">
        <f aca="false">K16*1.03</f>
        <v>87.55</v>
      </c>
      <c r="K16" s="127" t="n">
        <f aca="false">K15*2</f>
        <v>85</v>
      </c>
      <c r="L16" s="23"/>
      <c r="M16" s="23" t="s">
        <v>247</v>
      </c>
      <c r="N16" s="167" t="n">
        <v>6289</v>
      </c>
      <c r="O16" s="23"/>
      <c r="P16" s="23" t="s">
        <v>248</v>
      </c>
      <c r="Q16" s="167" t="n">
        <v>6245</v>
      </c>
      <c r="R16" s="23" t="s">
        <v>249</v>
      </c>
      <c r="S16" s="167" t="n">
        <v>20803</v>
      </c>
      <c r="T16" s="127"/>
      <c r="U16" s="127" t="s">
        <v>250</v>
      </c>
      <c r="V16" s="169" t="n">
        <v>51123</v>
      </c>
      <c r="W16" s="127"/>
      <c r="X16" s="127"/>
      <c r="Y16" s="127"/>
      <c r="Z16" s="127"/>
      <c r="AA16" s="127" t="s">
        <v>251</v>
      </c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</row>
    <row r="17" customFormat="false" ht="14.4" hidden="false" customHeight="false" outlineLevel="0" collapsed="false">
      <c r="A17" s="23" t="s">
        <v>252</v>
      </c>
      <c r="B17" s="135" t="n">
        <f aca="false">(((((AA5*T5)+(AB5*U5)+(AC5*V5)+(AD5*W5)+(AE5*X5)+(AF5*Y5)+(AG5*R5*1000))*J5)/1000)/6)*1.5</f>
        <v>16.3598573162066</v>
      </c>
      <c r="C17" s="178" t="n">
        <v>18.5</v>
      </c>
      <c r="D17" s="176" t="n">
        <v>96</v>
      </c>
      <c r="E17" s="138"/>
      <c r="F17" s="139"/>
      <c r="G17" s="179" t="n">
        <v>190</v>
      </c>
      <c r="H17" s="127"/>
      <c r="I17" s="127" t="s">
        <v>253</v>
      </c>
      <c r="J17" s="165" t="n">
        <f aca="false">K17*1.03</f>
        <v>25.956</v>
      </c>
      <c r="K17" s="127" t="n">
        <v>25.2</v>
      </c>
      <c r="L17" s="23"/>
      <c r="M17" s="23" t="s">
        <v>254</v>
      </c>
      <c r="N17" s="180" t="n">
        <v>8840</v>
      </c>
      <c r="O17" s="23"/>
      <c r="P17" s="23" t="s">
        <v>255</v>
      </c>
      <c r="Q17" s="180" t="n">
        <v>8375</v>
      </c>
      <c r="R17" s="23" t="s">
        <v>256</v>
      </c>
      <c r="S17" s="167" t="n">
        <v>29797</v>
      </c>
      <c r="T17" s="127"/>
      <c r="U17" s="127"/>
      <c r="V17" s="127"/>
      <c r="W17" s="127"/>
      <c r="X17" s="168" t="n">
        <f aca="false">X5-W5</f>
        <v>0</v>
      </c>
      <c r="Y17" s="168" t="n">
        <f aca="false">Y5-X5</f>
        <v>3563.37154413773</v>
      </c>
      <c r="Z17" s="127"/>
      <c r="AA17" s="127" t="s">
        <v>257</v>
      </c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</row>
    <row r="18" customFormat="false" ht="14.4" hidden="false" customHeight="false" outlineLevel="0" collapsed="false">
      <c r="A18" s="23" t="s">
        <v>258</v>
      </c>
      <c r="B18" s="135" t="n">
        <f aca="false">((((Z5/1000)*AH5)*J5)/6)*1.5</f>
        <v>13.62</v>
      </c>
      <c r="C18" s="178" t="n">
        <v>18.5</v>
      </c>
      <c r="D18" s="176" t="n">
        <v>85</v>
      </c>
      <c r="E18" s="138"/>
      <c r="F18" s="139"/>
      <c r="G18" s="179" t="n">
        <v>19</v>
      </c>
      <c r="H18" s="127"/>
      <c r="I18" s="127" t="s">
        <v>99</v>
      </c>
      <c r="J18" s="165" t="n">
        <f aca="false">K18*1.03</f>
        <v>23.7209</v>
      </c>
      <c r="K18" s="127" t="n">
        <v>23.03</v>
      </c>
      <c r="L18" s="23"/>
      <c r="M18" s="23" t="s">
        <v>259</v>
      </c>
      <c r="N18" s="167" t="n">
        <v>22403</v>
      </c>
      <c r="O18" s="23"/>
      <c r="P18" s="23" t="s">
        <v>260</v>
      </c>
      <c r="Q18" s="167" t="n">
        <v>6009</v>
      </c>
      <c r="R18" s="23" t="s">
        <v>261</v>
      </c>
      <c r="S18" s="167" t="n">
        <v>30615</v>
      </c>
      <c r="T18" s="127"/>
      <c r="U18" s="127"/>
      <c r="V18" s="127"/>
      <c r="W18" s="127"/>
      <c r="X18" s="168" t="n">
        <f aca="false">Y5+X17</f>
        <v>3563.37154413773</v>
      </c>
      <c r="Y18" s="127" t="n">
        <f aca="false">Y7/304.8</f>
        <v>13.3875067729907</v>
      </c>
      <c r="Z18" s="127"/>
      <c r="AA18" s="127" t="s">
        <v>262</v>
      </c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</row>
    <row r="19" customFormat="false" ht="14.4" hidden="false" customHeight="false" outlineLevel="0" collapsed="false">
      <c r="A19" s="23" t="s">
        <v>263</v>
      </c>
      <c r="B19" s="181" t="n">
        <v>1</v>
      </c>
      <c r="C19" s="130" t="s">
        <v>264</v>
      </c>
      <c r="D19" s="182" t="n">
        <v>1500</v>
      </c>
      <c r="E19" s="138" t="n">
        <f aca="false">B19*D19</f>
        <v>1500</v>
      </c>
      <c r="F19" s="139"/>
      <c r="G19" s="179" t="n">
        <f aca="false">G17*G18</f>
        <v>3610</v>
      </c>
      <c r="H19" s="127"/>
      <c r="I19" s="127" t="s">
        <v>108</v>
      </c>
      <c r="J19" s="165" t="n">
        <f aca="false">K19*1.03</f>
        <v>24.308</v>
      </c>
      <c r="K19" s="127" t="n">
        <v>23.6</v>
      </c>
      <c r="L19" s="23"/>
      <c r="M19" s="23" t="s">
        <v>265</v>
      </c>
      <c r="N19" s="167" t="n">
        <v>25915</v>
      </c>
      <c r="O19" s="23"/>
      <c r="P19" s="23" t="s">
        <v>266</v>
      </c>
      <c r="Q19" s="167" t="n">
        <v>8878</v>
      </c>
      <c r="R19" s="23" t="s">
        <v>267</v>
      </c>
      <c r="S19" s="167" t="n">
        <v>49996</v>
      </c>
      <c r="T19" s="127"/>
      <c r="U19" s="127"/>
      <c r="V19" s="127"/>
      <c r="W19" s="127"/>
      <c r="X19" s="127"/>
      <c r="Y19" s="127"/>
      <c r="Z19" s="127"/>
      <c r="AA19" s="127" t="s">
        <v>268</v>
      </c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</row>
    <row r="20" customFormat="false" ht="14.4" hidden="false" customHeight="false" outlineLevel="0" collapsed="false">
      <c r="A20" s="23" t="s">
        <v>111</v>
      </c>
      <c r="B20" s="155" t="n">
        <v>60</v>
      </c>
      <c r="C20" s="183" t="n">
        <v>25</v>
      </c>
      <c r="D20" s="184" t="n">
        <v>56</v>
      </c>
      <c r="E20" s="138" t="n">
        <f aca="false">B20*D20</f>
        <v>3360</v>
      </c>
      <c r="F20" s="139"/>
      <c r="G20" s="179"/>
      <c r="H20" s="127"/>
      <c r="I20" s="127"/>
      <c r="J20" s="127"/>
      <c r="K20" s="127"/>
      <c r="L20" s="23"/>
      <c r="M20" s="23" t="s">
        <v>269</v>
      </c>
      <c r="N20" s="167" t="n">
        <v>46025</v>
      </c>
      <c r="O20" s="23"/>
      <c r="P20" s="23" t="s">
        <v>270</v>
      </c>
      <c r="Q20" s="167" t="n">
        <v>9125</v>
      </c>
      <c r="R20" s="23" t="s">
        <v>271</v>
      </c>
      <c r="S20" s="167" t="n">
        <v>51262</v>
      </c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</row>
    <row r="21" customFormat="false" ht="14.4" hidden="false" customHeight="false" outlineLevel="0" collapsed="false">
      <c r="A21" s="23" t="s">
        <v>272</v>
      </c>
      <c r="B21" s="150" t="n">
        <v>19</v>
      </c>
      <c r="C21" s="185" t="n">
        <v>4</v>
      </c>
      <c r="D21" s="182" t="n">
        <v>200</v>
      </c>
      <c r="E21" s="138" t="n">
        <f aca="false">B21*D21</f>
        <v>3800</v>
      </c>
      <c r="F21" s="139"/>
      <c r="G21" s="186"/>
      <c r="H21" s="187" t="n">
        <f aca="false">(115+30)*19</f>
        <v>2755</v>
      </c>
      <c r="I21" s="127"/>
      <c r="J21" s="127"/>
      <c r="K21" s="127"/>
      <c r="L21" s="180" t="n">
        <v>11191</v>
      </c>
      <c r="M21" s="23" t="s">
        <v>273</v>
      </c>
      <c r="N21" s="167" t="n">
        <v>64987</v>
      </c>
      <c r="O21" s="23"/>
      <c r="P21" s="23" t="s">
        <v>274</v>
      </c>
      <c r="Q21" s="167" t="n">
        <v>6586</v>
      </c>
      <c r="R21" s="23" t="s">
        <v>275</v>
      </c>
      <c r="S21" s="167" t="n">
        <v>66374</v>
      </c>
      <c r="T21" s="167" t="n">
        <v>69500</v>
      </c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</row>
    <row r="22" customFormat="false" ht="14.4" hidden="false" customHeight="false" outlineLevel="0" collapsed="false">
      <c r="A22" s="23" t="s">
        <v>276</v>
      </c>
      <c r="B22" s="150" t="n">
        <v>0</v>
      </c>
      <c r="C22" s="188" t="n">
        <v>150</v>
      </c>
      <c r="D22" s="182" t="n">
        <v>350</v>
      </c>
      <c r="E22" s="167" t="n">
        <f aca="false">B22*D22</f>
        <v>0</v>
      </c>
      <c r="F22" s="139"/>
      <c r="G22" s="179"/>
      <c r="H22" s="127"/>
      <c r="I22" s="127" t="n">
        <f aca="false">38*2</f>
        <v>76</v>
      </c>
      <c r="J22" s="127"/>
      <c r="K22" s="127"/>
      <c r="L22" s="23"/>
      <c r="M22" s="23" t="s">
        <v>277</v>
      </c>
      <c r="N22" s="167" t="n">
        <v>77032</v>
      </c>
      <c r="O22" s="23"/>
      <c r="P22" s="23" t="s">
        <v>278</v>
      </c>
      <c r="Q22" s="167" t="n">
        <v>13009</v>
      </c>
      <c r="R22" s="23" t="s">
        <v>279</v>
      </c>
      <c r="S22" s="167" t="n">
        <v>80000</v>
      </c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</row>
    <row r="23" customFormat="false" ht="14.4" hidden="false" customHeight="false" outlineLevel="0" collapsed="false">
      <c r="A23" s="23" t="s">
        <v>108</v>
      </c>
      <c r="B23" s="189" t="n">
        <f aca="false">63*19</f>
        <v>1197</v>
      </c>
      <c r="C23" s="185" t="n">
        <f aca="false">C7</f>
        <v>4</v>
      </c>
      <c r="D23" s="190" t="n">
        <v>7</v>
      </c>
      <c r="E23" s="138" t="n">
        <f aca="false">B23*D23</f>
        <v>8379</v>
      </c>
      <c r="F23" s="139"/>
      <c r="G23" s="179"/>
      <c r="H23" s="127"/>
      <c r="I23" s="127" t="n">
        <f aca="false">J23*4</f>
        <v>100</v>
      </c>
      <c r="J23" s="127" t="n">
        <v>25</v>
      </c>
      <c r="K23" s="127"/>
      <c r="L23" s="23"/>
      <c r="M23" s="23" t="s">
        <v>280</v>
      </c>
      <c r="N23" s="167" t="n">
        <v>98683</v>
      </c>
      <c r="O23" s="23"/>
      <c r="P23" s="23" t="s">
        <v>281</v>
      </c>
      <c r="Q23" s="167" t="n">
        <v>13410</v>
      </c>
      <c r="R23" s="23" t="s">
        <v>282</v>
      </c>
      <c r="S23" s="167" t="n">
        <v>105500</v>
      </c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</row>
    <row r="24" customFormat="false" ht="14.4" hidden="false" customHeight="false" outlineLevel="0" collapsed="false">
      <c r="A24" s="23" t="s">
        <v>108</v>
      </c>
      <c r="B24" s="189" t="n">
        <v>0</v>
      </c>
      <c r="C24" s="183" t="n">
        <v>6</v>
      </c>
      <c r="D24" s="190" t="n">
        <v>28</v>
      </c>
      <c r="E24" s="167" t="n">
        <f aca="false">B24*D24</f>
        <v>0</v>
      </c>
      <c r="F24" s="139"/>
      <c r="G24" s="179"/>
      <c r="H24" s="127"/>
      <c r="I24" s="127"/>
      <c r="J24" s="127"/>
      <c r="K24" s="127"/>
      <c r="L24" s="23"/>
      <c r="M24" s="23" t="s">
        <v>283</v>
      </c>
      <c r="N24" s="167" t="n">
        <v>127820</v>
      </c>
      <c r="O24" s="23"/>
      <c r="P24" s="23" t="s">
        <v>284</v>
      </c>
      <c r="Q24" s="167" t="n">
        <v>16778</v>
      </c>
      <c r="R24" s="23" t="s">
        <v>285</v>
      </c>
      <c r="S24" s="167" t="n">
        <v>119500</v>
      </c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</row>
    <row r="25" customFormat="false" ht="14.4" hidden="false" customHeight="false" outlineLevel="0" collapsed="false">
      <c r="A25" s="23" t="s">
        <v>99</v>
      </c>
      <c r="B25" s="189" t="n">
        <f aca="false">B8/2+(B7/4)+B20+B24/2+(B23/2.7)</f>
        <v>1178.33333333333</v>
      </c>
      <c r="C25" s="188" t="n">
        <v>25</v>
      </c>
      <c r="D25" s="191" t="n">
        <v>12</v>
      </c>
      <c r="E25" s="138" t="n">
        <f aca="false">B25*D25</f>
        <v>14140</v>
      </c>
      <c r="F25" s="139"/>
      <c r="G25" s="140"/>
      <c r="H25" s="127" t="n">
        <f aca="false">B25/40</f>
        <v>29.4583333333333</v>
      </c>
      <c r="I25" s="127"/>
      <c r="J25" s="127"/>
      <c r="K25" s="127"/>
      <c r="L25" s="23"/>
      <c r="M25" s="23" t="s">
        <v>286</v>
      </c>
      <c r="N25" s="167" t="n">
        <v>149466</v>
      </c>
      <c r="O25" s="23"/>
      <c r="P25" s="23" t="s">
        <v>287</v>
      </c>
      <c r="Q25" s="167" t="n">
        <v>46565</v>
      </c>
      <c r="R25" s="23" t="s">
        <v>288</v>
      </c>
      <c r="S25" s="167" t="n">
        <v>138500</v>
      </c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</row>
    <row r="26" customFormat="false" ht="14.4" hidden="false" customHeight="false" outlineLevel="0" collapsed="false">
      <c r="A26" s="23" t="s">
        <v>289</v>
      </c>
      <c r="B26" s="150" t="n">
        <v>1600</v>
      </c>
      <c r="C26" s="188" t="n">
        <v>25</v>
      </c>
      <c r="D26" s="160" t="n">
        <v>2.5</v>
      </c>
      <c r="E26" s="138" t="n">
        <f aca="false">B26*D26</f>
        <v>4000</v>
      </c>
      <c r="F26" s="139"/>
      <c r="G26" s="140"/>
      <c r="H26" s="127" t="n">
        <f aca="false">H25/3</f>
        <v>9.81944444444444</v>
      </c>
      <c r="I26" s="127"/>
      <c r="J26" s="127"/>
      <c r="K26" s="127"/>
      <c r="L26" s="127"/>
      <c r="M26" s="127" t="s">
        <v>290</v>
      </c>
      <c r="N26" s="169" t="n">
        <v>200000</v>
      </c>
      <c r="O26" s="127"/>
      <c r="P26" s="127" t="s">
        <v>291</v>
      </c>
      <c r="Q26" s="167" t="n">
        <v>100000</v>
      </c>
      <c r="R26" s="23" t="s">
        <v>292</v>
      </c>
      <c r="S26" s="167" t="n">
        <v>260000</v>
      </c>
      <c r="T26" s="127" t="n">
        <v>145000</v>
      </c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</row>
    <row r="27" customFormat="false" ht="14.4" hidden="false" customHeight="false" outlineLevel="0" collapsed="false">
      <c r="A27" s="23" t="s">
        <v>105</v>
      </c>
      <c r="B27" s="150" t="n">
        <f aca="false">B6</f>
        <v>12</v>
      </c>
      <c r="C27" s="135" t="n">
        <v>1</v>
      </c>
      <c r="D27" s="160" t="n">
        <v>216</v>
      </c>
      <c r="E27" s="138" t="n">
        <f aca="false">B27*D27</f>
        <v>2592</v>
      </c>
      <c r="F27" s="139"/>
      <c r="G27" s="140"/>
      <c r="H27" s="127" t="n">
        <f aca="false">B25/3</f>
        <v>392.777777777778</v>
      </c>
      <c r="I27" s="127"/>
      <c r="J27" s="127"/>
      <c r="K27" s="127"/>
      <c r="L27" s="127"/>
      <c r="M27" s="127"/>
      <c r="N27" s="127"/>
      <c r="O27" s="127"/>
      <c r="P27" s="127"/>
      <c r="Q27" s="23"/>
      <c r="R27" s="23" t="s">
        <v>293</v>
      </c>
      <c r="S27" s="167" t="n">
        <v>155000</v>
      </c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</row>
    <row r="28" customFormat="false" ht="14.4" hidden="false" customHeight="false" outlineLevel="0" collapsed="false">
      <c r="A28" s="23" t="s">
        <v>294</v>
      </c>
      <c r="B28" s="150" t="n">
        <f aca="false">B27</f>
        <v>12</v>
      </c>
      <c r="C28" s="135" t="n">
        <v>1</v>
      </c>
      <c r="D28" s="160" t="n">
        <v>320</v>
      </c>
      <c r="E28" s="138"/>
      <c r="F28" s="139"/>
      <c r="G28" s="140"/>
      <c r="H28" s="127"/>
      <c r="I28" s="127"/>
      <c r="J28" s="127"/>
      <c r="K28" s="127"/>
      <c r="L28" s="127"/>
      <c r="M28" s="127"/>
      <c r="N28" s="127"/>
      <c r="O28" s="127"/>
      <c r="P28" s="127"/>
      <c r="Q28" s="23"/>
      <c r="R28" s="23" t="s">
        <v>295</v>
      </c>
      <c r="S28" s="167" t="n">
        <f aca="false">S27+S22</f>
        <v>235000</v>
      </c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</row>
    <row r="29" customFormat="false" ht="14.4" hidden="false" customHeight="false" outlineLevel="0" collapsed="false">
      <c r="A29" s="23" t="s">
        <v>296</v>
      </c>
      <c r="B29" s="150" t="n">
        <v>4</v>
      </c>
      <c r="C29" s="183" t="n">
        <v>35</v>
      </c>
      <c r="D29" s="160" t="n">
        <v>7</v>
      </c>
      <c r="E29" s="138" t="n">
        <f aca="false">B29*D29</f>
        <v>28</v>
      </c>
      <c r="F29" s="139"/>
      <c r="G29" s="140"/>
      <c r="H29" s="127"/>
      <c r="I29" s="127"/>
      <c r="J29" s="127"/>
      <c r="K29" s="127"/>
      <c r="L29" s="127"/>
      <c r="M29" s="127"/>
      <c r="N29" s="127"/>
      <c r="O29" s="127"/>
      <c r="P29" s="127"/>
      <c r="Q29" s="23"/>
      <c r="R29" s="23" t="s">
        <v>297</v>
      </c>
      <c r="S29" s="167" t="n">
        <v>285000</v>
      </c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</row>
    <row r="30" customFormat="false" ht="14.4" hidden="false" customHeight="false" outlineLevel="0" collapsed="false">
      <c r="A30" s="23" t="s">
        <v>298</v>
      </c>
      <c r="B30" s="150" t="n">
        <v>43</v>
      </c>
      <c r="C30" s="185" t="n">
        <v>2.5</v>
      </c>
      <c r="D30" s="160" t="n">
        <v>3.5</v>
      </c>
      <c r="E30" s="167" t="n">
        <f aca="false">B30*D30</f>
        <v>150.5</v>
      </c>
      <c r="F30" s="139"/>
      <c r="G30" s="140"/>
      <c r="H30" s="127"/>
      <c r="I30" s="127"/>
      <c r="J30" s="127"/>
      <c r="K30" s="127"/>
      <c r="L30" s="127"/>
      <c r="M30" s="127"/>
      <c r="N30" s="127"/>
      <c r="O30" s="127"/>
      <c r="P30" s="127"/>
      <c r="Q30" s="23"/>
      <c r="R30" s="23" t="s">
        <v>299</v>
      </c>
      <c r="S30" s="23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</row>
    <row r="31" customFormat="false" ht="14.4" hidden="false" customHeight="false" outlineLevel="0" collapsed="false">
      <c r="A31" s="23" t="s">
        <v>300</v>
      </c>
      <c r="B31" s="150" t="n">
        <v>0</v>
      </c>
      <c r="C31" s="185" t="n">
        <v>2.5</v>
      </c>
      <c r="D31" s="192" t="n">
        <v>3</v>
      </c>
      <c r="E31" s="167" t="n">
        <f aca="false">B31*D31</f>
        <v>0</v>
      </c>
      <c r="F31" s="139"/>
      <c r="G31" s="193"/>
      <c r="H31" s="127"/>
      <c r="I31" s="127"/>
      <c r="J31" s="127"/>
      <c r="K31" s="127"/>
      <c r="L31" s="127"/>
      <c r="M31" s="127"/>
      <c r="N31" s="127"/>
      <c r="O31" s="127"/>
      <c r="P31" s="127"/>
      <c r="Q31" s="23"/>
      <c r="R31" s="23" t="s">
        <v>301</v>
      </c>
      <c r="S31" s="23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</row>
    <row r="32" customFormat="false" ht="14.4" hidden="false" customHeight="false" outlineLevel="0" collapsed="false">
      <c r="A32" s="23" t="s">
        <v>298</v>
      </c>
      <c r="B32" s="150" t="n">
        <f aca="false">B5*3</f>
        <v>216</v>
      </c>
      <c r="C32" s="185" t="n">
        <v>2.5</v>
      </c>
      <c r="D32" s="192" t="n">
        <v>1</v>
      </c>
      <c r="E32" s="167" t="n">
        <f aca="false">B32*D32</f>
        <v>216</v>
      </c>
      <c r="F32" s="139"/>
      <c r="G32" s="193"/>
      <c r="H32" s="127"/>
      <c r="I32" s="127"/>
      <c r="J32" s="127"/>
      <c r="K32" s="127"/>
      <c r="L32" s="127"/>
      <c r="M32" s="127"/>
      <c r="N32" s="127"/>
      <c r="O32" s="127"/>
      <c r="P32" s="127"/>
      <c r="Q32" s="23"/>
      <c r="R32" s="23" t="s">
        <v>302</v>
      </c>
      <c r="S32" s="23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</row>
    <row r="33" customFormat="false" ht="14.4" hidden="false" customHeight="false" outlineLevel="0" collapsed="false">
      <c r="A33" s="23" t="s">
        <v>303</v>
      </c>
      <c r="B33" s="150" t="n">
        <f aca="false">IF(B1&lt;=4,2.5,IF(B1&lt;=6,3,IF(B1&lt;=10,4,4)))*B6</f>
        <v>30</v>
      </c>
      <c r="C33" s="135" t="n">
        <v>1</v>
      </c>
      <c r="D33" s="160" t="n">
        <v>25</v>
      </c>
      <c r="E33" s="167" t="n">
        <f aca="false">B33*D33</f>
        <v>750</v>
      </c>
      <c r="F33" s="139"/>
      <c r="G33" s="140"/>
      <c r="H33" s="127"/>
      <c r="I33" s="127"/>
      <c r="J33" s="127"/>
      <c r="K33" s="127"/>
      <c r="L33" s="127"/>
      <c r="M33" s="127"/>
      <c r="N33" s="127"/>
      <c r="O33" s="127"/>
      <c r="P33" s="127"/>
      <c r="Q33" s="23"/>
      <c r="R33" s="23" t="s">
        <v>304</v>
      </c>
      <c r="S33" s="23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</row>
    <row r="34" customFormat="false" ht="14.4" hidden="false" customHeight="false" outlineLevel="0" collapsed="false">
      <c r="A34" s="23" t="s">
        <v>305</v>
      </c>
      <c r="B34" s="150" t="n">
        <v>15</v>
      </c>
      <c r="C34" s="194" t="n">
        <v>1</v>
      </c>
      <c r="D34" s="160" t="n">
        <v>85</v>
      </c>
      <c r="E34" s="167" t="n">
        <f aca="false">B34*D34</f>
        <v>1275</v>
      </c>
      <c r="F34" s="139"/>
      <c r="G34" s="140"/>
      <c r="H34" s="127"/>
      <c r="I34" s="127"/>
      <c r="J34" s="127"/>
      <c r="K34" s="127"/>
      <c r="L34" s="127"/>
      <c r="M34" s="127"/>
      <c r="N34" s="127"/>
      <c r="O34" s="127"/>
      <c r="P34" s="127"/>
      <c r="Q34" s="23"/>
      <c r="R34" s="23" t="s">
        <v>306</v>
      </c>
      <c r="S34" s="23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</row>
    <row r="35" customFormat="false" ht="14.4" hidden="false" customHeight="false" outlineLevel="0" collapsed="false">
      <c r="A35" s="23" t="s">
        <v>307</v>
      </c>
      <c r="B35" s="150" t="n">
        <v>0</v>
      </c>
      <c r="C35" s="194" t="n">
        <v>1</v>
      </c>
      <c r="D35" s="160" t="n">
        <v>6</v>
      </c>
      <c r="E35" s="167" t="n">
        <f aca="false">B35*D35</f>
        <v>0</v>
      </c>
      <c r="F35" s="139"/>
      <c r="G35" s="140"/>
      <c r="H35" s="127"/>
      <c r="I35" s="127"/>
      <c r="J35" s="127"/>
      <c r="K35" s="127"/>
      <c r="L35" s="127"/>
      <c r="M35" s="127"/>
      <c r="N35" s="127"/>
      <c r="O35" s="127"/>
      <c r="P35" s="127"/>
      <c r="Q35" s="23"/>
      <c r="R35" s="23" t="s">
        <v>308</v>
      </c>
      <c r="S35" s="23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</row>
    <row r="36" customFormat="false" ht="14.4" hidden="false" customHeight="false" outlineLevel="0" collapsed="false">
      <c r="A36" s="23" t="s">
        <v>309</v>
      </c>
      <c r="B36" s="150" t="n">
        <v>15</v>
      </c>
      <c r="C36" s="135" t="n">
        <v>1</v>
      </c>
      <c r="D36" s="160" t="n">
        <v>150</v>
      </c>
      <c r="E36" s="167" t="n">
        <f aca="false">B36*D36</f>
        <v>2250</v>
      </c>
      <c r="F36" s="139"/>
      <c r="G36" s="195"/>
      <c r="H36" s="127"/>
      <c r="I36" s="127"/>
      <c r="J36" s="127"/>
      <c r="K36" s="127"/>
      <c r="L36" s="127"/>
      <c r="M36" s="127"/>
      <c r="N36" s="127"/>
      <c r="O36" s="127"/>
      <c r="P36" s="127"/>
      <c r="Q36" s="23"/>
      <c r="R36" s="23" t="s">
        <v>310</v>
      </c>
      <c r="S36" s="167" t="n">
        <v>1125000</v>
      </c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</row>
    <row r="37" customFormat="false" ht="14.4" hidden="false" customHeight="false" outlineLevel="0" collapsed="false">
      <c r="A37" s="23" t="s">
        <v>311</v>
      </c>
      <c r="B37" s="150" t="n">
        <v>22</v>
      </c>
      <c r="C37" s="194" t="n">
        <v>1</v>
      </c>
      <c r="D37" s="190" t="n">
        <v>90</v>
      </c>
      <c r="E37" s="167" t="n">
        <f aca="false">B37*D37</f>
        <v>1980</v>
      </c>
      <c r="F37" s="139"/>
      <c r="G37" s="140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</row>
    <row r="38" customFormat="false" ht="14.4" hidden="false" customHeight="false" outlineLevel="0" collapsed="false">
      <c r="A38" s="23" t="s">
        <v>312</v>
      </c>
      <c r="B38" s="196" t="n">
        <f aca="false">(B5*C5)/1000</f>
        <v>38.88</v>
      </c>
      <c r="C38" s="135" t="n">
        <v>1</v>
      </c>
      <c r="D38" s="137" t="n">
        <v>2800</v>
      </c>
      <c r="E38" s="138" t="n">
        <f aca="false">B38*D38</f>
        <v>108864</v>
      </c>
      <c r="F38" s="139"/>
      <c r="G38" s="140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</row>
    <row r="39" customFormat="false" ht="14.4" hidden="false" customHeight="false" outlineLevel="0" collapsed="false">
      <c r="A39" s="23" t="s">
        <v>313</v>
      </c>
      <c r="B39" s="196" t="n">
        <f aca="false">(B5*C5)/1000</f>
        <v>38.88</v>
      </c>
      <c r="C39" s="135" t="n">
        <v>1</v>
      </c>
      <c r="D39" s="151" t="n">
        <f aca="false">IF(B39&lt;=25,200,IF(B39&lt;=50,150,IF(B39&lt;=100,125,100)))</f>
        <v>150</v>
      </c>
      <c r="E39" s="167" t="n">
        <f aca="false">D39*B39</f>
        <v>5832</v>
      </c>
      <c r="F39" s="139"/>
      <c r="G39" s="140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</row>
    <row r="40" customFormat="false" ht="14.4" hidden="false" customHeight="false" outlineLevel="0" collapsed="false">
      <c r="A40" s="23" t="s">
        <v>314</v>
      </c>
      <c r="B40" s="196" t="n">
        <f aca="false">B39</f>
        <v>38.88</v>
      </c>
      <c r="C40" s="135" t="n">
        <v>1</v>
      </c>
      <c r="D40" s="151" t="n">
        <v>1680</v>
      </c>
      <c r="E40" s="167" t="n">
        <f aca="false">D40*B40</f>
        <v>65318.4</v>
      </c>
      <c r="F40" s="139"/>
      <c r="G40" s="140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</row>
    <row r="41" customFormat="false" ht="14.4" hidden="false" customHeight="false" outlineLevel="0" collapsed="false">
      <c r="A41" s="23" t="s">
        <v>315</v>
      </c>
      <c r="B41" s="196" t="n">
        <f aca="false">B40</f>
        <v>38.88</v>
      </c>
      <c r="C41" s="135" t="n">
        <v>1</v>
      </c>
      <c r="D41" s="151" t="n">
        <f aca="false">IF(B41&lt;=25,200,IF(B41&lt;=50,150,IF(B41&lt;=100,125,100)))</f>
        <v>150</v>
      </c>
      <c r="E41" s="167" t="n">
        <f aca="false">D41*B41</f>
        <v>5832</v>
      </c>
      <c r="F41" s="139"/>
      <c r="G41" s="140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</row>
    <row r="42" customFormat="false" ht="14.4" hidden="false" customHeight="false" outlineLevel="0" collapsed="false">
      <c r="A42" s="23" t="s">
        <v>316</v>
      </c>
      <c r="B42" s="135" t="n">
        <v>30</v>
      </c>
      <c r="C42" s="135" t="n">
        <v>1</v>
      </c>
      <c r="D42" s="151" t="n">
        <v>3.3</v>
      </c>
      <c r="E42" s="167" t="n">
        <f aca="false">G42*D42*B42</f>
        <v>1188</v>
      </c>
      <c r="F42" s="139" t="s">
        <v>317</v>
      </c>
      <c r="G42" s="179" t="n">
        <v>12</v>
      </c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</row>
    <row r="43" customFormat="false" ht="14.4" hidden="false" customHeight="false" outlineLevel="0" collapsed="false">
      <c r="A43" s="23" t="s">
        <v>318</v>
      </c>
      <c r="B43" s="135" t="n">
        <v>1</v>
      </c>
      <c r="C43" s="23"/>
      <c r="D43" s="137" t="n">
        <v>3000</v>
      </c>
      <c r="E43" s="167" t="n">
        <f aca="false">B43*D43</f>
        <v>3000</v>
      </c>
      <c r="F43" s="139"/>
      <c r="G43" s="140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</row>
    <row r="44" customFormat="false" ht="14.4" hidden="false" customHeight="false" outlineLevel="0" collapsed="false">
      <c r="A44" s="23" t="s">
        <v>319</v>
      </c>
      <c r="B44" s="135" t="n">
        <v>33</v>
      </c>
      <c r="C44" s="23"/>
      <c r="D44" s="182" t="n">
        <v>0</v>
      </c>
      <c r="E44" s="167" t="n">
        <f aca="false">B44*D44</f>
        <v>0</v>
      </c>
      <c r="F44" s="139"/>
      <c r="G44" s="140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</row>
    <row r="45" customFormat="false" ht="14.4" hidden="false" customHeight="false" outlineLevel="0" collapsed="false">
      <c r="A45" s="23" t="s">
        <v>320</v>
      </c>
      <c r="B45" s="135" t="n">
        <f aca="false">B28</f>
        <v>12</v>
      </c>
      <c r="C45" s="23"/>
      <c r="D45" s="182" t="n">
        <v>150</v>
      </c>
      <c r="E45" s="167" t="n">
        <f aca="false">B45*D45</f>
        <v>1800</v>
      </c>
      <c r="F45" s="139"/>
      <c r="G45" s="140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</row>
    <row r="46" customFormat="false" ht="14.4" hidden="false" customHeight="false" outlineLevel="0" collapsed="false">
      <c r="A46" s="23" t="s">
        <v>321</v>
      </c>
      <c r="B46" s="135" t="n">
        <v>0</v>
      </c>
      <c r="C46" s="23"/>
      <c r="D46" s="197" t="n">
        <f aca="false">B39*150</f>
        <v>5832</v>
      </c>
      <c r="E46" s="167" t="n">
        <f aca="false">B46*D46</f>
        <v>0</v>
      </c>
      <c r="F46" s="139"/>
      <c r="G46" s="140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</row>
    <row r="47" customFormat="false" ht="14.4" hidden="false" customHeight="false" outlineLevel="0" collapsed="false">
      <c r="A47" s="23" t="s">
        <v>322</v>
      </c>
      <c r="B47" s="135" t="n">
        <f aca="false">B38</f>
        <v>38.88</v>
      </c>
      <c r="C47" s="130" t="s">
        <v>323</v>
      </c>
      <c r="D47" s="137" t="n">
        <v>370</v>
      </c>
      <c r="E47" s="167" t="n">
        <f aca="false">D47*B38</f>
        <v>14385.6</v>
      </c>
      <c r="F47" s="139" t="n">
        <f aca="false">E47/35</f>
        <v>411.017142857143</v>
      </c>
      <c r="G47" s="140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 t="s">
        <v>324</v>
      </c>
      <c r="S47" s="198" t="n">
        <v>550000</v>
      </c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</row>
    <row r="48" customFormat="false" ht="14.4" hidden="false" customHeight="false" outlineLevel="0" collapsed="false">
      <c r="A48" s="23" t="s">
        <v>325</v>
      </c>
      <c r="B48" s="135" t="n">
        <f aca="false">B38</f>
        <v>38.88</v>
      </c>
      <c r="C48" s="23" t="n">
        <v>0</v>
      </c>
      <c r="D48" s="137" t="n">
        <v>1000</v>
      </c>
      <c r="E48" s="167"/>
      <c r="F48" s="139"/>
      <c r="G48" s="140"/>
      <c r="H48" s="127"/>
      <c r="I48" s="187"/>
      <c r="J48" s="127"/>
      <c r="K48" s="127"/>
      <c r="L48" s="127"/>
      <c r="M48" s="127" t="n">
        <f aca="false">2020*0.3</f>
        <v>606</v>
      </c>
      <c r="N48" s="127"/>
      <c r="O48" s="127"/>
      <c r="P48" s="127"/>
      <c r="Q48" s="127"/>
      <c r="R48" s="127" t="n">
        <v>98</v>
      </c>
      <c r="S48" s="198" t="n">
        <f aca="false">S47/1.138</f>
        <v>483304.042179262</v>
      </c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</row>
    <row r="49" customFormat="false" ht="14.4" hidden="false" customHeight="false" outlineLevel="0" collapsed="false">
      <c r="A49" s="23" t="s">
        <v>326</v>
      </c>
      <c r="B49" s="135" t="n">
        <f aca="false">B5</f>
        <v>72</v>
      </c>
      <c r="C49" s="23"/>
      <c r="D49" s="137" t="n">
        <v>75</v>
      </c>
      <c r="E49" s="167"/>
      <c r="F49" s="139"/>
      <c r="G49" s="140" t="n">
        <f aca="false">F54/B38</f>
        <v>0</v>
      </c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 t="n">
        <v>100</v>
      </c>
      <c r="S49" s="198" t="n">
        <f aca="false">(S48*100)/R48</f>
        <v>493167.389978839</v>
      </c>
      <c r="T49" s="199" t="n">
        <f aca="false">S49-S48</f>
        <v>9863.34779957676</v>
      </c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</row>
    <row r="50" customFormat="false" ht="14.4" hidden="false" customHeight="false" outlineLevel="0" collapsed="false">
      <c r="A50" s="23" t="s">
        <v>327</v>
      </c>
      <c r="B50" s="135" t="n">
        <v>2</v>
      </c>
      <c r="C50" s="23"/>
      <c r="D50" s="137" t="n">
        <v>15525</v>
      </c>
      <c r="E50" s="167"/>
      <c r="F50" s="139"/>
      <c r="G50" s="23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98"/>
      <c r="T50" s="199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</row>
    <row r="51" customFormat="false" ht="14.4" hidden="false" customHeight="false" outlineLevel="0" collapsed="false">
      <c r="A51" s="23" t="s">
        <v>328</v>
      </c>
      <c r="B51" s="135" t="n">
        <v>120</v>
      </c>
      <c r="C51" s="23"/>
      <c r="D51" s="137" t="n">
        <v>21.5</v>
      </c>
      <c r="E51" s="167"/>
      <c r="F51" s="139"/>
      <c r="G51" s="23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 t="s">
        <v>324</v>
      </c>
      <c r="S51" s="199" t="n">
        <f aca="false">S49*1.138</f>
        <v>561224.489795918</v>
      </c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</row>
    <row r="52" customFormat="false" ht="14.4" hidden="false" customHeight="false" outlineLevel="0" collapsed="false">
      <c r="A52" s="23" t="s">
        <v>328</v>
      </c>
      <c r="B52" s="135" t="n">
        <v>25</v>
      </c>
      <c r="C52" s="23"/>
      <c r="D52" s="137" t="n">
        <v>43</v>
      </c>
      <c r="E52" s="167" t="n">
        <v>0</v>
      </c>
      <c r="F52" s="139" t="s">
        <v>329</v>
      </c>
      <c r="G52" s="23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</row>
    <row r="53" customFormat="false" ht="14.4" hidden="false" customHeight="false" outlineLevel="0" collapsed="false">
      <c r="A53" s="23" t="s">
        <v>330</v>
      </c>
      <c r="B53" s="135" t="n">
        <f aca="false">B49</f>
        <v>72</v>
      </c>
      <c r="C53" s="23"/>
      <c r="D53" s="137" t="n">
        <v>300</v>
      </c>
      <c r="E53" s="167" t="n">
        <v>0</v>
      </c>
      <c r="F53" s="139" t="s">
        <v>331</v>
      </c>
      <c r="G53" s="23"/>
      <c r="H53" s="127"/>
      <c r="I53" s="200" t="n">
        <f aca="false">IF(B1&lt;=1,45520,IF(B1&lt;=2,49093.32,IF(B1&lt;=3,47796,IF(B1&lt;=6,46647.76,IF(B1&lt;=10,46089,IF(B1&lt;=25,43512.57,IF(B1&lt;=50,42675,IF(B1&lt;=100,38350.6,32990.62))))))))</f>
        <v>46647.76</v>
      </c>
      <c r="J53" s="127" t="s">
        <v>332</v>
      </c>
      <c r="K53" s="127" t="s">
        <v>333</v>
      </c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</row>
    <row r="54" customFormat="false" ht="14.4" hidden="false" customHeight="false" outlineLevel="0" collapsed="false">
      <c r="A54" s="23"/>
      <c r="B54" s="23"/>
      <c r="C54" s="23"/>
      <c r="D54" s="23" t="s">
        <v>334</v>
      </c>
      <c r="E54" s="138" t="n">
        <f aca="false">SUM(E5:E53)</f>
        <v>1655736.7</v>
      </c>
      <c r="F54" s="201"/>
      <c r="G54" s="23"/>
      <c r="H54" s="127"/>
      <c r="I54" s="127" t="n">
        <f aca="false">IF(B1&lt;=3,0,IF(B1&lt;=10,(B1-3)*I53*0.2,I53*7*0.2))</f>
        <v>2798.8656</v>
      </c>
      <c r="J54" s="127" t="s">
        <v>335</v>
      </c>
      <c r="K54" s="127"/>
      <c r="L54" s="127" t="n">
        <f aca="false">(I53*B38)*0.03</f>
        <v>54409.947264</v>
      </c>
      <c r="M54" s="127" t="s">
        <v>336</v>
      </c>
      <c r="N54" s="127"/>
      <c r="O54" s="127"/>
      <c r="P54" s="127"/>
      <c r="Q54" s="127"/>
      <c r="R54" s="127"/>
      <c r="S54" s="127" t="n">
        <v>493167</v>
      </c>
      <c r="T54" s="127" t="n">
        <f aca="false">S54*0.02</f>
        <v>9863.34</v>
      </c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</row>
    <row r="55" customFormat="false" ht="14.4" hidden="false" customHeight="false" outlineLevel="0" collapsed="false">
      <c r="A55" s="23"/>
      <c r="B55" s="23"/>
      <c r="C55" s="23"/>
      <c r="D55" s="23" t="s">
        <v>337</v>
      </c>
      <c r="E55" s="202" t="n">
        <f aca="false">E54/B39</f>
        <v>42585.820473251</v>
      </c>
      <c r="F55" s="23"/>
      <c r="G55" s="203"/>
      <c r="H55" s="127" t="n">
        <f aca="false">I53*B1*0.2</f>
        <v>30787.5216</v>
      </c>
      <c r="I55" s="127" t="n">
        <f aca="false">IF(B1&lt;=3,B1*I53*0.4,I53*3*0.4)</f>
        <v>55977.312</v>
      </c>
      <c r="J55" s="127" t="s">
        <v>338</v>
      </c>
      <c r="K55" s="127"/>
      <c r="L55" s="127" t="n">
        <f aca="false">IF(E1&lt;=2,51210,IF(E1&lt;=5,47796,IF(E1&lt;=6,46658,IF(E1&lt;=10,46089,IF(E1&lt;=25,43813.6,IF(E1&lt;=50,42675,33700))))))</f>
        <v>33700</v>
      </c>
      <c r="M55" s="127"/>
      <c r="N55" s="127"/>
      <c r="O55" s="127"/>
      <c r="P55" s="127"/>
      <c r="Q55" s="127"/>
      <c r="R55" s="127"/>
      <c r="S55" s="127" t="n">
        <f aca="false">S54*1.138</f>
        <v>561224.046</v>
      </c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</row>
    <row r="56" customFormat="false" ht="14.4" hidden="false" customHeight="false" outlineLevel="0" collapsed="false">
      <c r="A56" s="23"/>
      <c r="B56" s="23"/>
      <c r="C56" s="23"/>
      <c r="D56" s="23" t="s">
        <v>339</v>
      </c>
      <c r="E56" s="202" t="n">
        <f aca="false">E55*F56</f>
        <v>0</v>
      </c>
      <c r="F56" s="204" t="n">
        <v>0</v>
      </c>
      <c r="G56" s="203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</row>
    <row r="57" customFormat="false" ht="14.4" hidden="false" customHeight="false" outlineLevel="0" collapsed="false">
      <c r="A57" s="23"/>
      <c r="B57" s="23"/>
      <c r="C57" s="23"/>
      <c r="D57" s="23" t="s">
        <v>340</v>
      </c>
      <c r="E57" s="202" t="n">
        <f aca="false">F57*E55</f>
        <v>2555.14922839506</v>
      </c>
      <c r="F57" s="204" t="n">
        <v>0.06</v>
      </c>
      <c r="G57" s="205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</row>
    <row r="58" customFormat="false" ht="15" hidden="false" customHeight="false" outlineLevel="0" collapsed="false">
      <c r="A58" s="23"/>
      <c r="B58" s="23"/>
      <c r="C58" s="23"/>
      <c r="D58" s="206" t="s">
        <v>341</v>
      </c>
      <c r="E58" s="207" t="n">
        <f aca="false">(E55+E56+E57)*F58</f>
        <v>6229.45381882716</v>
      </c>
      <c r="F58" s="204" t="n">
        <v>0.138</v>
      </c>
      <c r="G58" s="140" t="s">
        <v>342</v>
      </c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</row>
    <row r="59" customFormat="false" ht="16.2" hidden="false" customHeight="false" outlineLevel="0" collapsed="false">
      <c r="A59" s="23"/>
      <c r="B59" s="23"/>
      <c r="C59" s="208"/>
      <c r="D59" s="209" t="s">
        <v>343</v>
      </c>
      <c r="E59" s="210" t="n">
        <f aca="false">E55+E56+E57+E58</f>
        <v>51370.4235204733</v>
      </c>
      <c r="F59" s="211"/>
      <c r="G59" s="128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 t="n">
        <v>10</v>
      </c>
      <c r="T59" s="127" t="n">
        <f aca="false">IF(S59&lt;=2,51210,IF(S59&lt;=4,48934,IF(S59&lt;=5,47796,IF(S59&lt;=6,46658,IF(S59&lt;=10,46089.6,IF(S59&lt;=50,42675,33700))))))</f>
        <v>46089.6</v>
      </c>
      <c r="U59" s="127" t="s">
        <v>332</v>
      </c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</row>
    <row r="60" customFormat="false" ht="21" hidden="false" customHeight="false" outlineLevel="0" collapsed="false">
      <c r="A60" s="23"/>
      <c r="B60" s="23"/>
      <c r="C60" s="23"/>
      <c r="D60" s="212"/>
      <c r="E60" s="213"/>
      <c r="F60" s="214" t="n">
        <f aca="false">(I53*B38)*0.03</f>
        <v>54409.947264</v>
      </c>
      <c r="G60" s="128" t="s">
        <v>175</v>
      </c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 t="n">
        <f aca="false">IF(S59&lt;=3,0,IF(S59&lt;=10,(S59-3)*T59*0.2,T59*7*0.2))</f>
        <v>64525.44</v>
      </c>
      <c r="U60" s="127" t="s">
        <v>335</v>
      </c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</row>
    <row r="61" customFormat="false" ht="14.4" hidden="false" customHeight="false" outlineLevel="0" collapsed="false">
      <c r="A61" s="23"/>
      <c r="B61" s="23"/>
      <c r="C61" s="23"/>
      <c r="D61" s="215" t="s">
        <v>344</v>
      </c>
      <c r="E61" s="216" t="n">
        <f aca="false">E59*B39</f>
        <v>1997282.066476</v>
      </c>
      <c r="F61" s="128"/>
      <c r="G61" s="128" t="n">
        <v>10</v>
      </c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 t="n">
        <f aca="false">IF(S59&lt;=3,S59*T59*0.4,T59*3*0.4)</f>
        <v>55307.52</v>
      </c>
      <c r="U61" s="127" t="s">
        <v>338</v>
      </c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</row>
    <row r="62" customFormat="false" ht="15.6" hidden="false" customHeight="false" outlineLevel="0" collapsed="false">
      <c r="A62" s="23"/>
      <c r="B62" s="23"/>
      <c r="C62" s="23"/>
      <c r="D62" s="217" t="s">
        <v>345</v>
      </c>
      <c r="E62" s="218" t="n">
        <f aca="false">(I54+I55)*B6</f>
        <v>705314.1312</v>
      </c>
      <c r="F62" s="128" t="n">
        <f aca="false">E62/B6</f>
        <v>58776.1776</v>
      </c>
      <c r="G62" s="128"/>
      <c r="H62" s="127"/>
      <c r="I62" s="127"/>
      <c r="J62" s="127"/>
      <c r="K62" s="127"/>
      <c r="L62" s="127"/>
      <c r="M62" s="127"/>
      <c r="N62" s="127"/>
      <c r="O62" s="127"/>
      <c r="P62" s="127" t="s">
        <v>346</v>
      </c>
      <c r="Q62" s="127" t="s">
        <v>19</v>
      </c>
      <c r="R62" s="127" t="s">
        <v>219</v>
      </c>
      <c r="S62" s="127" t="s">
        <v>347</v>
      </c>
      <c r="T62" s="127" t="n">
        <f aca="false">T61+T60</f>
        <v>119832.96</v>
      </c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</row>
    <row r="63" customFormat="false" ht="15.6" hidden="false" customHeight="false" outlineLevel="0" collapsed="false">
      <c r="A63" s="23"/>
      <c r="B63" s="23"/>
      <c r="C63" s="23"/>
      <c r="D63" s="219" t="s">
        <v>348</v>
      </c>
      <c r="E63" s="220" t="n">
        <f aca="false">E61-E62</f>
        <v>1291967.935276</v>
      </c>
      <c r="F63" s="221" t="n">
        <f aca="false">E67+E61</f>
        <v>2109974.066476</v>
      </c>
      <c r="G63" s="128"/>
      <c r="H63" s="127"/>
      <c r="I63" s="127"/>
      <c r="J63" s="127"/>
      <c r="K63" s="127"/>
      <c r="L63" s="127"/>
      <c r="M63" s="127"/>
      <c r="N63" s="127"/>
      <c r="O63" s="127"/>
      <c r="P63" s="127" t="n">
        <f aca="false">R63*1.138</f>
        <v>51210</v>
      </c>
      <c r="Q63" s="127" t="n">
        <v>2</v>
      </c>
      <c r="R63" s="127" t="n">
        <v>45000</v>
      </c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</row>
    <row r="64" customFormat="false" ht="15.6" hidden="false" customHeight="false" outlineLevel="0" collapsed="false">
      <c r="A64" s="23"/>
      <c r="B64" s="23"/>
      <c r="C64" s="23"/>
      <c r="D64" s="222" t="s">
        <v>325</v>
      </c>
      <c r="E64" s="223" t="n">
        <f aca="false">B48*D48</f>
        <v>38880</v>
      </c>
      <c r="F64" s="221"/>
      <c r="G64" s="221"/>
      <c r="H64" s="127"/>
      <c r="I64" s="127"/>
      <c r="J64" s="127"/>
      <c r="K64" s="127"/>
      <c r="L64" s="127"/>
      <c r="M64" s="127"/>
      <c r="N64" s="127"/>
      <c r="O64" s="127"/>
      <c r="P64" s="127" t="n">
        <f aca="false">R64*1.138</f>
        <v>48934</v>
      </c>
      <c r="Q64" s="127" t="n">
        <v>3</v>
      </c>
      <c r="R64" s="127" t="n">
        <v>43000</v>
      </c>
      <c r="S64" s="127" t="n">
        <v>58720</v>
      </c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</row>
    <row r="65" customFormat="false" ht="15.6" hidden="false" customHeight="false" outlineLevel="0" collapsed="false">
      <c r="A65" s="23"/>
      <c r="B65" s="23"/>
      <c r="C65" s="23"/>
      <c r="D65" s="222" t="s">
        <v>349</v>
      </c>
      <c r="E65" s="223" t="n">
        <f aca="false">F65*B6</f>
        <v>69972</v>
      </c>
      <c r="F65" s="220" t="n">
        <f aca="false">IF(C1&lt;=3.3,5831,IF(C1&lt;=6,5831,IF(C1&lt;=10,15761,0)))</f>
        <v>5831</v>
      </c>
      <c r="G65" s="128"/>
      <c r="H65" s="127"/>
      <c r="J65" s="224"/>
      <c r="K65" s="127"/>
      <c r="L65" s="127"/>
      <c r="M65" s="127"/>
      <c r="N65" s="127"/>
      <c r="O65" s="127"/>
      <c r="P65" s="127" t="n">
        <f aca="false">R65*1.138</f>
        <v>48934</v>
      </c>
      <c r="Q65" s="127" t="n">
        <v>3.3</v>
      </c>
      <c r="R65" s="127" t="n">
        <v>43000</v>
      </c>
      <c r="S65" s="127" t="n">
        <v>61656</v>
      </c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</row>
    <row r="66" customFormat="false" ht="15.6" hidden="false" customHeight="false" outlineLevel="0" collapsed="false">
      <c r="A66" s="23"/>
      <c r="B66" s="23"/>
      <c r="C66" s="23"/>
      <c r="D66" s="222" t="s">
        <v>350</v>
      </c>
      <c r="E66" s="223" t="n">
        <f aca="false">D28*B28</f>
        <v>3840</v>
      </c>
      <c r="F66" s="128"/>
      <c r="G66" s="221"/>
      <c r="H66" s="127"/>
      <c r="J66" s="224"/>
      <c r="K66" s="127"/>
      <c r="L66" s="127"/>
      <c r="M66" s="127"/>
      <c r="N66" s="127"/>
      <c r="O66" s="127"/>
      <c r="P66" s="127" t="n">
        <f aca="false">R66*1.138</f>
        <v>48934</v>
      </c>
      <c r="Q66" s="127" t="n">
        <v>4</v>
      </c>
      <c r="R66" s="127" t="n">
        <v>43000</v>
      </c>
      <c r="S66" s="127" t="n">
        <v>68507</v>
      </c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</row>
    <row r="67" customFormat="false" ht="16.2" hidden="false" customHeight="false" outlineLevel="0" collapsed="false">
      <c r="A67" s="23"/>
      <c r="B67" s="23"/>
      <c r="C67" s="23"/>
      <c r="D67" s="225" t="s">
        <v>351</v>
      </c>
      <c r="E67" s="226" t="n">
        <f aca="false">E64+E65+E66</f>
        <v>112692</v>
      </c>
      <c r="F67" s="128"/>
      <c r="G67" s="128"/>
      <c r="H67" s="127"/>
      <c r="I67" s="127"/>
      <c r="J67" s="127"/>
      <c r="K67" s="127"/>
      <c r="L67" s="127"/>
      <c r="M67" s="127"/>
      <c r="N67" s="127"/>
      <c r="O67" s="127"/>
      <c r="P67" s="127" t="n">
        <f aca="false">R67*1.138</f>
        <v>47796</v>
      </c>
      <c r="Q67" s="127" t="n">
        <v>5</v>
      </c>
      <c r="R67" s="127" t="n">
        <v>42000</v>
      </c>
      <c r="S67" s="127" t="n">
        <v>76473</v>
      </c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</row>
    <row r="68" customFormat="false" ht="21.6" hidden="false" customHeight="false" outlineLevel="0" collapsed="false">
      <c r="A68" s="23"/>
      <c r="B68" s="23"/>
      <c r="C68" s="208"/>
      <c r="D68" s="227" t="s">
        <v>352</v>
      </c>
      <c r="E68" s="228" t="n">
        <f aca="false">E63+E67</f>
        <v>1404659.935276</v>
      </c>
      <c r="F68" s="128" t="n">
        <f aca="false">E68/B6</f>
        <v>117054.994606333</v>
      </c>
      <c r="G68" s="128" t="n">
        <f aca="false">E64/28</f>
        <v>1388.57142857143</v>
      </c>
      <c r="H68" s="127"/>
      <c r="I68" s="127"/>
      <c r="J68" s="127"/>
      <c r="K68" s="127"/>
      <c r="L68" s="127"/>
      <c r="M68" s="127"/>
      <c r="N68" s="127"/>
      <c r="O68" s="127"/>
      <c r="P68" s="127" t="n">
        <f aca="false">R68*1.138</f>
        <v>46658</v>
      </c>
      <c r="Q68" s="127" t="n">
        <v>6</v>
      </c>
      <c r="R68" s="127" t="n">
        <v>41000</v>
      </c>
      <c r="S68" s="127" t="n">
        <v>83984</v>
      </c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</row>
    <row r="69" customFormat="false" ht="21.6" hidden="false" customHeight="false" outlineLevel="0" collapsed="false">
      <c r="A69" s="23"/>
      <c r="B69" s="229"/>
      <c r="C69" s="208"/>
      <c r="D69" s="230" t="s">
        <v>353</v>
      </c>
      <c r="E69" s="231" t="n">
        <f aca="false">(E68-E63)/B1</f>
        <v>34149.0909090909</v>
      </c>
      <c r="F69" s="232"/>
      <c r="G69" s="233"/>
      <c r="H69" s="127"/>
      <c r="I69" s="127"/>
      <c r="J69" s="127"/>
      <c r="K69" s="127"/>
      <c r="L69" s="127"/>
      <c r="M69" s="127"/>
      <c r="N69" s="127"/>
      <c r="O69" s="127"/>
      <c r="P69" s="127" t="n">
        <f aca="false">R69*1.138</f>
        <v>46089</v>
      </c>
      <c r="Q69" s="127" t="n">
        <v>8</v>
      </c>
      <c r="R69" s="127" t="n">
        <v>40500</v>
      </c>
      <c r="S69" s="127" t="n">
        <v>101396</v>
      </c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</row>
    <row r="70" customFormat="false" ht="21.6" hidden="false" customHeight="false" outlineLevel="0" collapsed="false">
      <c r="A70" s="23"/>
      <c r="B70" s="23"/>
      <c r="C70" s="208"/>
      <c r="D70" s="234" t="s">
        <v>354</v>
      </c>
      <c r="E70" s="235" t="n">
        <f aca="false">E57*B38</f>
        <v>99344.202</v>
      </c>
      <c r="F70" s="232" t="n">
        <f aca="false">E70/B6</f>
        <v>8278.6835</v>
      </c>
      <c r="G70" s="233"/>
      <c r="H70" s="127"/>
      <c r="J70" s="127"/>
      <c r="K70" s="224"/>
      <c r="L70" s="127"/>
      <c r="M70" s="127"/>
      <c r="N70" s="127"/>
      <c r="O70" s="127"/>
      <c r="P70" s="127" t="n">
        <f aca="false">R70*1.138</f>
        <v>46089</v>
      </c>
      <c r="Q70" s="127" t="n">
        <v>10</v>
      </c>
      <c r="R70" s="127" t="n">
        <v>40500</v>
      </c>
      <c r="S70" s="127" t="n">
        <v>119831</v>
      </c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</row>
    <row r="71" customFormat="false" ht="21" hidden="false" customHeight="false" outlineLevel="0" collapsed="false">
      <c r="A71" s="23"/>
      <c r="B71" s="23"/>
      <c r="C71" s="23"/>
      <c r="D71" s="236" t="s">
        <v>355</v>
      </c>
      <c r="E71" s="237" t="n">
        <f aca="false">I53*2.12*0.03</f>
        <v>2966.797536</v>
      </c>
      <c r="F71" s="233"/>
      <c r="G71" s="233"/>
      <c r="H71" s="127"/>
      <c r="I71" s="165"/>
      <c r="J71" s="127"/>
      <c r="K71" s="224"/>
      <c r="L71" s="127"/>
      <c r="M71" s="127"/>
      <c r="N71" s="127"/>
      <c r="O71" s="127"/>
      <c r="P71" s="127" t="n">
        <f aca="false">R71*1.138</f>
        <v>44115.708</v>
      </c>
      <c r="Q71" s="127" t="n">
        <v>25</v>
      </c>
      <c r="R71" s="127" t="n">
        <v>38766</v>
      </c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</row>
    <row r="72" customFormat="false" ht="21" hidden="false" customHeight="false" outlineLevel="0" collapsed="false">
      <c r="A72" s="23"/>
      <c r="B72" s="23"/>
      <c r="C72" s="23"/>
      <c r="D72" s="238" t="s">
        <v>356</v>
      </c>
      <c r="E72" s="239" t="n">
        <f aca="false">(F70-E71)</f>
        <v>5311.885964</v>
      </c>
      <c r="F72" s="128"/>
      <c r="G72" s="233"/>
      <c r="H72" s="127"/>
      <c r="I72" s="224"/>
      <c r="J72" s="127"/>
      <c r="K72" s="224"/>
      <c r="L72" s="127"/>
      <c r="M72" s="127"/>
      <c r="N72" s="127"/>
      <c r="O72" s="127"/>
      <c r="P72" s="127" t="n">
        <f aca="false">R72*1.138</f>
        <v>43813</v>
      </c>
      <c r="Q72" s="127" t="n">
        <v>50</v>
      </c>
      <c r="R72" s="127" t="n">
        <v>38500</v>
      </c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</row>
    <row r="73" customFormat="false" ht="21" hidden="false" customHeight="false" outlineLevel="0" collapsed="false">
      <c r="A73" s="23"/>
      <c r="B73" s="23"/>
      <c r="C73" s="23"/>
      <c r="D73" s="240"/>
      <c r="E73" s="241"/>
      <c r="F73" s="128"/>
      <c r="G73" s="233"/>
      <c r="H73" s="127"/>
      <c r="I73" s="224"/>
      <c r="J73" s="127"/>
      <c r="K73" s="127"/>
      <c r="L73" s="127"/>
      <c r="M73" s="127"/>
      <c r="N73" s="127"/>
      <c r="O73" s="127"/>
      <c r="P73" s="127" t="n">
        <f aca="false">R73*1.138</f>
        <v>37212.6</v>
      </c>
      <c r="Q73" s="127" t="n">
        <v>100</v>
      </c>
      <c r="R73" s="127" t="n">
        <v>32700</v>
      </c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</row>
    <row r="74" customFormat="false" ht="21" hidden="false" customHeight="false" outlineLevel="0" collapsed="false">
      <c r="A74" s="23"/>
      <c r="B74" s="23"/>
      <c r="C74" s="23"/>
      <c r="D74" s="240"/>
      <c r="E74" s="241"/>
      <c r="F74" s="128"/>
      <c r="G74" s="233"/>
      <c r="H74" s="127"/>
      <c r="I74" s="224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</row>
    <row r="75" customFormat="false" ht="21" hidden="false" customHeight="false" outlineLevel="0" collapsed="false">
      <c r="A75" s="23"/>
      <c r="B75" s="23"/>
      <c r="C75" s="23"/>
      <c r="D75" s="240"/>
      <c r="E75" s="241"/>
      <c r="F75" s="128"/>
      <c r="G75" s="233"/>
      <c r="H75" s="127"/>
      <c r="I75" s="224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</row>
    <row r="76" customFormat="false" ht="21" hidden="false" customHeight="false" outlineLevel="0" collapsed="false">
      <c r="A76" s="23"/>
      <c r="B76" s="23"/>
      <c r="C76" s="23"/>
      <c r="D76" s="240"/>
      <c r="E76" s="241"/>
      <c r="F76" s="128"/>
      <c r="G76" s="233"/>
      <c r="H76" s="127"/>
      <c r="I76" s="242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</row>
    <row r="77" customFormat="false" ht="21" hidden="false" customHeight="false" outlineLevel="0" collapsed="false">
      <c r="A77" s="23"/>
      <c r="B77" s="23"/>
      <c r="C77" s="23"/>
      <c r="D77" s="240"/>
      <c r="E77" s="241"/>
      <c r="F77" s="128"/>
      <c r="G77" s="233"/>
      <c r="H77" s="127"/>
      <c r="K77" s="127"/>
      <c r="L77" s="243"/>
      <c r="M77" s="244"/>
      <c r="N77" s="243"/>
      <c r="O77" s="243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</row>
    <row r="78" customFormat="false" ht="21" hidden="false" customHeight="false" outlineLevel="0" collapsed="false">
      <c r="A78" s="23"/>
      <c r="B78" s="23"/>
      <c r="C78" s="23"/>
      <c r="D78" s="240"/>
      <c r="E78" s="241"/>
      <c r="F78" s="128"/>
      <c r="G78" s="233"/>
      <c r="H78" s="243"/>
      <c r="K78" s="243"/>
      <c r="L78" s="243"/>
      <c r="M78" s="243"/>
      <c r="N78" s="243"/>
      <c r="O78" s="243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</row>
    <row r="79" customFormat="false" ht="21" hidden="false" customHeight="false" outlineLevel="0" collapsed="false">
      <c r="A79" s="23"/>
      <c r="B79" s="23"/>
      <c r="C79" s="23"/>
      <c r="D79" s="240"/>
      <c r="E79" s="241"/>
      <c r="F79" s="128"/>
      <c r="G79" s="128" t="s">
        <v>357</v>
      </c>
      <c r="H79" s="243"/>
      <c r="I79" s="244"/>
      <c r="J79" s="244"/>
      <c r="K79" s="243"/>
      <c r="L79" s="243"/>
      <c r="M79" s="243"/>
      <c r="N79" s="243"/>
      <c r="O79" s="243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</row>
    <row r="80" customFormat="false" ht="21" hidden="false" customHeight="false" outlineLevel="0" collapsed="false">
      <c r="A80" s="23"/>
      <c r="B80" s="23"/>
      <c r="C80" s="23"/>
      <c r="D80" s="240"/>
      <c r="E80" s="241"/>
      <c r="F80" s="128"/>
      <c r="G80" s="245"/>
      <c r="H80" s="243"/>
      <c r="I80" s="244" t="n">
        <f aca="false">B38*I53*0.2</f>
        <v>362732.98176</v>
      </c>
      <c r="J80" s="246" t="s">
        <v>358</v>
      </c>
      <c r="K80" s="243"/>
      <c r="L80" s="243"/>
      <c r="M80" s="243"/>
      <c r="N80" s="243"/>
      <c r="O80" s="243"/>
      <c r="P80" s="243"/>
      <c r="Q80" s="243"/>
      <c r="R80" s="243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</row>
    <row r="81" customFormat="false" ht="14.4" hidden="false" customHeight="false" outlineLevel="0" collapsed="false">
      <c r="A81" s="247" t="s">
        <v>359</v>
      </c>
      <c r="B81" s="180" t="n">
        <f aca="false">I80</f>
        <v>362732.98176</v>
      </c>
      <c r="C81" s="23"/>
      <c r="D81" s="248" t="s">
        <v>359</v>
      </c>
      <c r="E81" s="245" t="n">
        <f aca="false">I54+I76</f>
        <v>2798.8656</v>
      </c>
      <c r="F81" s="249" t="n">
        <f aca="false">(E57*H2)-(F60*0.01*60)</f>
        <v>-24213.9759046963</v>
      </c>
      <c r="G81" s="245"/>
      <c r="H81" s="243"/>
      <c r="I81" s="244"/>
      <c r="J81" s="244"/>
      <c r="K81" s="243"/>
      <c r="L81" s="243"/>
      <c r="M81" s="243"/>
      <c r="N81" s="243"/>
      <c r="O81" s="243"/>
      <c r="P81" s="243"/>
      <c r="Q81" s="243"/>
      <c r="R81" s="243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</row>
    <row r="82" customFormat="false" ht="14.4" hidden="false" customHeight="false" outlineLevel="0" collapsed="false">
      <c r="A82" s="247" t="s">
        <v>360</v>
      </c>
      <c r="B82" s="180" t="n">
        <f aca="false">B81*4%</f>
        <v>14509.3192704</v>
      </c>
      <c r="C82" s="23"/>
      <c r="D82" s="248" t="s">
        <v>360</v>
      </c>
      <c r="E82" s="250" t="n">
        <v>0</v>
      </c>
      <c r="F82" s="250"/>
      <c r="G82" s="139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</row>
    <row r="83" customFormat="false" ht="14.4" hidden="false" customHeight="false" outlineLevel="0" collapsed="false">
      <c r="A83" s="23"/>
      <c r="B83" s="23"/>
      <c r="C83" s="23"/>
      <c r="D83" s="23" t="s">
        <v>208</v>
      </c>
      <c r="E83" s="245" t="n">
        <v>2950</v>
      </c>
      <c r="F83" s="245"/>
      <c r="G83" s="248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243"/>
      <c r="AD83" s="243"/>
      <c r="AE83" s="243"/>
      <c r="AF83" s="243"/>
      <c r="AG83" s="243"/>
      <c r="AH83" s="243"/>
      <c r="AI83" s="243"/>
      <c r="AJ83" s="243"/>
      <c r="AK83" s="243"/>
    </row>
    <row r="84" customFormat="false" ht="14.4" hidden="false" customHeight="false" outlineLevel="0" collapsed="false">
      <c r="A84" s="23"/>
      <c r="B84" s="23"/>
      <c r="C84" s="23"/>
      <c r="D84" s="23" t="s">
        <v>325</v>
      </c>
      <c r="E84" s="245" t="n">
        <f aca="false">D48*B48</f>
        <v>38880</v>
      </c>
      <c r="F84" s="139"/>
      <c r="G84" s="245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3"/>
      <c r="AE84" s="243"/>
      <c r="AF84" s="243"/>
      <c r="AG84" s="243"/>
      <c r="AH84" s="243"/>
      <c r="AI84" s="243"/>
      <c r="AJ84" s="243"/>
      <c r="AK84" s="243"/>
    </row>
    <row r="85" customFormat="false" ht="14.4" hidden="false" customHeight="false" outlineLevel="0" collapsed="false">
      <c r="A85" s="23"/>
      <c r="B85" s="23"/>
      <c r="C85" s="23"/>
      <c r="D85" s="248"/>
      <c r="E85" s="245"/>
      <c r="F85" s="248"/>
      <c r="G85" s="245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3"/>
      <c r="AH85" s="243"/>
      <c r="AI85" s="243"/>
      <c r="AJ85" s="243"/>
      <c r="AK85" s="243"/>
    </row>
    <row r="86" customFormat="false" ht="14.4" hidden="false" customHeight="false" outlineLevel="0" collapsed="false">
      <c r="A86" s="23"/>
      <c r="B86" s="23"/>
      <c r="C86" s="23"/>
      <c r="D86" s="248"/>
      <c r="E86" s="245"/>
      <c r="F86" s="248"/>
      <c r="G86" s="245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  <c r="AH86" s="243"/>
      <c r="AI86" s="243"/>
      <c r="AJ86" s="243"/>
      <c r="AK86" s="243"/>
    </row>
    <row r="87" customFormat="false" ht="14.4" hidden="false" customHeight="false" outlineLevel="0" collapsed="false">
      <c r="A87" s="247" t="s">
        <v>361</v>
      </c>
      <c r="B87" s="180" t="n">
        <f aca="false">(E60*B38)+B82</f>
        <v>14509.3192704</v>
      </c>
      <c r="C87" s="180"/>
      <c r="D87" s="248" t="s">
        <v>361</v>
      </c>
      <c r="E87" s="245" t="n">
        <f aca="false">(E60*B38)+E82+E83+E84</f>
        <v>41830</v>
      </c>
      <c r="F87" s="248" t="n">
        <f aca="false">E87+G87</f>
        <v>41830</v>
      </c>
      <c r="G87" s="245" t="n">
        <v>0</v>
      </c>
      <c r="H87" s="243"/>
      <c r="I87" s="243"/>
      <c r="J87" s="243"/>
      <c r="K87" s="243"/>
      <c r="P87" s="243"/>
      <c r="Q87" s="243"/>
      <c r="R87" s="243"/>
    </row>
    <row r="88" customFormat="false" ht="14.4" hidden="false" customHeight="false" outlineLevel="0" collapsed="false">
      <c r="A88" s="23" t="s">
        <v>362</v>
      </c>
      <c r="B88" s="23" t="n">
        <f aca="false">B87-B81</f>
        <v>-348223.6624896</v>
      </c>
      <c r="C88" s="23"/>
      <c r="D88" s="248" t="s">
        <v>362</v>
      </c>
      <c r="E88" s="245" t="n">
        <f aca="false">E87-E81</f>
        <v>39031.1344</v>
      </c>
      <c r="F88" s="248"/>
      <c r="G88" s="245"/>
      <c r="P88" s="243"/>
      <c r="Q88" s="243"/>
      <c r="R88" s="243"/>
    </row>
    <row r="89" customFormat="false" ht="14.4" hidden="false" customHeight="false" outlineLevel="0" collapsed="false">
      <c r="A89" s="129" t="s">
        <v>363</v>
      </c>
      <c r="B89" s="251" t="n">
        <f aca="false">B88+C89</f>
        <v>-348223.6624896</v>
      </c>
      <c r="C89" s="23"/>
      <c r="D89" s="252" t="s">
        <v>363</v>
      </c>
      <c r="E89" s="253" t="n">
        <f aca="false">E88+G87</f>
        <v>39031.1344</v>
      </c>
      <c r="F89" s="248" t="s">
        <v>364</v>
      </c>
      <c r="G89" s="254"/>
      <c r="P89" s="243"/>
      <c r="Q89" s="243"/>
      <c r="R89" s="243"/>
    </row>
    <row r="90" customFormat="false" ht="14.4" hidden="false" customHeight="false" outlineLevel="0" collapsed="false">
      <c r="A90" s="247"/>
      <c r="B90" s="247"/>
      <c r="C90" s="247"/>
      <c r="D90" s="248"/>
      <c r="E90" s="248"/>
      <c r="F90" s="248"/>
      <c r="G90" s="243"/>
    </row>
    <row r="91" customFormat="false" ht="14.4" hidden="false" customHeight="false" outlineLevel="0" collapsed="false">
      <c r="A91" s="243"/>
      <c r="B91" s="243"/>
      <c r="C91" s="243"/>
      <c r="D91" s="243"/>
      <c r="E91" s="243"/>
      <c r="F91" s="255"/>
    </row>
    <row r="92" customFormat="false" ht="14.4" hidden="false" customHeight="false" outlineLevel="0" collapsed="false">
      <c r="A92" s="243"/>
      <c r="B92" s="243"/>
      <c r="C92" s="243"/>
      <c r="D92" s="243"/>
      <c r="E92" s="243"/>
      <c r="F92" s="243"/>
    </row>
    <row r="105" customFormat="false" ht="14.4" hidden="false" customHeight="false" outlineLevel="0" collapsed="false">
      <c r="D105" s="0" t="s">
        <v>365</v>
      </c>
      <c r="E105" s="0" t="s">
        <v>366</v>
      </c>
      <c r="F105" s="0" t="s">
        <v>367</v>
      </c>
    </row>
    <row r="106" customFormat="false" ht="14.4" hidden="false" customHeight="false" outlineLevel="0" collapsed="false">
      <c r="D106" s="0" t="s">
        <v>368</v>
      </c>
      <c r="E106" s="0" t="n">
        <v>941899</v>
      </c>
    </row>
    <row r="107" customFormat="false" ht="14.4" hidden="false" customHeight="false" outlineLevel="0" collapsed="false">
      <c r="D107" s="0" t="s">
        <v>369</v>
      </c>
      <c r="E107" s="0" t="n">
        <v>713148</v>
      </c>
    </row>
    <row r="108" customFormat="false" ht="14.4" hidden="false" customHeight="false" outlineLevel="0" collapsed="false">
      <c r="D108" s="0" t="s">
        <v>370</v>
      </c>
      <c r="E108" s="0" t="n">
        <v>759218</v>
      </c>
    </row>
    <row r="109" customFormat="false" ht="14.4" hidden="false" customHeight="false" outlineLevel="0" collapsed="false">
      <c r="D109" s="0" t="s">
        <v>371</v>
      </c>
      <c r="E109" s="0" t="n">
        <v>650646</v>
      </c>
    </row>
    <row r="110" customFormat="false" ht="14.4" hidden="false" customHeight="false" outlineLevel="0" collapsed="false">
      <c r="D110" s="0" t="s">
        <v>372</v>
      </c>
      <c r="E110" s="0" t="n">
        <v>132415</v>
      </c>
    </row>
    <row r="111" customFormat="false" ht="14.4" hidden="false" customHeight="false" outlineLevel="0" collapsed="false">
      <c r="D111" s="0" t="s">
        <v>373</v>
      </c>
      <c r="E111" s="0" t="n">
        <v>0</v>
      </c>
    </row>
    <row r="112" customFormat="false" ht="14.4" hidden="false" customHeight="false" outlineLevel="0" collapsed="false">
      <c r="D112" s="0" t="s">
        <v>374</v>
      </c>
      <c r="E112" s="0" t="n">
        <v>203950</v>
      </c>
    </row>
  </sheetData>
  <mergeCells count="7">
    <mergeCell ref="K4:L4"/>
    <mergeCell ref="M10:N10"/>
    <mergeCell ref="P10:Q10"/>
    <mergeCell ref="R10:S10"/>
    <mergeCell ref="U10:W10"/>
    <mergeCell ref="Z10:AB10"/>
    <mergeCell ref="G31:G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2023-05-12T05:57:11Z</dcterms:created>
  <dc:creator>PVR1</dc:creator>
  <dc:description/>
  <dc:language>en-IN</dc:language>
  <cp:lastModifiedBy/>
  <cp:lastPrinted>2023-08-11T09:49:39Z</cp:lastPrinted>
  <dcterms:modified xsi:type="dcterms:W3CDTF">2023-08-29T19:35:33Z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