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Elif/Desktop/IF_434/"/>
    </mc:Choice>
  </mc:AlternateContent>
  <bookViews>
    <workbookView xWindow="0" yWindow="460" windowWidth="28800" windowHeight="15940" tabRatio="500"/>
  </bookViews>
  <sheets>
    <sheet name="Bonds Data and Analysis" sheetId="1" r:id="rId1"/>
    <sheet name="Portfolio" sheetId="2" r:id="rId2"/>
    <sheet name="immunization" sheetId="3" r:id="rId3"/>
  </sheets>
  <definedNames>
    <definedName name="solver_adj" localSheetId="2" hidden="1">immunization!$C$5:$C$14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itr" localSheetId="2" hidden="1">2147483647</definedName>
    <definedName name="solver_lhs1" localSheetId="2" hidden="1">immunization!$C$15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opt" localSheetId="2" hidden="1">immunization!$H$15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hs1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6.69626547</definedName>
    <definedName name="solver_ver" localSheetId="2" hidden="1">2</definedName>
  </definedName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4" i="3" l="1"/>
  <c r="D13" i="3"/>
  <c r="D12" i="3"/>
  <c r="D11" i="3"/>
  <c r="D10" i="3"/>
  <c r="D9" i="3"/>
  <c r="D8" i="3"/>
  <c r="D7" i="3"/>
  <c r="D6" i="3"/>
  <c r="J26" i="2"/>
  <c r="H12" i="2"/>
  <c r="H11" i="2"/>
  <c r="H10" i="2"/>
  <c r="H9" i="2"/>
  <c r="H8" i="2"/>
  <c r="H7" i="2"/>
  <c r="H6" i="2"/>
  <c r="H5" i="2"/>
  <c r="H4" i="2"/>
  <c r="H3" i="2"/>
  <c r="E12" i="2"/>
  <c r="K113" i="1"/>
  <c r="H117" i="1"/>
  <c r="E116" i="1"/>
  <c r="E113" i="1"/>
  <c r="E114" i="1"/>
  <c r="E115" i="1"/>
  <c r="E112" i="1"/>
  <c r="G112" i="1"/>
  <c r="F112" i="1"/>
  <c r="H112" i="1"/>
  <c r="G113" i="1"/>
  <c r="F113" i="1"/>
  <c r="H113" i="1"/>
  <c r="G114" i="1"/>
  <c r="F114" i="1"/>
  <c r="H114" i="1"/>
  <c r="G115" i="1"/>
  <c r="F115" i="1"/>
  <c r="H115" i="1"/>
  <c r="G116" i="1"/>
  <c r="F116" i="1"/>
  <c r="H116" i="1"/>
  <c r="K114" i="1"/>
  <c r="K115" i="1"/>
  <c r="K116" i="1"/>
  <c r="K98" i="1"/>
  <c r="H108" i="1"/>
  <c r="E107" i="1"/>
  <c r="K89" i="1"/>
  <c r="H97" i="1"/>
  <c r="H95" i="1"/>
  <c r="H96" i="1"/>
  <c r="G96" i="1"/>
  <c r="G95" i="1"/>
  <c r="F95" i="1"/>
  <c r="F96" i="1"/>
  <c r="E96" i="1"/>
  <c r="E94" i="1"/>
  <c r="E95" i="1"/>
  <c r="K76" i="1"/>
  <c r="H84" i="1"/>
  <c r="H76" i="1"/>
  <c r="H77" i="1"/>
  <c r="H78" i="1"/>
  <c r="H79" i="1"/>
  <c r="H80" i="1"/>
  <c r="H81" i="1"/>
  <c r="H82" i="1"/>
  <c r="H83" i="1"/>
  <c r="G80" i="1"/>
  <c r="G81" i="1"/>
  <c r="G82" i="1"/>
  <c r="G83" i="1"/>
  <c r="F80" i="1"/>
  <c r="F81" i="1"/>
  <c r="F82" i="1"/>
  <c r="F83" i="1"/>
  <c r="E83" i="1"/>
  <c r="E79" i="1"/>
  <c r="E80" i="1"/>
  <c r="E81" i="1"/>
  <c r="E82" i="1"/>
  <c r="F68" i="1"/>
  <c r="H68" i="1"/>
  <c r="H69" i="1"/>
  <c r="K67" i="1"/>
  <c r="E68" i="1"/>
  <c r="E55" i="1"/>
  <c r="F55" i="1"/>
  <c r="H55" i="1"/>
  <c r="E56" i="1"/>
  <c r="F56" i="1"/>
  <c r="H56" i="1"/>
  <c r="E57" i="1"/>
  <c r="F57" i="1"/>
  <c r="H57" i="1"/>
  <c r="E58" i="1"/>
  <c r="F58" i="1"/>
  <c r="H58" i="1"/>
  <c r="E59" i="1"/>
  <c r="F59" i="1"/>
  <c r="H59" i="1"/>
  <c r="E60" i="1"/>
  <c r="F60" i="1"/>
  <c r="H60" i="1"/>
  <c r="F61" i="1"/>
  <c r="H61" i="1"/>
  <c r="H62" i="1"/>
  <c r="K54" i="1"/>
  <c r="E61" i="1"/>
  <c r="F42" i="1"/>
  <c r="H42" i="1"/>
  <c r="H43" i="1"/>
  <c r="K40" i="1"/>
  <c r="E42" i="1"/>
  <c r="K32" i="1"/>
  <c r="H37" i="1"/>
  <c r="H36" i="1"/>
  <c r="G36" i="1"/>
  <c r="F36" i="1"/>
  <c r="E36" i="1"/>
  <c r="E35" i="1"/>
  <c r="K18" i="1"/>
  <c r="H27" i="1"/>
  <c r="H26" i="1"/>
  <c r="G26" i="1"/>
  <c r="F26" i="1"/>
  <c r="E26" i="1"/>
  <c r="E25" i="1"/>
  <c r="B31" i="1"/>
  <c r="K3" i="1"/>
  <c r="H14" i="1"/>
  <c r="H13" i="1"/>
  <c r="G13" i="1"/>
  <c r="E13" i="1"/>
  <c r="F13" i="1"/>
  <c r="E12" i="1"/>
  <c r="D5" i="3"/>
  <c r="F14" i="3"/>
  <c r="F13" i="3"/>
  <c r="F12" i="3"/>
  <c r="F11" i="3"/>
  <c r="F10" i="3"/>
  <c r="F9" i="3"/>
  <c r="F8" i="3"/>
  <c r="F7" i="3"/>
  <c r="F6" i="3"/>
  <c r="F5" i="3"/>
  <c r="H8" i="3"/>
  <c r="I12" i="2"/>
  <c r="I3" i="2"/>
  <c r="I4" i="2"/>
  <c r="I5" i="2"/>
  <c r="I6" i="2"/>
  <c r="I7" i="2"/>
  <c r="I8" i="2"/>
  <c r="I9" i="2"/>
  <c r="I10" i="2"/>
  <c r="I11" i="2"/>
  <c r="I13" i="2"/>
  <c r="K18" i="2"/>
  <c r="I18" i="2"/>
  <c r="J18" i="2"/>
  <c r="L18" i="2"/>
  <c r="K19" i="2"/>
  <c r="I19" i="2"/>
  <c r="J19" i="2"/>
  <c r="L19" i="2"/>
  <c r="K20" i="2"/>
  <c r="I20" i="2"/>
  <c r="J20" i="2"/>
  <c r="L20" i="2"/>
  <c r="K21" i="2"/>
  <c r="I21" i="2"/>
  <c r="J21" i="2"/>
  <c r="L21" i="2"/>
  <c r="K22" i="2"/>
  <c r="I22" i="2"/>
  <c r="J22" i="2"/>
  <c r="L22" i="2"/>
  <c r="L23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F12" i="2"/>
  <c r="F13" i="2"/>
  <c r="F17" i="2"/>
  <c r="G12" i="2"/>
  <c r="G11" i="2"/>
  <c r="G10" i="2"/>
  <c r="G9" i="2"/>
  <c r="G8" i="2"/>
  <c r="G7" i="2"/>
  <c r="G6" i="2"/>
  <c r="G5" i="2"/>
  <c r="G4" i="2"/>
  <c r="G3" i="2"/>
  <c r="G90" i="1"/>
  <c r="E90" i="1"/>
  <c r="F90" i="1"/>
  <c r="H90" i="1"/>
  <c r="G91" i="1"/>
  <c r="E91" i="1"/>
  <c r="F91" i="1"/>
  <c r="H91" i="1"/>
  <c r="G92" i="1"/>
  <c r="E92" i="1"/>
  <c r="F92" i="1"/>
  <c r="H92" i="1"/>
  <c r="G93" i="1"/>
  <c r="E93" i="1"/>
  <c r="F93" i="1"/>
  <c r="H93" i="1"/>
  <c r="G94" i="1"/>
  <c r="F94" i="1"/>
  <c r="H94" i="1"/>
  <c r="G99" i="1"/>
  <c r="E99" i="1"/>
  <c r="F99" i="1"/>
  <c r="H99" i="1"/>
  <c r="G100" i="1"/>
  <c r="E100" i="1"/>
  <c r="F100" i="1"/>
  <c r="H100" i="1"/>
  <c r="G101" i="1"/>
  <c r="E101" i="1"/>
  <c r="F101" i="1"/>
  <c r="H101" i="1"/>
  <c r="G102" i="1"/>
  <c r="E102" i="1"/>
  <c r="F102" i="1"/>
  <c r="H102" i="1"/>
  <c r="G103" i="1"/>
  <c r="E103" i="1"/>
  <c r="F103" i="1"/>
  <c r="H103" i="1"/>
  <c r="G104" i="1"/>
  <c r="E104" i="1"/>
  <c r="F104" i="1"/>
  <c r="H104" i="1"/>
  <c r="G105" i="1"/>
  <c r="E105" i="1"/>
  <c r="F105" i="1"/>
  <c r="H105" i="1"/>
  <c r="G106" i="1"/>
  <c r="E106" i="1"/>
  <c r="F106" i="1"/>
  <c r="H106" i="1"/>
  <c r="G107" i="1"/>
  <c r="F107" i="1"/>
  <c r="H107" i="1"/>
  <c r="K99" i="1"/>
  <c r="K90" i="1"/>
  <c r="G75" i="1"/>
  <c r="E75" i="1"/>
  <c r="F75" i="1"/>
  <c r="H75" i="1"/>
  <c r="G76" i="1"/>
  <c r="E76" i="1"/>
  <c r="F76" i="1"/>
  <c r="G77" i="1"/>
  <c r="E77" i="1"/>
  <c r="F77" i="1"/>
  <c r="G78" i="1"/>
  <c r="E78" i="1"/>
  <c r="F78" i="1"/>
  <c r="G79" i="1"/>
  <c r="F79" i="1"/>
  <c r="K77" i="1"/>
  <c r="G67" i="1"/>
  <c r="E67" i="1"/>
  <c r="F67" i="1"/>
  <c r="H67" i="1"/>
  <c r="G68" i="1"/>
  <c r="G41" i="1"/>
  <c r="E41" i="1"/>
  <c r="F41" i="1"/>
  <c r="H41" i="1"/>
  <c r="G42" i="1"/>
  <c r="G17" i="1"/>
  <c r="E17" i="1"/>
  <c r="F17" i="1"/>
  <c r="H17" i="1"/>
  <c r="G18" i="1"/>
  <c r="E18" i="1"/>
  <c r="F18" i="1"/>
  <c r="H18" i="1"/>
  <c r="G19" i="1"/>
  <c r="E19" i="1"/>
  <c r="F19" i="1"/>
  <c r="H19" i="1"/>
  <c r="G20" i="1"/>
  <c r="E20" i="1"/>
  <c r="F20" i="1"/>
  <c r="H20" i="1"/>
  <c r="G21" i="1"/>
  <c r="E21" i="1"/>
  <c r="F21" i="1"/>
  <c r="H21" i="1"/>
  <c r="G22" i="1"/>
  <c r="E22" i="1"/>
  <c r="F22" i="1"/>
  <c r="H22" i="1"/>
  <c r="G23" i="1"/>
  <c r="E23" i="1"/>
  <c r="F23" i="1"/>
  <c r="H23" i="1"/>
  <c r="G24" i="1"/>
  <c r="E24" i="1"/>
  <c r="F24" i="1"/>
  <c r="H24" i="1"/>
  <c r="G25" i="1"/>
  <c r="F25" i="1"/>
  <c r="H25" i="1"/>
  <c r="G3" i="1"/>
  <c r="E3" i="1"/>
  <c r="F3" i="1"/>
  <c r="H3" i="1"/>
  <c r="G4" i="1"/>
  <c r="E4" i="1"/>
  <c r="F4" i="1"/>
  <c r="H4" i="1"/>
  <c r="G5" i="1"/>
  <c r="E5" i="1"/>
  <c r="F5" i="1"/>
  <c r="H5" i="1"/>
  <c r="G6" i="1"/>
  <c r="E6" i="1"/>
  <c r="F6" i="1"/>
  <c r="H6" i="1"/>
  <c r="G7" i="1"/>
  <c r="E7" i="1"/>
  <c r="F7" i="1"/>
  <c r="H7" i="1"/>
  <c r="G8" i="1"/>
  <c r="E8" i="1"/>
  <c r="F8" i="1"/>
  <c r="H8" i="1"/>
  <c r="G9" i="1"/>
  <c r="E9" i="1"/>
  <c r="F9" i="1"/>
  <c r="H9" i="1"/>
  <c r="G10" i="1"/>
  <c r="E10" i="1"/>
  <c r="F10" i="1"/>
  <c r="H10" i="1"/>
  <c r="G11" i="1"/>
  <c r="E11" i="1"/>
  <c r="F11" i="1"/>
  <c r="H11" i="1"/>
  <c r="G12" i="1"/>
  <c r="F12" i="1"/>
  <c r="H12" i="1"/>
  <c r="K4" i="1"/>
  <c r="K5" i="1"/>
  <c r="K6" i="1"/>
  <c r="J27" i="2"/>
  <c r="J28" i="2"/>
  <c r="J29" i="2"/>
  <c r="G31" i="1"/>
  <c r="E31" i="1"/>
  <c r="F31" i="1"/>
  <c r="H31" i="1"/>
  <c r="G32" i="1"/>
  <c r="E32" i="1"/>
  <c r="F32" i="1"/>
  <c r="H32" i="1"/>
  <c r="G33" i="1"/>
  <c r="E33" i="1"/>
  <c r="F33" i="1"/>
  <c r="H33" i="1"/>
  <c r="G34" i="1"/>
  <c r="E34" i="1"/>
  <c r="F34" i="1"/>
  <c r="H34" i="1"/>
  <c r="G35" i="1"/>
  <c r="F35" i="1"/>
  <c r="H35" i="1"/>
  <c r="K33" i="1"/>
  <c r="G18" i="3"/>
  <c r="G19" i="3"/>
  <c r="G20" i="3"/>
  <c r="G21" i="3"/>
  <c r="G22" i="3"/>
  <c r="I5" i="3"/>
  <c r="I6" i="3"/>
  <c r="I7" i="3"/>
  <c r="I8" i="3"/>
  <c r="I9" i="3"/>
  <c r="I10" i="3"/>
  <c r="I11" i="3"/>
  <c r="I12" i="3"/>
  <c r="I13" i="3"/>
  <c r="I14" i="3"/>
  <c r="I15" i="3"/>
  <c r="C15" i="3"/>
  <c r="H9" i="3"/>
  <c r="H6" i="3"/>
  <c r="H7" i="3"/>
  <c r="H10" i="3"/>
  <c r="H11" i="3"/>
  <c r="H12" i="3"/>
  <c r="H13" i="3"/>
  <c r="H14" i="3"/>
  <c r="H5" i="3"/>
  <c r="I20" i="3"/>
  <c r="I21" i="3"/>
  <c r="I19" i="3"/>
  <c r="I18" i="3"/>
  <c r="D13" i="2"/>
  <c r="K100" i="1"/>
  <c r="K101" i="1"/>
  <c r="K91" i="1"/>
  <c r="K92" i="1"/>
  <c r="K78" i="1"/>
  <c r="K79" i="1"/>
  <c r="K68" i="1"/>
  <c r="K69" i="1"/>
  <c r="K70" i="1"/>
  <c r="G54" i="1"/>
  <c r="E54" i="1"/>
  <c r="F54" i="1"/>
  <c r="H54" i="1"/>
  <c r="G55" i="1"/>
  <c r="G56" i="1"/>
  <c r="G57" i="1"/>
  <c r="G58" i="1"/>
  <c r="G59" i="1"/>
  <c r="G60" i="1"/>
  <c r="G61" i="1"/>
  <c r="K55" i="1"/>
  <c r="K56" i="1"/>
  <c r="K57" i="1"/>
  <c r="K41" i="1"/>
  <c r="K42" i="1"/>
  <c r="K43" i="1"/>
  <c r="K34" i="1"/>
  <c r="K35" i="1"/>
  <c r="K19" i="1"/>
  <c r="K20" i="1"/>
  <c r="K21" i="1"/>
  <c r="I22" i="3" a="1"/>
  <c r="I22" i="3"/>
  <c r="H15" i="3" a="1"/>
  <c r="H15" i="3"/>
</calcChain>
</file>

<file path=xl/comments1.xml><?xml version="1.0" encoding="utf-8"?>
<comments xmlns="http://schemas.openxmlformats.org/spreadsheetml/2006/main">
  <authors>
    <author>Microsoft Office Kullanıcısı</author>
  </authors>
  <commentList>
    <comment ref="H22" authorId="0">
      <text>
        <r>
          <rPr>
            <b/>
            <sz val="10"/>
            <color indexed="81"/>
            <rFont val="Calibri"/>
          </rPr>
          <t>Microsoft Office Kullanıcısı:</t>
        </r>
        <r>
          <rPr>
            <sz val="10"/>
            <color indexed="81"/>
            <rFont val="Calibri"/>
          </rPr>
          <t xml:space="preserve">
For simplicity, I take the duration as 5</t>
        </r>
      </text>
    </comment>
  </commentList>
</comments>
</file>

<file path=xl/sharedStrings.xml><?xml version="1.0" encoding="utf-8"?>
<sst xmlns="http://schemas.openxmlformats.org/spreadsheetml/2006/main" count="234" uniqueCount="51">
  <si>
    <t>Face Value ($)</t>
  </si>
  <si>
    <t>Date offered</t>
  </si>
  <si>
    <t xml:space="preserve">Maturity Date </t>
  </si>
  <si>
    <t>Period</t>
  </si>
  <si>
    <t>Cash Flow</t>
  </si>
  <si>
    <t>Period*CF</t>
  </si>
  <si>
    <t>PV of the CF</t>
  </si>
  <si>
    <t>PV of 1$ at 2,1%</t>
  </si>
  <si>
    <t>Macaulay Duration</t>
  </si>
  <si>
    <t>1% increase in interest rate</t>
  </si>
  <si>
    <t>Modified Duration</t>
  </si>
  <si>
    <t>Price Volatility</t>
  </si>
  <si>
    <t>Price Elasticity (%)</t>
  </si>
  <si>
    <t xml:space="preserve">Price Elasticity </t>
  </si>
  <si>
    <t xml:space="preserve">Annual Coupon </t>
  </si>
  <si>
    <t>Weights</t>
  </si>
  <si>
    <t>Modified Duration for Portfolio</t>
  </si>
  <si>
    <t>Yield</t>
  </si>
  <si>
    <t>Maturity</t>
  </si>
  <si>
    <t>Face Value</t>
  </si>
  <si>
    <t>Liability</t>
  </si>
  <si>
    <t>PV</t>
  </si>
  <si>
    <t>trade date</t>
  </si>
  <si>
    <t>Weight</t>
  </si>
  <si>
    <t>Mduration</t>
  </si>
  <si>
    <t>Coupon</t>
  </si>
  <si>
    <t>Approx</t>
  </si>
  <si>
    <t>Price</t>
  </si>
  <si>
    <t>Trade Price ($)</t>
  </si>
  <si>
    <t>PV of 1$ at 7,35%</t>
  </si>
  <si>
    <t>PV of 1$ at 7,125%</t>
  </si>
  <si>
    <t>PV of 1$ at 1,1%</t>
  </si>
  <si>
    <t>PV of 1$ at 1,2%</t>
  </si>
  <si>
    <t>PV of 1$ at 3.8%</t>
  </si>
  <si>
    <t>PV of 1$ at 2,2%</t>
  </si>
  <si>
    <t>PV of 1$ at 6%</t>
  </si>
  <si>
    <t>PV of 1$ at 2,75%</t>
  </si>
  <si>
    <t>weighted average of duration</t>
  </si>
  <si>
    <t>Weighted Yield</t>
  </si>
  <si>
    <t>Fixed Income Data</t>
  </si>
  <si>
    <t>AT&amp;T</t>
  </si>
  <si>
    <t>Morgan Stanley</t>
  </si>
  <si>
    <t>Hyatt</t>
  </si>
  <si>
    <t>Korea National Oil</t>
  </si>
  <si>
    <t>Citigroup</t>
  </si>
  <si>
    <t>Actavis</t>
  </si>
  <si>
    <t>JP Morgan</t>
  </si>
  <si>
    <t>Caterpillar</t>
  </si>
  <si>
    <t>Apple</t>
  </si>
  <si>
    <t>Sprint</t>
  </si>
  <si>
    <t>Face value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</si>
</sst>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0.0000"/>
    <numFmt numFmtId="166" formatCode="0.0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1" fillId="0" borderId="0" xfId="0" applyNumberFormat="1" applyFont="1"/>
    <xf numFmtId="2" fontId="1" fillId="0" borderId="0" xfId="0" applyNumberFormat="1" applyFont="1"/>
    <xf numFmtId="0" fontId="1" fillId="0" borderId="0" xfId="0" applyNumberFormat="1" applyFont="1"/>
    <xf numFmtId="165" fontId="0" fillId="0" borderId="0" xfId="0" applyNumberFormat="1"/>
    <xf numFmtId="1" fontId="0" fillId="0" borderId="0" xfId="0" applyNumberFormat="1"/>
    <xf numFmtId="17" fontId="0" fillId="0" borderId="0" xfId="0" applyNumberFormat="1"/>
    <xf numFmtId="0" fontId="4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4" fontId="0" fillId="0" borderId="0" xfId="0" applyNumberFormat="1"/>
    <xf numFmtId="166" fontId="0" fillId="0" borderId="0" xfId="0" applyNumberFormat="1"/>
  </cellXfs>
  <cellStyles count="261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İzlenen Köprü" xfId="26" builtinId="9" hidden="1"/>
    <cellStyle name="İzlenen Köprü" xfId="28" builtinId="9" hidden="1"/>
    <cellStyle name="İzlenen Köprü" xfId="30" builtinId="9" hidden="1"/>
    <cellStyle name="İzlenen Köprü" xfId="32" builtinId="9" hidden="1"/>
    <cellStyle name="İzlenen Köprü" xfId="34" builtinId="9" hidden="1"/>
    <cellStyle name="İzlenen Köprü" xfId="36" builtinId="9" hidden="1"/>
    <cellStyle name="İzlenen Köprü" xfId="38" builtinId="9" hidden="1"/>
    <cellStyle name="İzlenen Köprü" xfId="40" builtinId="9" hidden="1"/>
    <cellStyle name="İzlenen Köprü" xfId="42" builtinId="9" hidden="1"/>
    <cellStyle name="İzlenen Köprü" xfId="44" builtinId="9" hidden="1"/>
    <cellStyle name="İzlenen Köprü" xfId="46" builtinId="9" hidden="1"/>
    <cellStyle name="İzlenen Köprü" xfId="48" builtinId="9" hidden="1"/>
    <cellStyle name="İzlenen Köprü" xfId="50" builtinId="9" hidden="1"/>
    <cellStyle name="İzlenen Köprü" xfId="52" builtinId="9" hidden="1"/>
    <cellStyle name="İzlenen Köprü" xfId="54" builtinId="9" hidden="1"/>
    <cellStyle name="İzlenen Köprü" xfId="56" builtinId="9" hidden="1"/>
    <cellStyle name="İzlenen Köprü" xfId="58" builtinId="9" hidden="1"/>
    <cellStyle name="İzlenen Köprü" xfId="60" builtinId="9" hidden="1"/>
    <cellStyle name="İzlenen Köprü" xfId="62" builtinId="9" hidden="1"/>
    <cellStyle name="İzlenen Köprü" xfId="64" builtinId="9" hidden="1"/>
    <cellStyle name="İzlenen Köprü" xfId="66" builtinId="9" hidden="1"/>
    <cellStyle name="İzlenen Köprü" xfId="68" builtinId="9" hidden="1"/>
    <cellStyle name="İzlenen Köprü" xfId="70" builtinId="9" hidden="1"/>
    <cellStyle name="İzlenen Köprü" xfId="72" builtinId="9" hidden="1"/>
    <cellStyle name="İzlenen Köprü" xfId="74" builtinId="9" hidden="1"/>
    <cellStyle name="İzlenen Köprü" xfId="76" builtinId="9" hidden="1"/>
    <cellStyle name="İzlenen Köprü" xfId="78" builtinId="9" hidden="1"/>
    <cellStyle name="İzlenen Köprü" xfId="80" builtinId="9" hidden="1"/>
    <cellStyle name="İzlenen Köprü" xfId="82" builtinId="9" hidden="1"/>
    <cellStyle name="İzlenen Köprü" xfId="84" builtinId="9" hidden="1"/>
    <cellStyle name="İzlenen Köprü" xfId="86" builtinId="9" hidden="1"/>
    <cellStyle name="İzlenen Köprü" xfId="88" builtinId="9" hidden="1"/>
    <cellStyle name="İzlenen Köprü" xfId="90" builtinId="9" hidden="1"/>
    <cellStyle name="İzlenen Köprü" xfId="92" builtinId="9" hidden="1"/>
    <cellStyle name="İzlenen Köprü" xfId="94" builtinId="9" hidden="1"/>
    <cellStyle name="İzlenen Köprü" xfId="96" builtinId="9" hidden="1"/>
    <cellStyle name="İzlenen Köprü" xfId="98" builtinId="9" hidden="1"/>
    <cellStyle name="İzlenen Köprü" xfId="100" builtinId="9" hidden="1"/>
    <cellStyle name="İzlenen Köprü" xfId="102" builtinId="9" hidden="1"/>
    <cellStyle name="İzlenen Köprü" xfId="104" builtinId="9" hidden="1"/>
    <cellStyle name="İzlenen Köprü" xfId="106" builtinId="9" hidden="1"/>
    <cellStyle name="İzlenen Köprü" xfId="108" builtinId="9" hidden="1"/>
    <cellStyle name="İzlenen Köprü" xfId="110" builtinId="9" hidden="1"/>
    <cellStyle name="İzlenen Köprü" xfId="112" builtinId="9" hidden="1"/>
    <cellStyle name="İzlenen Köprü" xfId="114" builtinId="9" hidden="1"/>
    <cellStyle name="İzlenen Köprü" xfId="116" builtinId="9" hidden="1"/>
    <cellStyle name="İzlenen Köprü" xfId="118" builtinId="9" hidden="1"/>
    <cellStyle name="İzlenen Köprü" xfId="120" builtinId="9" hidden="1"/>
    <cellStyle name="İzlenen Köprü" xfId="122" builtinId="9" hidden="1"/>
    <cellStyle name="İzlenen Köprü" xfId="124" builtinId="9" hidden="1"/>
    <cellStyle name="İzlenen Köprü" xfId="126" builtinId="9" hidden="1"/>
    <cellStyle name="İzlenen Köprü" xfId="128" builtinId="9" hidden="1"/>
    <cellStyle name="İzlenen Köprü" xfId="130" builtinId="9" hidden="1"/>
    <cellStyle name="İzlenen Köprü" xfId="132" builtinId="9" hidden="1"/>
    <cellStyle name="İzlenen Köprü" xfId="134" builtinId="9" hidden="1"/>
    <cellStyle name="İzlenen Köprü" xfId="136" builtinId="9" hidden="1"/>
    <cellStyle name="İzlenen Köprü" xfId="138" builtinId="9" hidden="1"/>
    <cellStyle name="İzlenen Köprü" xfId="140" builtinId="9" hidden="1"/>
    <cellStyle name="İzlenen Köprü" xfId="142" builtinId="9" hidden="1"/>
    <cellStyle name="İzlenen Köprü" xfId="144" builtinId="9" hidden="1"/>
    <cellStyle name="İzlenen Köprü" xfId="146" builtinId="9" hidden="1"/>
    <cellStyle name="İzlenen Köprü" xfId="148" builtinId="9" hidden="1"/>
    <cellStyle name="İzlenen Köprü" xfId="150" builtinId="9" hidden="1"/>
    <cellStyle name="İzlenen Köprü" xfId="152" builtinId="9" hidden="1"/>
    <cellStyle name="İzlenen Köprü" xfId="154" builtinId="9" hidden="1"/>
    <cellStyle name="İzlenen Köprü" xfId="156" builtinId="9" hidden="1"/>
    <cellStyle name="İzlenen Köprü" xfId="158" builtinId="9" hidden="1"/>
    <cellStyle name="İzlenen Köprü" xfId="160" builtinId="9" hidden="1"/>
    <cellStyle name="İzlenen Köprü" xfId="162" builtinId="9" hidden="1"/>
    <cellStyle name="İzlenen Köprü" xfId="164" builtinId="9" hidden="1"/>
    <cellStyle name="İzlenen Köprü" xfId="166" builtinId="9" hidden="1"/>
    <cellStyle name="İzlenen Köprü" xfId="168" builtinId="9" hidden="1"/>
    <cellStyle name="İzlenen Köprü" xfId="170" builtinId="9" hidden="1"/>
    <cellStyle name="İzlenen Köprü" xfId="172" builtinId="9" hidden="1"/>
    <cellStyle name="İzlenen Köprü" xfId="174" builtinId="9" hidden="1"/>
    <cellStyle name="İzlenen Köprü" xfId="176" builtinId="9" hidden="1"/>
    <cellStyle name="İzlenen Köprü" xfId="178" builtinId="9" hidden="1"/>
    <cellStyle name="İzlenen Köprü" xfId="180" builtinId="9" hidden="1"/>
    <cellStyle name="İzlenen Köprü" xfId="182" builtinId="9" hidden="1"/>
    <cellStyle name="İzlenen Köprü" xfId="184" builtinId="9" hidden="1"/>
    <cellStyle name="İzlenen Köprü" xfId="186" builtinId="9" hidden="1"/>
    <cellStyle name="İzlenen Köprü" xfId="188" builtinId="9" hidden="1"/>
    <cellStyle name="İzlenen Köprü" xfId="190" builtinId="9" hidden="1"/>
    <cellStyle name="İzlenen Köprü" xfId="192" builtinId="9" hidden="1"/>
    <cellStyle name="İzlenen Köprü" xfId="194" builtinId="9" hidden="1"/>
    <cellStyle name="İzlenen Köprü" xfId="196" builtinId="9" hidden="1"/>
    <cellStyle name="İzlenen Köprü" xfId="198" builtinId="9" hidden="1"/>
    <cellStyle name="İzlenen Köprü" xfId="200" builtinId="9" hidden="1"/>
    <cellStyle name="İzlenen Köprü" xfId="202" builtinId="9" hidden="1"/>
    <cellStyle name="İzlenen Köprü" xfId="204" builtinId="9" hidden="1"/>
    <cellStyle name="İzlenen Köprü" xfId="206" builtinId="9" hidden="1"/>
    <cellStyle name="İzlenen Köprü" xfId="208" builtinId="9" hidden="1"/>
    <cellStyle name="İzlenen Köprü" xfId="210" builtinId="9" hidden="1"/>
    <cellStyle name="İzlenen Köprü" xfId="212" builtinId="9" hidden="1"/>
    <cellStyle name="İzlenen Köprü" xfId="214" builtinId="9" hidden="1"/>
    <cellStyle name="İzlenen Köprü" xfId="216" builtinId="9" hidden="1"/>
    <cellStyle name="İzlenen Köprü" xfId="218" builtinId="9" hidden="1"/>
    <cellStyle name="İzlenen Köprü" xfId="220" builtinId="9" hidden="1"/>
    <cellStyle name="İzlenen Köprü" xfId="222" builtinId="9" hidden="1"/>
    <cellStyle name="İzlenen Köprü" xfId="224" builtinId="9" hidden="1"/>
    <cellStyle name="İzlenen Köprü" xfId="226" builtinId="9" hidden="1"/>
    <cellStyle name="İzlenen Köprü" xfId="228" builtinId="9" hidden="1"/>
    <cellStyle name="İzlenen Köprü" xfId="230" builtinId="9" hidden="1"/>
    <cellStyle name="İzlenen Köprü" xfId="232" builtinId="9" hidden="1"/>
    <cellStyle name="İzlenen Köprü" xfId="234" builtinId="9" hidden="1"/>
    <cellStyle name="İzlenen Köprü" xfId="236" builtinId="9" hidden="1"/>
    <cellStyle name="İzlenen Köprü" xfId="238" builtinId="9" hidden="1"/>
    <cellStyle name="İzlenen Köprü" xfId="240" builtinId="9" hidden="1"/>
    <cellStyle name="İzlenen Köprü" xfId="242" builtinId="9" hidden="1"/>
    <cellStyle name="İzlenen Köprü" xfId="244" builtinId="9" hidden="1"/>
    <cellStyle name="İzlenen Köprü" xfId="246" builtinId="9" hidden="1"/>
    <cellStyle name="İzlenen Köprü" xfId="248" builtinId="9" hidden="1"/>
    <cellStyle name="İzlenen Köprü" xfId="250" builtinId="9" hidden="1"/>
    <cellStyle name="İzlenen Köprü" xfId="252" builtinId="9" hidden="1"/>
    <cellStyle name="İzlenen Köprü" xfId="254" builtinId="9" hidden="1"/>
    <cellStyle name="İzlenen Köprü" xfId="256" builtinId="9" hidden="1"/>
    <cellStyle name="İzlenen Köprü" xfId="258" builtinId="9" hidden="1"/>
    <cellStyle name="İzlenen Köprü" xfId="260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Köprü" xfId="25" builtinId="8" hidden="1"/>
    <cellStyle name="Köprü" xfId="27" builtinId="8" hidden="1"/>
    <cellStyle name="Köprü" xfId="29" builtinId="8" hidden="1"/>
    <cellStyle name="Köprü" xfId="31" builtinId="8" hidden="1"/>
    <cellStyle name="Köprü" xfId="33" builtinId="8" hidden="1"/>
    <cellStyle name="Köprü" xfId="35" builtinId="8" hidden="1"/>
    <cellStyle name="Köprü" xfId="37" builtinId="8" hidden="1"/>
    <cellStyle name="Köprü" xfId="39" builtinId="8" hidden="1"/>
    <cellStyle name="Köprü" xfId="41" builtinId="8" hidden="1"/>
    <cellStyle name="Köprü" xfId="43" builtinId="8" hidden="1"/>
    <cellStyle name="Köprü" xfId="45" builtinId="8" hidden="1"/>
    <cellStyle name="Köprü" xfId="47" builtinId="8" hidden="1"/>
    <cellStyle name="Köprü" xfId="49" builtinId="8" hidden="1"/>
    <cellStyle name="Köprü" xfId="51" builtinId="8" hidden="1"/>
    <cellStyle name="Köprü" xfId="53" builtinId="8" hidden="1"/>
    <cellStyle name="Köprü" xfId="55" builtinId="8" hidden="1"/>
    <cellStyle name="Köprü" xfId="57" builtinId="8" hidden="1"/>
    <cellStyle name="Köprü" xfId="59" builtinId="8" hidden="1"/>
    <cellStyle name="Köprü" xfId="61" builtinId="8" hidden="1"/>
    <cellStyle name="Köprü" xfId="63" builtinId="8" hidden="1"/>
    <cellStyle name="Köprü" xfId="65" builtinId="8" hidden="1"/>
    <cellStyle name="Köprü" xfId="67" builtinId="8" hidden="1"/>
    <cellStyle name="Köprü" xfId="69" builtinId="8" hidden="1"/>
    <cellStyle name="Köprü" xfId="71" builtinId="8" hidden="1"/>
    <cellStyle name="Köprü" xfId="73" builtinId="8" hidden="1"/>
    <cellStyle name="Köprü" xfId="75" builtinId="8" hidden="1"/>
    <cellStyle name="Köprü" xfId="77" builtinId="8" hidden="1"/>
    <cellStyle name="Köprü" xfId="79" builtinId="8" hidden="1"/>
    <cellStyle name="Köprü" xfId="81" builtinId="8" hidden="1"/>
    <cellStyle name="Köprü" xfId="83" builtinId="8" hidden="1"/>
    <cellStyle name="Köprü" xfId="85" builtinId="8" hidden="1"/>
    <cellStyle name="Köprü" xfId="87" builtinId="8" hidden="1"/>
    <cellStyle name="Köprü" xfId="89" builtinId="8" hidden="1"/>
    <cellStyle name="Köprü" xfId="91" builtinId="8" hidden="1"/>
    <cellStyle name="Köprü" xfId="93" builtinId="8" hidden="1"/>
    <cellStyle name="Köprü" xfId="95" builtinId="8" hidden="1"/>
    <cellStyle name="Köprü" xfId="97" builtinId="8" hidden="1"/>
    <cellStyle name="Köprü" xfId="99" builtinId="8" hidden="1"/>
    <cellStyle name="Köprü" xfId="101" builtinId="8" hidden="1"/>
    <cellStyle name="Köprü" xfId="103" builtinId="8" hidden="1"/>
    <cellStyle name="Köprü" xfId="105" builtinId="8" hidden="1"/>
    <cellStyle name="Köprü" xfId="107" builtinId="8" hidden="1"/>
    <cellStyle name="Köprü" xfId="109" builtinId="8" hidden="1"/>
    <cellStyle name="Köprü" xfId="111" builtinId="8" hidden="1"/>
    <cellStyle name="Köprü" xfId="113" builtinId="8" hidden="1"/>
    <cellStyle name="Köprü" xfId="115" builtinId="8" hidden="1"/>
    <cellStyle name="Köprü" xfId="117" builtinId="8" hidden="1"/>
    <cellStyle name="Köprü" xfId="119" builtinId="8" hidden="1"/>
    <cellStyle name="Köprü" xfId="121" builtinId="8" hidden="1"/>
    <cellStyle name="Köprü" xfId="123" builtinId="8" hidden="1"/>
    <cellStyle name="Köprü" xfId="125" builtinId="8" hidden="1"/>
    <cellStyle name="Köprü" xfId="127" builtinId="8" hidden="1"/>
    <cellStyle name="Köprü" xfId="129" builtinId="8" hidden="1"/>
    <cellStyle name="Köprü" xfId="131" builtinId="8" hidden="1"/>
    <cellStyle name="Köprü" xfId="133" builtinId="8" hidden="1"/>
    <cellStyle name="Köprü" xfId="135" builtinId="8" hidden="1"/>
    <cellStyle name="Köprü" xfId="137" builtinId="8" hidden="1"/>
    <cellStyle name="Köprü" xfId="139" builtinId="8" hidden="1"/>
    <cellStyle name="Köprü" xfId="141" builtinId="8" hidden="1"/>
    <cellStyle name="Köprü" xfId="143" builtinId="8" hidden="1"/>
    <cellStyle name="Köprü" xfId="145" builtinId="8" hidden="1"/>
    <cellStyle name="Köprü" xfId="147" builtinId="8" hidden="1"/>
    <cellStyle name="Köprü" xfId="149" builtinId="8" hidden="1"/>
    <cellStyle name="Köprü" xfId="151" builtinId="8" hidden="1"/>
    <cellStyle name="Köprü" xfId="153" builtinId="8" hidden="1"/>
    <cellStyle name="Köprü" xfId="155" builtinId="8" hidden="1"/>
    <cellStyle name="Köprü" xfId="157" builtinId="8" hidden="1"/>
    <cellStyle name="Köprü" xfId="159" builtinId="8" hidden="1"/>
    <cellStyle name="Köprü" xfId="161" builtinId="8" hidden="1"/>
    <cellStyle name="Köprü" xfId="163" builtinId="8" hidden="1"/>
    <cellStyle name="Köprü" xfId="165" builtinId="8" hidden="1"/>
    <cellStyle name="Köprü" xfId="167" builtinId="8" hidden="1"/>
    <cellStyle name="Köprü" xfId="169" builtinId="8" hidden="1"/>
    <cellStyle name="Köprü" xfId="171" builtinId="8" hidden="1"/>
    <cellStyle name="Köprü" xfId="173" builtinId="8" hidden="1"/>
    <cellStyle name="Köprü" xfId="175" builtinId="8" hidden="1"/>
    <cellStyle name="Köprü" xfId="177" builtinId="8" hidden="1"/>
    <cellStyle name="Köprü" xfId="179" builtinId="8" hidden="1"/>
    <cellStyle name="Köprü" xfId="181" builtinId="8" hidden="1"/>
    <cellStyle name="Köprü" xfId="183" builtinId="8" hidden="1"/>
    <cellStyle name="Köprü" xfId="185" builtinId="8" hidden="1"/>
    <cellStyle name="Köprü" xfId="187" builtinId="8" hidden="1"/>
    <cellStyle name="Köprü" xfId="189" builtinId="8" hidden="1"/>
    <cellStyle name="Köprü" xfId="191" builtinId="8" hidden="1"/>
    <cellStyle name="Köprü" xfId="193" builtinId="8" hidden="1"/>
    <cellStyle name="Köprü" xfId="195" builtinId="8" hidden="1"/>
    <cellStyle name="Köprü" xfId="197" builtinId="8" hidden="1"/>
    <cellStyle name="Köprü" xfId="199" builtinId="8" hidden="1"/>
    <cellStyle name="Köprü" xfId="201" builtinId="8" hidden="1"/>
    <cellStyle name="Köprü" xfId="203" builtinId="8" hidden="1"/>
    <cellStyle name="Köprü" xfId="205" builtinId="8" hidden="1"/>
    <cellStyle name="Köprü" xfId="207" builtinId="8" hidden="1"/>
    <cellStyle name="Köprü" xfId="209" builtinId="8" hidden="1"/>
    <cellStyle name="Köprü" xfId="211" builtinId="8" hidden="1"/>
    <cellStyle name="Köprü" xfId="213" builtinId="8" hidden="1"/>
    <cellStyle name="Köprü" xfId="215" builtinId="8" hidden="1"/>
    <cellStyle name="Köprü" xfId="217" builtinId="8" hidden="1"/>
    <cellStyle name="Köprü" xfId="219" builtinId="8" hidden="1"/>
    <cellStyle name="Köprü" xfId="221" builtinId="8" hidden="1"/>
    <cellStyle name="Köprü" xfId="223" builtinId="8" hidden="1"/>
    <cellStyle name="Köprü" xfId="225" builtinId="8" hidden="1"/>
    <cellStyle name="Köprü" xfId="227" builtinId="8" hidden="1"/>
    <cellStyle name="Köprü" xfId="229" builtinId="8" hidden="1"/>
    <cellStyle name="Köprü" xfId="231" builtinId="8" hidden="1"/>
    <cellStyle name="Köprü" xfId="233" builtinId="8" hidden="1"/>
    <cellStyle name="Köprü" xfId="235" builtinId="8" hidden="1"/>
    <cellStyle name="Köprü" xfId="237" builtinId="8" hidden="1"/>
    <cellStyle name="Köprü" xfId="239" builtinId="8" hidden="1"/>
    <cellStyle name="Köprü" xfId="241" builtinId="8" hidden="1"/>
    <cellStyle name="Köprü" xfId="243" builtinId="8" hidden="1"/>
    <cellStyle name="Köprü" xfId="245" builtinId="8" hidden="1"/>
    <cellStyle name="Köprü" xfId="247" builtinId="8" hidden="1"/>
    <cellStyle name="Köprü" xfId="249" builtinId="8" hidden="1"/>
    <cellStyle name="Köprü" xfId="251" builtinId="8" hidden="1"/>
    <cellStyle name="Köprü" xfId="253" builtinId="8" hidden="1"/>
    <cellStyle name="Köprü" xfId="255" builtinId="8" hidden="1"/>
    <cellStyle name="Köprü" xfId="257" builtinId="8" hidden="1"/>
    <cellStyle name="Köprü" xfId="25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s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topLeftCell="A11" workbookViewId="0">
      <selection activeCell="G12" sqref="G12"/>
    </sheetView>
  </sheetViews>
  <sheetFormatPr baseColWidth="10" defaultRowHeight="16" x14ac:dyDescent="0.2"/>
  <cols>
    <col min="1" max="1" width="20.5" customWidth="1"/>
    <col min="2" max="2" width="13.5" customWidth="1"/>
    <col min="6" max="6" width="15.5" customWidth="1"/>
    <col min="7" max="7" width="18.1640625" customWidth="1"/>
    <col min="8" max="8" width="14.33203125" customWidth="1"/>
    <col min="10" max="10" width="17.6640625" customWidth="1"/>
    <col min="11" max="11" width="11.83203125" bestFit="1" customWidth="1"/>
  </cols>
  <sheetData>
    <row r="1" spans="1:11" x14ac:dyDescent="0.2">
      <c r="A1" s="1" t="s">
        <v>40</v>
      </c>
    </row>
    <row r="2" spans="1:11" x14ac:dyDescent="0.2">
      <c r="A2" t="s">
        <v>14</v>
      </c>
      <c r="B2" s="9">
        <v>6.3E-2</v>
      </c>
      <c r="D2" s="1" t="s">
        <v>3</v>
      </c>
      <c r="E2" s="1" t="s">
        <v>4</v>
      </c>
      <c r="F2" s="1" t="s">
        <v>5</v>
      </c>
      <c r="G2" s="1" t="s">
        <v>29</v>
      </c>
      <c r="H2" s="1" t="s">
        <v>6</v>
      </c>
    </row>
    <row r="3" spans="1:11" x14ac:dyDescent="0.2">
      <c r="A3" t="s">
        <v>0</v>
      </c>
      <c r="B3" s="10">
        <v>1000</v>
      </c>
      <c r="D3">
        <v>1</v>
      </c>
      <c r="E3">
        <f>B$3*B$2</f>
        <v>63</v>
      </c>
      <c r="F3">
        <f>D3*E3</f>
        <v>63</v>
      </c>
      <c r="G3">
        <f>1/(1+B$2)</f>
        <v>0.94073377234242717</v>
      </c>
      <c r="H3">
        <f>G3*F3</f>
        <v>59.266227657572912</v>
      </c>
      <c r="J3" s="1" t="s">
        <v>8</v>
      </c>
      <c r="K3">
        <f>H14/B3</f>
        <v>8.2565969603358518</v>
      </c>
    </row>
    <row r="4" spans="1:11" x14ac:dyDescent="0.2">
      <c r="A4" t="s">
        <v>1</v>
      </c>
      <c r="B4" s="11">
        <v>42856</v>
      </c>
      <c r="D4">
        <v>2</v>
      </c>
      <c r="E4">
        <f t="shared" ref="E4:E12" si="0">B$3*B$2</f>
        <v>63</v>
      </c>
      <c r="F4">
        <f t="shared" ref="F4:F13" si="1">D4*E4</f>
        <v>126</v>
      </c>
      <c r="G4">
        <f>1/(1+B$2)^2</f>
        <v>0.88498003042561357</v>
      </c>
      <c r="H4">
        <f t="shared" ref="H4:H13" si="2">G4*F4</f>
        <v>111.5074838336273</v>
      </c>
      <c r="J4" s="1" t="s">
        <v>10</v>
      </c>
      <c r="K4">
        <f>K3/(1+B2)</f>
        <v>7.7672596052077632</v>
      </c>
    </row>
    <row r="5" spans="1:11" x14ac:dyDescent="0.2">
      <c r="A5" t="s">
        <v>2</v>
      </c>
      <c r="B5" s="11">
        <v>46874</v>
      </c>
      <c r="D5">
        <v>3</v>
      </c>
      <c r="E5">
        <f t="shared" si="0"/>
        <v>63</v>
      </c>
      <c r="F5">
        <f t="shared" si="1"/>
        <v>189</v>
      </c>
      <c r="G5">
        <f>1/(1+B$2)^3</f>
        <v>0.83253060247000343</v>
      </c>
      <c r="H5">
        <f t="shared" si="2"/>
        <v>157.34828386683066</v>
      </c>
      <c r="J5" s="1" t="s">
        <v>12</v>
      </c>
      <c r="K5">
        <f>-K4*(0.01)*100</f>
        <v>-7.7672596052077632</v>
      </c>
    </row>
    <row r="6" spans="1:11" x14ac:dyDescent="0.2">
      <c r="A6" t="s">
        <v>28</v>
      </c>
      <c r="B6" s="15">
        <v>114.63500000000001</v>
      </c>
      <c r="D6">
        <v>4</v>
      </c>
      <c r="E6">
        <f t="shared" si="0"/>
        <v>63</v>
      </c>
      <c r="F6">
        <f t="shared" si="1"/>
        <v>252</v>
      </c>
      <c r="G6">
        <f>1/(1+B$2)^4</f>
        <v>0.78318965425211995</v>
      </c>
      <c r="H6">
        <f t="shared" si="2"/>
        <v>197.36379287153423</v>
      </c>
      <c r="J6" s="1" t="s">
        <v>11</v>
      </c>
      <c r="K6">
        <f>K5*0.01/(1+B2)</f>
        <v>-7.3069234291700508E-2</v>
      </c>
    </row>
    <row r="7" spans="1:11" x14ac:dyDescent="0.2">
      <c r="A7" t="s">
        <v>17</v>
      </c>
      <c r="B7">
        <v>5.5E-2</v>
      </c>
      <c r="D7">
        <v>5</v>
      </c>
      <c r="E7">
        <f t="shared" si="0"/>
        <v>63</v>
      </c>
      <c r="F7">
        <f t="shared" si="1"/>
        <v>315</v>
      </c>
      <c r="G7">
        <f>1/(1+B$2)^5</f>
        <v>0.73677295790415809</v>
      </c>
      <c r="H7">
        <f t="shared" si="2"/>
        <v>232.0834817398098</v>
      </c>
    </row>
    <row r="8" spans="1:11" x14ac:dyDescent="0.2">
      <c r="D8">
        <v>6</v>
      </c>
      <c r="E8">
        <f t="shared" si="0"/>
        <v>63</v>
      </c>
      <c r="F8">
        <f t="shared" si="1"/>
        <v>378</v>
      </c>
      <c r="G8">
        <f>1/(1+B$2)^6</f>
        <v>0.693107204049067</v>
      </c>
      <c r="H8">
        <f t="shared" si="2"/>
        <v>261.99452313054735</v>
      </c>
    </row>
    <row r="9" spans="1:11" x14ac:dyDescent="0.2">
      <c r="D9">
        <v>7</v>
      </c>
      <c r="E9">
        <f t="shared" si="0"/>
        <v>63</v>
      </c>
      <c r="F9">
        <f t="shared" si="1"/>
        <v>441</v>
      </c>
      <c r="G9">
        <f>1/(1+B$2)^7</f>
        <v>0.65202935470279111</v>
      </c>
      <c r="H9">
        <f t="shared" si="2"/>
        <v>287.54494542393087</v>
      </c>
    </row>
    <row r="10" spans="1:11" x14ac:dyDescent="0.2">
      <c r="D10">
        <v>8</v>
      </c>
      <c r="E10">
        <f t="shared" si="0"/>
        <v>63</v>
      </c>
      <c r="F10">
        <f t="shared" si="1"/>
        <v>504</v>
      </c>
      <c r="G10">
        <f>1/(1+B$2)^8</f>
        <v>0.61338603452755525</v>
      </c>
      <c r="H10">
        <f t="shared" si="2"/>
        <v>309.14656140188782</v>
      </c>
    </row>
    <row r="11" spans="1:11" x14ac:dyDescent="0.2">
      <c r="D11">
        <v>9</v>
      </c>
      <c r="E11">
        <f t="shared" si="0"/>
        <v>63</v>
      </c>
      <c r="F11">
        <f t="shared" si="1"/>
        <v>567</v>
      </c>
      <c r="G11">
        <f>1/(1+B$2)^9</f>
        <v>0.57703295816326927</v>
      </c>
      <c r="H11">
        <f t="shared" si="2"/>
        <v>327.17768727857367</v>
      </c>
    </row>
    <row r="12" spans="1:11" x14ac:dyDescent="0.2">
      <c r="D12">
        <v>10</v>
      </c>
      <c r="E12">
        <f t="shared" si="0"/>
        <v>63</v>
      </c>
      <c r="F12">
        <f t="shared" si="1"/>
        <v>630</v>
      </c>
      <c r="G12">
        <f>1/(1+B$2)^10</f>
        <v>0.54283439149884227</v>
      </c>
      <c r="H12">
        <f t="shared" si="2"/>
        <v>341.98566664427062</v>
      </c>
    </row>
    <row r="13" spans="1:11" x14ac:dyDescent="0.2">
      <c r="D13">
        <v>11</v>
      </c>
      <c r="E13">
        <f>B3+(B3*B2)</f>
        <v>1063</v>
      </c>
      <c r="F13">
        <f t="shared" si="1"/>
        <v>11693</v>
      </c>
      <c r="G13">
        <f>1/(1+B$2)^11</f>
        <v>0.51066264487191193</v>
      </c>
      <c r="H13">
        <f t="shared" si="2"/>
        <v>5971.1783064872661</v>
      </c>
    </row>
    <row r="14" spans="1:11" x14ac:dyDescent="0.2">
      <c r="H14" s="1">
        <f>SUM(H3:H13)</f>
        <v>8256.5969603358517</v>
      </c>
    </row>
    <row r="16" spans="1:11" x14ac:dyDescent="0.2">
      <c r="A16" s="1" t="s">
        <v>41</v>
      </c>
      <c r="D16" s="1" t="s">
        <v>3</v>
      </c>
      <c r="E16" s="1" t="s">
        <v>4</v>
      </c>
      <c r="F16" s="1" t="s">
        <v>5</v>
      </c>
      <c r="G16" s="1" t="s">
        <v>30</v>
      </c>
      <c r="H16" s="1" t="s">
        <v>6</v>
      </c>
    </row>
    <row r="17" spans="1:11" x14ac:dyDescent="0.2">
      <c r="A17" t="s">
        <v>14</v>
      </c>
      <c r="B17">
        <v>0.05</v>
      </c>
      <c r="D17">
        <v>1</v>
      </c>
      <c r="E17">
        <f>B$18*B$17</f>
        <v>50</v>
      </c>
      <c r="F17">
        <f>D17*E17</f>
        <v>50</v>
      </c>
      <c r="G17">
        <f>1/(1+B$17)</f>
        <v>0.95238095238095233</v>
      </c>
      <c r="H17">
        <f>G17*F17</f>
        <v>47.619047619047613</v>
      </c>
    </row>
    <row r="18" spans="1:11" x14ac:dyDescent="0.2">
      <c r="A18" t="s">
        <v>0</v>
      </c>
      <c r="B18">
        <v>1000</v>
      </c>
      <c r="D18">
        <v>2</v>
      </c>
      <c r="E18">
        <f t="shared" ref="E18:E25" si="3">B$18*B$17</f>
        <v>50</v>
      </c>
      <c r="F18">
        <f t="shared" ref="F18:F26" si="4">D18*E18</f>
        <v>100</v>
      </c>
      <c r="G18">
        <f>1/(1+B$17)^2</f>
        <v>0.90702947845804982</v>
      </c>
      <c r="H18">
        <f t="shared" ref="H18:H26" si="5">G18*F18</f>
        <v>90.702947845804985</v>
      </c>
      <c r="J18" s="1" t="s">
        <v>8</v>
      </c>
      <c r="K18">
        <f>H27/B18</f>
        <v>8.1078216756440522</v>
      </c>
    </row>
    <row r="19" spans="1:11" x14ac:dyDescent="0.2">
      <c r="A19" t="s">
        <v>1</v>
      </c>
      <c r="B19" s="11">
        <v>42856</v>
      </c>
      <c r="D19">
        <v>3</v>
      </c>
      <c r="E19">
        <f t="shared" si="3"/>
        <v>50</v>
      </c>
      <c r="F19">
        <f t="shared" si="4"/>
        <v>150</v>
      </c>
      <c r="G19">
        <f>1/(1+B$17)^3</f>
        <v>0.86383759853147601</v>
      </c>
      <c r="H19">
        <f t="shared" si="5"/>
        <v>129.5756397797214</v>
      </c>
      <c r="J19" s="1" t="s">
        <v>10</v>
      </c>
      <c r="K19">
        <f>K18/(1+B17)</f>
        <v>7.7217349291848114</v>
      </c>
    </row>
    <row r="20" spans="1:11" x14ac:dyDescent="0.2">
      <c r="A20" t="s">
        <v>2</v>
      </c>
      <c r="B20" s="11">
        <v>46508</v>
      </c>
      <c r="D20">
        <v>4</v>
      </c>
      <c r="E20">
        <f t="shared" si="3"/>
        <v>50</v>
      </c>
      <c r="F20">
        <f t="shared" si="4"/>
        <v>200</v>
      </c>
      <c r="G20">
        <f>1/(1+B$17)^4</f>
        <v>0.82270247479188197</v>
      </c>
      <c r="H20">
        <f t="shared" si="5"/>
        <v>164.5404949583764</v>
      </c>
      <c r="J20" s="1" t="s">
        <v>13</v>
      </c>
      <c r="K20">
        <f>-(K19*(1%))*100</f>
        <v>-7.7217349291848123</v>
      </c>
    </row>
    <row r="21" spans="1:11" x14ac:dyDescent="0.2">
      <c r="A21" t="s">
        <v>28</v>
      </c>
      <c r="B21" s="15">
        <v>108.21299999999999</v>
      </c>
      <c r="D21">
        <v>5</v>
      </c>
      <c r="E21">
        <f t="shared" si="3"/>
        <v>50</v>
      </c>
      <c r="F21">
        <f t="shared" si="4"/>
        <v>250</v>
      </c>
      <c r="G21">
        <f>1/(1+B$17)^5</f>
        <v>0.78352616646845896</v>
      </c>
      <c r="H21">
        <f t="shared" si="5"/>
        <v>195.88154161711475</v>
      </c>
      <c r="J21" s="1" t="s">
        <v>11</v>
      </c>
      <c r="K21">
        <f>-K20*0.01/(1+B17)</f>
        <v>7.3540332658902974E-2</v>
      </c>
    </row>
    <row r="22" spans="1:11" x14ac:dyDescent="0.2">
      <c r="A22" t="s">
        <v>17</v>
      </c>
      <c r="B22">
        <v>3.8620000000000002E-2</v>
      </c>
      <c r="D22">
        <v>6</v>
      </c>
      <c r="E22">
        <f t="shared" si="3"/>
        <v>50</v>
      </c>
      <c r="F22">
        <f t="shared" si="4"/>
        <v>300</v>
      </c>
      <c r="G22">
        <f>1/(1+B$17)^6</f>
        <v>0.74621539663662761</v>
      </c>
      <c r="H22">
        <f t="shared" si="5"/>
        <v>223.86461899098828</v>
      </c>
    </row>
    <row r="23" spans="1:11" x14ac:dyDescent="0.2">
      <c r="D23">
        <v>7</v>
      </c>
      <c r="E23">
        <f t="shared" si="3"/>
        <v>50</v>
      </c>
      <c r="F23">
        <f t="shared" si="4"/>
        <v>350</v>
      </c>
      <c r="G23">
        <f>1/(1+B$17)^7</f>
        <v>0.71068133013012147</v>
      </c>
      <c r="H23">
        <f t="shared" si="5"/>
        <v>248.73846554554251</v>
      </c>
    </row>
    <row r="24" spans="1:11" x14ac:dyDescent="0.2">
      <c r="D24">
        <v>8</v>
      </c>
      <c r="E24">
        <f t="shared" si="3"/>
        <v>50</v>
      </c>
      <c r="F24">
        <f t="shared" si="4"/>
        <v>400</v>
      </c>
      <c r="G24">
        <f>1/(1+B$17)^8</f>
        <v>0.67683936202868722</v>
      </c>
      <c r="H24">
        <f t="shared" si="5"/>
        <v>270.73574481147489</v>
      </c>
    </row>
    <row r="25" spans="1:11" x14ac:dyDescent="0.2">
      <c r="D25">
        <v>9</v>
      </c>
      <c r="E25">
        <f t="shared" si="3"/>
        <v>50</v>
      </c>
      <c r="F25">
        <f t="shared" si="4"/>
        <v>450</v>
      </c>
      <c r="G25">
        <f>1/(1+B$17)^9</f>
        <v>0.64460891621779726</v>
      </c>
      <c r="H25">
        <f t="shared" si="5"/>
        <v>290.07401229800877</v>
      </c>
    </row>
    <row r="26" spans="1:11" x14ac:dyDescent="0.2">
      <c r="D26">
        <v>10</v>
      </c>
      <c r="E26">
        <f>B18+(B18*B17)</f>
        <v>1050</v>
      </c>
      <c r="F26">
        <f t="shared" si="4"/>
        <v>10500</v>
      </c>
      <c r="G26">
        <f>1/(1+B$17)^10</f>
        <v>0.61391325354075932</v>
      </c>
      <c r="H26">
        <f t="shared" si="5"/>
        <v>6446.0891621779729</v>
      </c>
    </row>
    <row r="27" spans="1:11" x14ac:dyDescent="0.2">
      <c r="H27" s="1">
        <f>SUM(H17:H26)</f>
        <v>8107.8216756440524</v>
      </c>
    </row>
    <row r="28" spans="1:11" x14ac:dyDescent="0.2">
      <c r="H28" s="1"/>
    </row>
    <row r="30" spans="1:11" x14ac:dyDescent="0.2">
      <c r="A30" s="1" t="s">
        <v>42</v>
      </c>
      <c r="D30" s="1" t="s">
        <v>3</v>
      </c>
      <c r="E30" s="1" t="s">
        <v>4</v>
      </c>
      <c r="F30" s="1" t="s">
        <v>5</v>
      </c>
      <c r="G30" s="1" t="s">
        <v>32</v>
      </c>
      <c r="H30" s="1" t="s">
        <v>6</v>
      </c>
    </row>
    <row r="31" spans="1:11" x14ac:dyDescent="0.2">
      <c r="A31" t="s">
        <v>14</v>
      </c>
      <c r="B31">
        <f>0.03375</f>
        <v>3.3750000000000002E-2</v>
      </c>
      <c r="D31">
        <v>1</v>
      </c>
      <c r="E31">
        <f>B$32*B$31</f>
        <v>33.75</v>
      </c>
      <c r="F31">
        <f>D31*E31</f>
        <v>33.75</v>
      </c>
      <c r="G31">
        <f>1/(1+B$31)</f>
        <v>0.96735187424425639</v>
      </c>
      <c r="H31">
        <f>G31*F31</f>
        <v>32.648125755743656</v>
      </c>
    </row>
    <row r="32" spans="1:11" x14ac:dyDescent="0.2">
      <c r="A32" t="s">
        <v>0</v>
      </c>
      <c r="B32">
        <v>1000</v>
      </c>
      <c r="D32">
        <v>2</v>
      </c>
      <c r="E32">
        <f>B$32*B$31</f>
        <v>33.75</v>
      </c>
      <c r="F32">
        <f t="shared" ref="F32:F36" si="6">D32*E32</f>
        <v>67.5</v>
      </c>
      <c r="G32">
        <f>1/(1+B$31)^2</f>
        <v>0.93576964860387557</v>
      </c>
      <c r="H32">
        <f t="shared" ref="H32:H36" si="7">G32*F32</f>
        <v>63.164451280761604</v>
      </c>
      <c r="J32" s="1" t="s">
        <v>8</v>
      </c>
      <c r="K32">
        <f>H37/B32</f>
        <v>5.5310809011213546</v>
      </c>
    </row>
    <row r="33" spans="1:11" x14ac:dyDescent="0.2">
      <c r="A33" t="s">
        <v>1</v>
      </c>
      <c r="B33" s="11">
        <v>42917</v>
      </c>
      <c r="D33">
        <v>3</v>
      </c>
      <c r="E33">
        <f t="shared" ref="E33:E35" si="8">B$32*B$31</f>
        <v>33.75</v>
      </c>
      <c r="F33">
        <f t="shared" si="6"/>
        <v>101.25</v>
      </c>
      <c r="G33">
        <f>1/(1+B$31)^3</f>
        <v>0.90521852343784814</v>
      </c>
      <c r="H33">
        <f t="shared" si="7"/>
        <v>91.653375498082127</v>
      </c>
      <c r="J33" s="1" t="s">
        <v>10</v>
      </c>
      <c r="K33">
        <f>K32/(1+B31)</f>
        <v>5.350501476296353</v>
      </c>
    </row>
    <row r="34" spans="1:11" x14ac:dyDescent="0.2">
      <c r="A34" t="s">
        <v>2</v>
      </c>
      <c r="B34" s="11">
        <v>45108</v>
      </c>
      <c r="D34">
        <v>4</v>
      </c>
      <c r="E34">
        <f t="shared" si="8"/>
        <v>33.75</v>
      </c>
      <c r="F34">
        <f t="shared" si="6"/>
        <v>135</v>
      </c>
      <c r="G34">
        <f>1/(1+B$31)^4</f>
        <v>0.87566483524822081</v>
      </c>
      <c r="H34">
        <f t="shared" si="7"/>
        <v>118.2147527585098</v>
      </c>
      <c r="J34" s="1" t="s">
        <v>13</v>
      </c>
      <c r="K34">
        <f>-(K33*(1%))*100</f>
        <v>-5.350501476296353</v>
      </c>
    </row>
    <row r="35" spans="1:11" x14ac:dyDescent="0.2">
      <c r="A35" t="s">
        <v>28</v>
      </c>
      <c r="B35">
        <v>100.759</v>
      </c>
      <c r="D35">
        <v>5</v>
      </c>
      <c r="E35">
        <f t="shared" si="8"/>
        <v>33.75</v>
      </c>
      <c r="F35">
        <f t="shared" si="6"/>
        <v>168.75</v>
      </c>
      <c r="G35">
        <f>1/(1+B$31)^5</f>
        <v>0.84707601958715439</v>
      </c>
      <c r="H35">
        <f t="shared" si="7"/>
        <v>142.94407830533231</v>
      </c>
      <c r="J35" s="1" t="s">
        <v>11</v>
      </c>
      <c r="K35">
        <f>-K34*0.01/(1+B31)</f>
        <v>5.1758176312419378E-2</v>
      </c>
    </row>
    <row r="36" spans="1:11" x14ac:dyDescent="0.2">
      <c r="A36" t="s">
        <v>17</v>
      </c>
      <c r="B36">
        <v>3.2340000000000001E-2</v>
      </c>
      <c r="D36">
        <v>6</v>
      </c>
      <c r="E36">
        <f>B32+(B32*B31)</f>
        <v>1033.75</v>
      </c>
      <c r="F36">
        <f t="shared" si="6"/>
        <v>6202.5</v>
      </c>
      <c r="G36">
        <f>1/(1+B$31)^6</f>
        <v>0.81942057517499811</v>
      </c>
      <c r="H36">
        <f t="shared" si="7"/>
        <v>5082.4561175229255</v>
      </c>
    </row>
    <row r="37" spans="1:11" x14ac:dyDescent="0.2">
      <c r="H37" s="1">
        <f>SUM(H31:H36)</f>
        <v>5531.0809011213551</v>
      </c>
    </row>
    <row r="39" spans="1:11" x14ac:dyDescent="0.2">
      <c r="A39" s="1" t="s">
        <v>43</v>
      </c>
    </row>
    <row r="40" spans="1:11" x14ac:dyDescent="0.2">
      <c r="A40" t="s">
        <v>14</v>
      </c>
      <c r="B40">
        <v>2.75E-2</v>
      </c>
      <c r="D40" s="1" t="s">
        <v>3</v>
      </c>
      <c r="E40" s="1" t="s">
        <v>4</v>
      </c>
      <c r="F40" s="1" t="s">
        <v>5</v>
      </c>
      <c r="G40" s="1" t="s">
        <v>31</v>
      </c>
      <c r="H40" s="1" t="s">
        <v>6</v>
      </c>
      <c r="J40" s="1" t="s">
        <v>8</v>
      </c>
      <c r="K40">
        <f>H43/B41</f>
        <v>1.9732360097323598</v>
      </c>
    </row>
    <row r="41" spans="1:11" x14ac:dyDescent="0.2">
      <c r="A41" t="s">
        <v>0</v>
      </c>
      <c r="B41">
        <v>1000</v>
      </c>
      <c r="D41">
        <v>1</v>
      </c>
      <c r="E41">
        <f>B$41*B$40</f>
        <v>27.5</v>
      </c>
      <c r="F41">
        <f>D41*E41</f>
        <v>27.5</v>
      </c>
      <c r="G41">
        <f>1/(1+B$40)</f>
        <v>0.97323600973236002</v>
      </c>
      <c r="H41">
        <f>G41*F41</f>
        <v>26.763990267639901</v>
      </c>
      <c r="J41" s="1" t="s">
        <v>10</v>
      </c>
      <c r="K41">
        <f>K40/(1+B40)</f>
        <v>1.9204243403721262</v>
      </c>
    </row>
    <row r="42" spans="1:11" x14ac:dyDescent="0.2">
      <c r="A42" t="s">
        <v>1</v>
      </c>
      <c r="B42" s="11">
        <v>42736</v>
      </c>
      <c r="D42">
        <v>2</v>
      </c>
      <c r="E42">
        <f>B41+(B$41*B$40)</f>
        <v>1027.5</v>
      </c>
      <c r="F42">
        <f t="shared" ref="F42" si="9">D42*E42</f>
        <v>2055</v>
      </c>
      <c r="G42">
        <f>1/(1+B$40)^2</f>
        <v>0.94718833063976637</v>
      </c>
      <c r="H42">
        <f t="shared" ref="H42" si="10">G42*F42</f>
        <v>1946.47201946472</v>
      </c>
      <c r="J42" s="1" t="s">
        <v>13</v>
      </c>
      <c r="K42">
        <f>-(K41*(1%))*100</f>
        <v>-1.9204243403721262</v>
      </c>
    </row>
    <row r="43" spans="1:11" x14ac:dyDescent="0.2">
      <c r="A43" t="s">
        <v>2</v>
      </c>
      <c r="B43" s="11">
        <v>43466</v>
      </c>
      <c r="H43" s="1">
        <f>SUM(H41:H42)</f>
        <v>1973.2360097323599</v>
      </c>
      <c r="J43" s="1" t="s">
        <v>11</v>
      </c>
      <c r="K43">
        <f>-K42*0.01/(1+B39)</f>
        <v>1.9204243403721261E-2</v>
      </c>
    </row>
    <row r="44" spans="1:11" x14ac:dyDescent="0.2">
      <c r="A44" s="12" t="s">
        <v>28</v>
      </c>
      <c r="B44" s="3">
        <v>100.92700000000001</v>
      </c>
    </row>
    <row r="45" spans="1:11" x14ac:dyDescent="0.2">
      <c r="A45" t="s">
        <v>17</v>
      </c>
      <c r="B45">
        <v>2.196E-2</v>
      </c>
    </row>
    <row r="46" spans="1:11" x14ac:dyDescent="0.2">
      <c r="B46" s="11"/>
    </row>
    <row r="47" spans="1:11" x14ac:dyDescent="0.2">
      <c r="B47" s="11"/>
    </row>
    <row r="48" spans="1:11" x14ac:dyDescent="0.2">
      <c r="B48" s="11"/>
    </row>
    <row r="49" spans="1:11" x14ac:dyDescent="0.2">
      <c r="B49" s="11"/>
    </row>
    <row r="50" spans="1:11" x14ac:dyDescent="0.2">
      <c r="B50" s="11"/>
      <c r="H50" s="1"/>
    </row>
    <row r="52" spans="1:11" x14ac:dyDescent="0.2">
      <c r="A52" s="1" t="s">
        <v>44</v>
      </c>
    </row>
    <row r="53" spans="1:11" x14ac:dyDescent="0.2">
      <c r="A53" t="s">
        <v>14</v>
      </c>
      <c r="B53">
        <v>3.875E-2</v>
      </c>
      <c r="D53" s="1" t="s">
        <v>3</v>
      </c>
      <c r="E53" s="1" t="s">
        <v>4</v>
      </c>
      <c r="F53" s="1" t="s">
        <v>5</v>
      </c>
      <c r="G53" s="1" t="s">
        <v>33</v>
      </c>
      <c r="H53" s="1" t="s">
        <v>6</v>
      </c>
    </row>
    <row r="54" spans="1:11" x14ac:dyDescent="0.2">
      <c r="A54" t="s">
        <v>0</v>
      </c>
      <c r="B54">
        <v>1000</v>
      </c>
      <c r="D54">
        <v>1</v>
      </c>
      <c r="E54">
        <f>B$3*B$53</f>
        <v>38.75</v>
      </c>
      <c r="F54">
        <f>D54*E54</f>
        <v>38.75</v>
      </c>
      <c r="G54">
        <f>1/(1+B$53)</f>
        <v>0.96269554753309261</v>
      </c>
      <c r="H54">
        <f>G54*F54</f>
        <v>37.304452466907335</v>
      </c>
      <c r="J54" s="1" t="s">
        <v>8</v>
      </c>
      <c r="K54">
        <f>H62/B54</f>
        <v>7.0298786623437701</v>
      </c>
    </row>
    <row r="55" spans="1:11" x14ac:dyDescent="0.2">
      <c r="A55" t="s">
        <v>1</v>
      </c>
      <c r="B55" s="11">
        <v>42795</v>
      </c>
      <c r="D55">
        <v>2</v>
      </c>
      <c r="E55">
        <f t="shared" ref="E55:E60" si="11">B$3*B$53</f>
        <v>38.75</v>
      </c>
      <c r="F55">
        <f t="shared" ref="F55:F61" si="12">D55*E55</f>
        <v>77.5</v>
      </c>
      <c r="G55">
        <f>1/(1+B$53)^2</f>
        <v>0.92678271724004091</v>
      </c>
      <c r="H55">
        <f t="shared" ref="H55:H61" si="13">G55*F55</f>
        <v>71.825660586103169</v>
      </c>
      <c r="J55" s="1" t="s">
        <v>10</v>
      </c>
      <c r="K55">
        <f>K54/(1+B53)</f>
        <v>6.76763288793624</v>
      </c>
    </row>
    <row r="56" spans="1:11" x14ac:dyDescent="0.2">
      <c r="A56" t="s">
        <v>2</v>
      </c>
      <c r="B56" s="11">
        <v>45717</v>
      </c>
      <c r="D56">
        <v>3</v>
      </c>
      <c r="E56">
        <f t="shared" si="11"/>
        <v>38.75</v>
      </c>
      <c r="F56">
        <f t="shared" si="12"/>
        <v>116.25</v>
      </c>
      <c r="G56">
        <f>1/(1+B$53)^3</f>
        <v>0.89220959541760847</v>
      </c>
      <c r="H56">
        <f t="shared" si="13"/>
        <v>103.71936546729698</v>
      </c>
      <c r="J56" s="1" t="s">
        <v>12</v>
      </c>
      <c r="K56">
        <f>-(K55*(1%))*100</f>
        <v>-6.76763288793624</v>
      </c>
    </row>
    <row r="57" spans="1:11" x14ac:dyDescent="0.2">
      <c r="A57" t="s">
        <v>28</v>
      </c>
      <c r="B57">
        <v>100.37</v>
      </c>
      <c r="D57">
        <v>4</v>
      </c>
      <c r="E57">
        <f t="shared" si="11"/>
        <v>38.75</v>
      </c>
      <c r="F57">
        <f t="shared" si="12"/>
        <v>155</v>
      </c>
      <c r="G57">
        <f>1/(1+B$53)^4</f>
        <v>0.85892620497483352</v>
      </c>
      <c r="H57">
        <f t="shared" si="13"/>
        <v>133.13356177109918</v>
      </c>
      <c r="J57" s="1" t="s">
        <v>11</v>
      </c>
      <c r="K57">
        <f>-K56*0.01/(1+B53)</f>
        <v>6.5151700485547429E-2</v>
      </c>
    </row>
    <row r="58" spans="1:11" x14ac:dyDescent="0.2">
      <c r="A58" t="s">
        <v>17</v>
      </c>
      <c r="B58">
        <v>3.8199999999999998E-2</v>
      </c>
      <c r="D58">
        <v>5</v>
      </c>
      <c r="E58">
        <f t="shared" si="11"/>
        <v>38.75</v>
      </c>
      <c r="F58">
        <f t="shared" si="12"/>
        <v>193.75</v>
      </c>
      <c r="G58">
        <f>1/(1+B$53)^5</f>
        <v>0.82688443318876859</v>
      </c>
      <c r="H58">
        <f t="shared" si="13"/>
        <v>160.20885893032391</v>
      </c>
    </row>
    <row r="59" spans="1:11" x14ac:dyDescent="0.2">
      <c r="D59">
        <v>6</v>
      </c>
      <c r="E59">
        <f t="shared" si="11"/>
        <v>38.75</v>
      </c>
      <c r="F59">
        <f t="shared" si="12"/>
        <v>232.5</v>
      </c>
      <c r="G59">
        <f>1/(1+B$53)^6</f>
        <v>0.79603796215525247</v>
      </c>
      <c r="H59">
        <f>G59*F59</f>
        <v>185.07882620109621</v>
      </c>
    </row>
    <row r="60" spans="1:11" x14ac:dyDescent="0.2">
      <c r="D60">
        <v>7</v>
      </c>
      <c r="E60">
        <f t="shared" si="11"/>
        <v>38.75</v>
      </c>
      <c r="F60">
        <f t="shared" si="12"/>
        <v>271.25</v>
      </c>
      <c r="G60">
        <f>1/(1+B$53)^7</f>
        <v>0.76634220183417789</v>
      </c>
      <c r="H60">
        <f t="shared" si="13"/>
        <v>207.87032224752076</v>
      </c>
    </row>
    <row r="61" spans="1:11" x14ac:dyDescent="0.2">
      <c r="D61">
        <v>8</v>
      </c>
      <c r="E61">
        <f>B54+(B54*B53)</f>
        <v>1038.75</v>
      </c>
      <c r="F61">
        <f t="shared" si="12"/>
        <v>8310</v>
      </c>
      <c r="G61">
        <f>1/(1+B$53)^8</f>
        <v>0.73775422559246961</v>
      </c>
      <c r="H61">
        <f t="shared" si="13"/>
        <v>6130.7376146734223</v>
      </c>
    </row>
    <row r="62" spans="1:11" x14ac:dyDescent="0.2">
      <c r="H62" s="1">
        <f>SUM(H54:H61)</f>
        <v>7029.87866234377</v>
      </c>
    </row>
    <row r="64" spans="1:11" x14ac:dyDescent="0.2">
      <c r="H64" s="1"/>
    </row>
    <row r="65" spans="1:11" x14ac:dyDescent="0.2">
      <c r="A65" s="1" t="s">
        <v>45</v>
      </c>
    </row>
    <row r="66" spans="1:11" x14ac:dyDescent="0.2">
      <c r="A66" t="s">
        <v>14</v>
      </c>
      <c r="B66">
        <v>2.4500000000000001E-2</v>
      </c>
      <c r="D66" s="1" t="s">
        <v>3</v>
      </c>
      <c r="E66" s="1" t="s">
        <v>4</v>
      </c>
      <c r="F66" s="1" t="s">
        <v>5</v>
      </c>
      <c r="G66" s="1" t="s">
        <v>7</v>
      </c>
      <c r="H66" s="1" t="s">
        <v>6</v>
      </c>
    </row>
    <row r="67" spans="1:11" x14ac:dyDescent="0.2">
      <c r="A67" t="s">
        <v>0</v>
      </c>
      <c r="B67">
        <v>1000</v>
      </c>
      <c r="D67">
        <v>1</v>
      </c>
      <c r="E67">
        <f>B$3*B$66</f>
        <v>24.5</v>
      </c>
      <c r="F67">
        <f>D67*E67</f>
        <v>24.5</v>
      </c>
      <c r="G67">
        <f>1/(1+B$66)</f>
        <v>0.9760858955588092</v>
      </c>
      <c r="H67">
        <f>G67*F67</f>
        <v>23.914104441190826</v>
      </c>
      <c r="J67" s="1" t="s">
        <v>8</v>
      </c>
      <c r="K67">
        <f>H69/B67</f>
        <v>1.9760858955588094</v>
      </c>
    </row>
    <row r="68" spans="1:11" x14ac:dyDescent="0.2">
      <c r="A68" t="s">
        <v>1</v>
      </c>
      <c r="B68" s="11">
        <v>42887</v>
      </c>
      <c r="D68">
        <v>2</v>
      </c>
      <c r="E68">
        <f>B67+(B67*B66)</f>
        <v>1024.5</v>
      </c>
      <c r="F68">
        <f t="shared" ref="F68" si="14">D68*E68</f>
        <v>2049</v>
      </c>
      <c r="G68">
        <f>1/(1+B$66)^2</f>
        <v>0.95274367550884265</v>
      </c>
      <c r="H68">
        <f t="shared" ref="H68" si="15">G68*F68</f>
        <v>1952.1717911176186</v>
      </c>
      <c r="J68" s="1" t="s">
        <v>10</v>
      </c>
      <c r="K68">
        <f>K67/(1+B66)</f>
        <v>1.928829571067652</v>
      </c>
    </row>
    <row r="69" spans="1:11" x14ac:dyDescent="0.2">
      <c r="A69" t="s">
        <v>2</v>
      </c>
      <c r="B69" s="11">
        <v>43617</v>
      </c>
      <c r="H69" s="1">
        <f>SUM(H67:H68)</f>
        <v>1976.0858955588094</v>
      </c>
      <c r="J69" s="1" t="s">
        <v>12</v>
      </c>
      <c r="K69">
        <f>-(K68*(1%))*100</f>
        <v>-1.9288295710676522</v>
      </c>
    </row>
    <row r="70" spans="1:11" x14ac:dyDescent="0.2">
      <c r="A70" t="s">
        <v>28</v>
      </c>
      <c r="B70">
        <v>100.71</v>
      </c>
      <c r="J70" s="1" t="s">
        <v>11</v>
      </c>
      <c r="K70">
        <f>-K69*0.01/(1+B66)</f>
        <v>1.8827033392558829E-2</v>
      </c>
    </row>
    <row r="71" spans="1:11" x14ac:dyDescent="0.2">
      <c r="A71" t="s">
        <v>17</v>
      </c>
      <c r="B71">
        <v>2.1399999999999999E-2</v>
      </c>
    </row>
    <row r="72" spans="1:11" x14ac:dyDescent="0.2">
      <c r="H72" s="1"/>
    </row>
    <row r="73" spans="1:11" x14ac:dyDescent="0.2">
      <c r="A73" s="1" t="s">
        <v>46</v>
      </c>
    </row>
    <row r="74" spans="1:11" x14ac:dyDescent="0.2">
      <c r="A74" t="s">
        <v>14</v>
      </c>
      <c r="B74">
        <v>2.9499999999999998E-2</v>
      </c>
      <c r="D74" s="1" t="s">
        <v>3</v>
      </c>
      <c r="E74" s="1" t="s">
        <v>4</v>
      </c>
      <c r="F74" s="1" t="s">
        <v>5</v>
      </c>
      <c r="G74" s="1" t="s">
        <v>34</v>
      </c>
      <c r="H74" s="1" t="s">
        <v>6</v>
      </c>
    </row>
    <row r="75" spans="1:11" x14ac:dyDescent="0.2">
      <c r="A75" t="s">
        <v>0</v>
      </c>
      <c r="B75">
        <v>1000</v>
      </c>
      <c r="D75">
        <v>1</v>
      </c>
      <c r="E75">
        <f>B$75*B$74</f>
        <v>29.5</v>
      </c>
      <c r="F75">
        <f>D75*E75</f>
        <v>29.5</v>
      </c>
      <c r="G75">
        <f>1/(1+B$74)</f>
        <v>0.97134531325886342</v>
      </c>
      <c r="H75">
        <f>G75*F75</f>
        <v>28.654686741136469</v>
      </c>
    </row>
    <row r="76" spans="1:11" x14ac:dyDescent="0.2">
      <c r="A76" t="s">
        <v>1</v>
      </c>
      <c r="B76" s="11">
        <v>43009</v>
      </c>
      <c r="D76">
        <v>2</v>
      </c>
      <c r="E76">
        <f t="shared" ref="E76:E82" si="16">B$75*B$74</f>
        <v>29.5</v>
      </c>
      <c r="F76">
        <f t="shared" ref="F76:F78" si="17">D76*E76</f>
        <v>59</v>
      </c>
      <c r="G76">
        <f>1/(1+B$74)^2</f>
        <v>0.94351171758995955</v>
      </c>
      <c r="H76">
        <f t="shared" ref="H76:H83" si="18">G76*F76</f>
        <v>55.667191337807616</v>
      </c>
      <c r="J76" s="1" t="s">
        <v>8</v>
      </c>
      <c r="K76">
        <f>H84/B75</f>
        <v>8.0345217308696135</v>
      </c>
    </row>
    <row r="77" spans="1:11" x14ac:dyDescent="0.2">
      <c r="A77" t="s">
        <v>2</v>
      </c>
      <c r="B77" s="11">
        <v>46296</v>
      </c>
      <c r="D77">
        <v>3</v>
      </c>
      <c r="E77">
        <f t="shared" si="16"/>
        <v>29.5</v>
      </c>
      <c r="F77">
        <f t="shared" si="17"/>
        <v>88.5</v>
      </c>
      <c r="G77">
        <f>1/(1+B$74)^3</f>
        <v>0.91647568488582765</v>
      </c>
      <c r="H77">
        <f t="shared" si="18"/>
        <v>81.108098112395751</v>
      </c>
      <c r="J77" s="1" t="s">
        <v>10</v>
      </c>
      <c r="K77">
        <f>K76/(1+B74)</f>
        <v>7.8042950275566909</v>
      </c>
    </row>
    <row r="78" spans="1:11" x14ac:dyDescent="0.2">
      <c r="A78" t="s">
        <v>28</v>
      </c>
      <c r="B78">
        <v>96.01</v>
      </c>
      <c r="D78">
        <v>4</v>
      </c>
      <c r="E78">
        <f t="shared" si="16"/>
        <v>29.5</v>
      </c>
      <c r="F78">
        <f t="shared" si="17"/>
        <v>118</v>
      </c>
      <c r="G78">
        <f>1/(1+B$74)^4</f>
        <v>0.89021436122955566</v>
      </c>
      <c r="H78">
        <f t="shared" si="18"/>
        <v>105.04529462508756</v>
      </c>
      <c r="J78" s="1" t="s">
        <v>13</v>
      </c>
      <c r="K78">
        <f>-(K77*(1%))*100</f>
        <v>-7.8042950275566918</v>
      </c>
    </row>
    <row r="79" spans="1:11" x14ac:dyDescent="0.2">
      <c r="A79" t="s">
        <v>17</v>
      </c>
      <c r="B79">
        <v>3.4500000000000003E-2</v>
      </c>
      <c r="D79">
        <v>5</v>
      </c>
      <c r="E79">
        <f t="shared" si="16"/>
        <v>29.5</v>
      </c>
      <c r="F79">
        <f>D79*E79</f>
        <v>147.5</v>
      </c>
      <c r="G79">
        <f>1/(1+B$74)^5</f>
        <v>0.86470554757606188</v>
      </c>
      <c r="H79">
        <f t="shared" si="18"/>
        <v>127.54406826746913</v>
      </c>
      <c r="J79" s="1" t="s">
        <v>11</v>
      </c>
      <c r="K79">
        <f>-K78*0.01/(1+B74)</f>
        <v>7.5806653983066449E-2</v>
      </c>
    </row>
    <row r="80" spans="1:11" x14ac:dyDescent="0.2">
      <c r="D80">
        <v>6</v>
      </c>
      <c r="E80">
        <f t="shared" si="16"/>
        <v>29.5</v>
      </c>
      <c r="F80">
        <f t="shared" ref="F80:F83" si="19">D80*E80</f>
        <v>177</v>
      </c>
      <c r="G80">
        <f>1/(1+B$74)^6</f>
        <v>0.83992768098694681</v>
      </c>
      <c r="H80">
        <f t="shared" si="18"/>
        <v>148.66719953468959</v>
      </c>
    </row>
    <row r="81" spans="1:11" x14ac:dyDescent="0.2">
      <c r="D81">
        <v>7</v>
      </c>
      <c r="E81">
        <f t="shared" si="16"/>
        <v>29.5</v>
      </c>
      <c r="F81">
        <f t="shared" si="19"/>
        <v>206.5</v>
      </c>
      <c r="G81">
        <f>1/(1+B$74)^7</f>
        <v>0.8158598164030566</v>
      </c>
      <c r="H81">
        <f t="shared" si="18"/>
        <v>168.47505208723118</v>
      </c>
    </row>
    <row r="82" spans="1:11" x14ac:dyDescent="0.2">
      <c r="D82">
        <v>8</v>
      </c>
      <c r="E82">
        <f t="shared" si="16"/>
        <v>29.5</v>
      </c>
      <c r="F82">
        <f t="shared" si="19"/>
        <v>236</v>
      </c>
      <c r="G82">
        <f>1/(1+B$74)^8</f>
        <v>0.79248160893934572</v>
      </c>
      <c r="H82">
        <f t="shared" si="18"/>
        <v>187.02565970968558</v>
      </c>
    </row>
    <row r="83" spans="1:11" x14ac:dyDescent="0.2">
      <c r="D83">
        <v>9</v>
      </c>
      <c r="E83">
        <f>B75+(B75*B74)</f>
        <v>1029.5</v>
      </c>
      <c r="F83">
        <f t="shared" si="19"/>
        <v>9265.5</v>
      </c>
      <c r="G83">
        <f>1/(1+B$74)^9</f>
        <v>0.76977329668707695</v>
      </c>
      <c r="H83">
        <f t="shared" si="18"/>
        <v>7132.3344804541111</v>
      </c>
    </row>
    <row r="84" spans="1:11" x14ac:dyDescent="0.2">
      <c r="H84" s="1">
        <f>SUM(H75:H83)</f>
        <v>8034.5217308696137</v>
      </c>
    </row>
    <row r="85" spans="1:11" x14ac:dyDescent="0.2">
      <c r="H85" s="1"/>
    </row>
    <row r="86" spans="1:11" x14ac:dyDescent="0.2">
      <c r="H86" s="1"/>
    </row>
    <row r="87" spans="1:11" x14ac:dyDescent="0.2">
      <c r="H87" s="1"/>
    </row>
    <row r="89" spans="1:11" x14ac:dyDescent="0.2">
      <c r="A89" s="1" t="s">
        <v>47</v>
      </c>
      <c r="D89" s="1" t="s">
        <v>3</v>
      </c>
      <c r="E89" s="1" t="s">
        <v>4</v>
      </c>
      <c r="F89" s="1" t="s">
        <v>5</v>
      </c>
      <c r="G89" s="1" t="s">
        <v>35</v>
      </c>
      <c r="H89" s="1" t="s">
        <v>6</v>
      </c>
      <c r="J89" s="1" t="s">
        <v>8</v>
      </c>
      <c r="K89">
        <f>H97/B91</f>
        <v>6.3461006207950881</v>
      </c>
    </row>
    <row r="90" spans="1:11" x14ac:dyDescent="0.2">
      <c r="A90" t="s">
        <v>14</v>
      </c>
      <c r="B90">
        <v>3.4000000000000002E-2</v>
      </c>
      <c r="D90">
        <v>1</v>
      </c>
      <c r="E90">
        <f>B$91*B$90</f>
        <v>34</v>
      </c>
      <c r="F90">
        <f>D90*E90</f>
        <v>34</v>
      </c>
      <c r="G90">
        <f>1/(1+B$90)</f>
        <v>0.96711798839458407</v>
      </c>
      <c r="H90">
        <f>G90*F90</f>
        <v>32.882011605415862</v>
      </c>
      <c r="J90" s="1" t="s">
        <v>10</v>
      </c>
      <c r="K90">
        <f>K89/(1+B90)</f>
        <v>6.1374280665329666</v>
      </c>
    </row>
    <row r="91" spans="1:11" x14ac:dyDescent="0.2">
      <c r="A91" t="s">
        <v>0</v>
      </c>
      <c r="B91">
        <v>1000</v>
      </c>
      <c r="D91">
        <v>2</v>
      </c>
      <c r="E91">
        <f t="shared" ref="E91:E95" si="20">B$91*B$90</f>
        <v>34</v>
      </c>
      <c r="F91">
        <f t="shared" ref="F91:F96" si="21">D91*E91</f>
        <v>68</v>
      </c>
      <c r="G91">
        <f>1/(1+B90)^2</f>
        <v>0.93531720347638703</v>
      </c>
      <c r="H91">
        <f t="shared" ref="H91:H97" si="22">G91*F91</f>
        <v>63.601569836394319</v>
      </c>
      <c r="J91" s="1" t="s">
        <v>13</v>
      </c>
      <c r="K91">
        <f>-(K90*(1%))*100</f>
        <v>-6.1374280665329666</v>
      </c>
    </row>
    <row r="92" spans="1:11" x14ac:dyDescent="0.2">
      <c r="A92" t="s">
        <v>1</v>
      </c>
      <c r="B92" s="11">
        <v>42856</v>
      </c>
      <c r="D92">
        <v>3</v>
      </c>
      <c r="E92">
        <f t="shared" si="20"/>
        <v>34</v>
      </c>
      <c r="F92">
        <f t="shared" si="21"/>
        <v>102</v>
      </c>
      <c r="G92" s="3">
        <f>1/(1+B90)^3</f>
        <v>0.9045620923369313</v>
      </c>
      <c r="H92">
        <f t="shared" si="22"/>
        <v>92.265333418366993</v>
      </c>
      <c r="J92" s="1" t="s">
        <v>11</v>
      </c>
      <c r="K92">
        <f>-K91*0.01/(1+B90)</f>
        <v>5.9356170856218249E-2</v>
      </c>
    </row>
    <row r="93" spans="1:11" x14ac:dyDescent="0.2">
      <c r="A93" t="s">
        <v>2</v>
      </c>
      <c r="B93" s="11">
        <v>45413</v>
      </c>
      <c r="D93">
        <v>4</v>
      </c>
      <c r="E93">
        <f t="shared" si="20"/>
        <v>34</v>
      </c>
      <c r="F93">
        <f t="shared" si="21"/>
        <v>136</v>
      </c>
      <c r="G93" s="3">
        <f>1/(1+B90)^4</f>
        <v>0.87481827111888921</v>
      </c>
      <c r="H93">
        <f t="shared" si="22"/>
        <v>118.97528487216893</v>
      </c>
    </row>
    <row r="94" spans="1:11" x14ac:dyDescent="0.2">
      <c r="A94" t="s">
        <v>28</v>
      </c>
      <c r="B94">
        <v>103.639</v>
      </c>
      <c r="D94">
        <v>5</v>
      </c>
      <c r="E94">
        <f t="shared" si="20"/>
        <v>34</v>
      </c>
      <c r="F94">
        <f t="shared" si="21"/>
        <v>170</v>
      </c>
      <c r="G94" s="3">
        <f>1/(1+B90)^5</f>
        <v>0.84605248657532806</v>
      </c>
      <c r="H94">
        <f t="shared" si="22"/>
        <v>143.82892271780577</v>
      </c>
    </row>
    <row r="95" spans="1:11" x14ac:dyDescent="0.2">
      <c r="A95" t="s">
        <v>17</v>
      </c>
      <c r="B95">
        <v>2.8070000000000001E-2</v>
      </c>
      <c r="D95">
        <v>6</v>
      </c>
      <c r="E95">
        <f t="shared" si="20"/>
        <v>34</v>
      </c>
      <c r="F95">
        <f t="shared" si="21"/>
        <v>204</v>
      </c>
      <c r="G95" s="3">
        <f>1/(1+B90)^6</f>
        <v>0.81823257889296719</v>
      </c>
      <c r="H95">
        <f t="shared" si="22"/>
        <v>166.91944609416529</v>
      </c>
    </row>
    <row r="96" spans="1:11" x14ac:dyDescent="0.2">
      <c r="D96">
        <v>7</v>
      </c>
      <c r="E96">
        <f>B91+(B91*B90)</f>
        <v>1034</v>
      </c>
      <c r="F96">
        <f t="shared" si="21"/>
        <v>7238</v>
      </c>
      <c r="G96" s="3">
        <f>1/(1+B90)^7</f>
        <v>0.79132744573787928</v>
      </c>
      <c r="H96">
        <f t="shared" si="22"/>
        <v>5727.6280522507705</v>
      </c>
    </row>
    <row r="97" spans="1:11" x14ac:dyDescent="0.2">
      <c r="A97" s="1" t="s">
        <v>48</v>
      </c>
      <c r="H97" s="1">
        <f>SUM(H90:H96)</f>
        <v>6346.1006207950877</v>
      </c>
    </row>
    <row r="98" spans="1:11" x14ac:dyDescent="0.2">
      <c r="A98" t="s">
        <v>14</v>
      </c>
      <c r="B98">
        <v>2.4E-2</v>
      </c>
      <c r="D98" s="1" t="s">
        <v>3</v>
      </c>
      <c r="E98" s="1" t="s">
        <v>4</v>
      </c>
      <c r="F98" s="1" t="s">
        <v>5</v>
      </c>
      <c r="G98" s="1" t="s">
        <v>36</v>
      </c>
      <c r="H98" s="1" t="s">
        <v>6</v>
      </c>
      <c r="J98" s="1" t="s">
        <v>8</v>
      </c>
      <c r="K98">
        <f>H108/B99</f>
        <v>8.2008078102905149</v>
      </c>
    </row>
    <row r="99" spans="1:11" x14ac:dyDescent="0.2">
      <c r="A99" t="s">
        <v>0</v>
      </c>
      <c r="B99">
        <v>1000</v>
      </c>
      <c r="D99">
        <v>1</v>
      </c>
      <c r="E99">
        <f>B$99*B$98</f>
        <v>24</v>
      </c>
      <c r="F99">
        <f>D99*E99</f>
        <v>24</v>
      </c>
      <c r="G99">
        <f>1/(1+B$98)</f>
        <v>0.9765625</v>
      </c>
      <c r="H99">
        <f>G99*F99</f>
        <v>23.4375</v>
      </c>
      <c r="J99" s="1" t="s">
        <v>10</v>
      </c>
      <c r="K99">
        <f>K98/(1+B98)</f>
        <v>8.0086013772368307</v>
      </c>
    </row>
    <row r="100" spans="1:11" x14ac:dyDescent="0.2">
      <c r="A100" t="s">
        <v>1</v>
      </c>
      <c r="B100" s="11">
        <v>42948</v>
      </c>
      <c r="D100">
        <v>2</v>
      </c>
      <c r="E100">
        <f t="shared" ref="E100:E107" si="23">B$99*B$98</f>
        <v>24</v>
      </c>
      <c r="F100">
        <f t="shared" ref="F100:F108" si="24">D100*E100</f>
        <v>48</v>
      </c>
      <c r="G100">
        <f>1/(1+B$98)^2</f>
        <v>0.95367431640625</v>
      </c>
      <c r="H100">
        <f t="shared" ref="H100:H108" si="25">G100*F100</f>
        <v>45.7763671875</v>
      </c>
      <c r="J100" s="1" t="s">
        <v>13</v>
      </c>
      <c r="K100">
        <f>-(K99*(1%))*100</f>
        <v>-8.0086013772368307</v>
      </c>
    </row>
    <row r="101" spans="1:11" x14ac:dyDescent="0.2">
      <c r="A101" t="s">
        <v>2</v>
      </c>
      <c r="B101" s="11">
        <v>46235</v>
      </c>
      <c r="D101">
        <v>3</v>
      </c>
      <c r="E101">
        <f t="shared" si="23"/>
        <v>24</v>
      </c>
      <c r="F101">
        <f t="shared" si="24"/>
        <v>72</v>
      </c>
      <c r="G101">
        <f>1/(1+B$98)^3</f>
        <v>0.9313225746154784</v>
      </c>
      <c r="H101">
        <f t="shared" si="25"/>
        <v>67.055225372314439</v>
      </c>
      <c r="J101" s="1" t="s">
        <v>11</v>
      </c>
      <c r="K101">
        <f>-K100*0.01/(1+B98)</f>
        <v>7.8208997824578422E-2</v>
      </c>
    </row>
    <row r="102" spans="1:11" x14ac:dyDescent="0.2">
      <c r="A102" t="s">
        <v>28</v>
      </c>
      <c r="B102">
        <v>95.465999999999994</v>
      </c>
      <c r="D102">
        <v>4</v>
      </c>
      <c r="E102">
        <f t="shared" si="23"/>
        <v>24</v>
      </c>
      <c r="F102">
        <f t="shared" si="24"/>
        <v>96</v>
      </c>
      <c r="G102">
        <f>1/(1+B$98)^4</f>
        <v>0.90949470177292824</v>
      </c>
      <c r="H102">
        <f t="shared" si="25"/>
        <v>87.311491370201111</v>
      </c>
    </row>
    <row r="103" spans="1:11" x14ac:dyDescent="0.2">
      <c r="A103" t="s">
        <v>17</v>
      </c>
      <c r="B103">
        <v>3.1050000000000001E-2</v>
      </c>
      <c r="D103">
        <v>5</v>
      </c>
      <c r="E103">
        <f t="shared" si="23"/>
        <v>24</v>
      </c>
      <c r="F103">
        <f t="shared" si="24"/>
        <v>120</v>
      </c>
      <c r="G103">
        <f>1/(1+B$98)^5</f>
        <v>0.88817841970012512</v>
      </c>
      <c r="H103">
        <f t="shared" si="25"/>
        <v>106.58141036401501</v>
      </c>
    </row>
    <row r="104" spans="1:11" x14ac:dyDescent="0.2">
      <c r="D104">
        <v>6</v>
      </c>
      <c r="E104">
        <f t="shared" si="23"/>
        <v>24</v>
      </c>
      <c r="F104">
        <f t="shared" si="24"/>
        <v>144</v>
      </c>
      <c r="G104">
        <f>1/(1+B$98)^6</f>
        <v>0.86736173798840366</v>
      </c>
      <c r="H104">
        <f t="shared" si="25"/>
        <v>124.90009027033013</v>
      </c>
    </row>
    <row r="105" spans="1:11" x14ac:dyDescent="0.2">
      <c r="D105">
        <v>7</v>
      </c>
      <c r="E105">
        <f t="shared" si="23"/>
        <v>24</v>
      </c>
      <c r="F105">
        <f t="shared" si="24"/>
        <v>168</v>
      </c>
      <c r="G105">
        <f>1/(1+B$98)^7</f>
        <v>0.84703294725430023</v>
      </c>
      <c r="H105">
        <f t="shared" si="25"/>
        <v>142.30153513872244</v>
      </c>
    </row>
    <row r="106" spans="1:11" x14ac:dyDescent="0.2">
      <c r="D106">
        <v>8</v>
      </c>
      <c r="E106">
        <f t="shared" si="23"/>
        <v>24</v>
      </c>
      <c r="F106">
        <f t="shared" si="24"/>
        <v>192</v>
      </c>
      <c r="G106">
        <f>1/(1+B$98)^8</f>
        <v>0.82718061255302777</v>
      </c>
      <c r="H106">
        <f t="shared" si="25"/>
        <v>158.81867761018134</v>
      </c>
    </row>
    <row r="107" spans="1:11" x14ac:dyDescent="0.2">
      <c r="D107">
        <v>9</v>
      </c>
      <c r="E107">
        <f>B99+(B99*B98)</f>
        <v>1024</v>
      </c>
      <c r="F107">
        <f t="shared" si="24"/>
        <v>9216</v>
      </c>
      <c r="G107">
        <f>1/(1+B$98)^9</f>
        <v>0.80779356694631621</v>
      </c>
      <c r="H107">
        <f t="shared" si="25"/>
        <v>7444.6255129772499</v>
      </c>
    </row>
    <row r="108" spans="1:11" x14ac:dyDescent="0.2">
      <c r="H108" s="1">
        <f>SUM(H99:H107)</f>
        <v>8200.8078102905147</v>
      </c>
    </row>
    <row r="109" spans="1:11" x14ac:dyDescent="0.2">
      <c r="H109" s="1"/>
    </row>
    <row r="111" spans="1:11" x14ac:dyDescent="0.2">
      <c r="A111" s="1" t="s">
        <v>49</v>
      </c>
      <c r="D111" s="1" t="s">
        <v>3</v>
      </c>
      <c r="E111" s="1" t="s">
        <v>4</v>
      </c>
      <c r="F111" s="1" t="s">
        <v>5</v>
      </c>
      <c r="G111" s="1" t="s">
        <v>32</v>
      </c>
      <c r="H111" s="1" t="s">
        <v>6</v>
      </c>
    </row>
    <row r="112" spans="1:11" x14ac:dyDescent="0.2">
      <c r="A112" t="s">
        <v>14</v>
      </c>
      <c r="B112">
        <v>0.06</v>
      </c>
      <c r="D112">
        <v>1</v>
      </c>
      <c r="E112">
        <f>B$113*B$112</f>
        <v>60</v>
      </c>
      <c r="F112">
        <f>D112*E112</f>
        <v>60</v>
      </c>
      <c r="G112">
        <f>1/(1+B$31)</f>
        <v>0.96735187424425639</v>
      </c>
      <c r="H112">
        <f>G112*F112</f>
        <v>58.041112454655384</v>
      </c>
    </row>
    <row r="113" spans="1:11" x14ac:dyDescent="0.2">
      <c r="A113" t="s">
        <v>0</v>
      </c>
      <c r="B113">
        <v>1000</v>
      </c>
      <c r="D113">
        <v>2</v>
      </c>
      <c r="E113">
        <f t="shared" ref="E113:E116" si="26">B$113*B$112</f>
        <v>60</v>
      </c>
      <c r="F113">
        <f t="shared" ref="F113:F117" si="27">D113*E113</f>
        <v>120</v>
      </c>
      <c r="G113">
        <f>1/(1+B$31)^2</f>
        <v>0.93576964860387557</v>
      </c>
      <c r="H113">
        <f t="shared" ref="H113:H117" si="28">G113*F113</f>
        <v>112.29235783246507</v>
      </c>
      <c r="J113" s="1" t="s">
        <v>8</v>
      </c>
      <c r="K113">
        <f>H117/B113</f>
        <v>5.0329352687774245</v>
      </c>
    </row>
    <row r="114" spans="1:11" x14ac:dyDescent="0.2">
      <c r="A114" t="s">
        <v>1</v>
      </c>
      <c r="B114" s="11">
        <v>43040</v>
      </c>
      <c r="D114">
        <v>3</v>
      </c>
      <c r="E114">
        <f t="shared" si="26"/>
        <v>60</v>
      </c>
      <c r="F114">
        <f t="shared" si="27"/>
        <v>180</v>
      </c>
      <c r="G114">
        <f>1/(1+B$31)^3</f>
        <v>0.90521852343784814</v>
      </c>
      <c r="H114">
        <f t="shared" si="28"/>
        <v>162.93933421881266</v>
      </c>
      <c r="J114" s="1" t="s">
        <v>10</v>
      </c>
      <c r="K114">
        <f>K113/(1+B112)</f>
        <v>4.7480521403560605</v>
      </c>
    </row>
    <row r="115" spans="1:11" x14ac:dyDescent="0.2">
      <c r="A115" t="s">
        <v>2</v>
      </c>
      <c r="B115" s="11">
        <v>44866</v>
      </c>
      <c r="D115">
        <v>4</v>
      </c>
      <c r="E115">
        <f t="shared" si="26"/>
        <v>60</v>
      </c>
      <c r="F115">
        <f t="shared" si="27"/>
        <v>240</v>
      </c>
      <c r="G115">
        <f>1/(1+B$31)^4</f>
        <v>0.87566483524822081</v>
      </c>
      <c r="H115">
        <f t="shared" si="28"/>
        <v>210.15956045957299</v>
      </c>
      <c r="J115" s="1" t="s">
        <v>13</v>
      </c>
      <c r="K115">
        <f>-(K114*(1%))*100</f>
        <v>-4.7480521403560605</v>
      </c>
    </row>
    <row r="116" spans="1:11" x14ac:dyDescent="0.2">
      <c r="A116" t="s">
        <v>28</v>
      </c>
      <c r="B116">
        <v>104</v>
      </c>
      <c r="D116">
        <v>5</v>
      </c>
      <c r="E116">
        <f>B113+(B113*B112)</f>
        <v>1060</v>
      </c>
      <c r="F116">
        <f t="shared" si="27"/>
        <v>5300</v>
      </c>
      <c r="G116">
        <f>1/(1+B$31)^5</f>
        <v>0.84707601958715439</v>
      </c>
      <c r="H116">
        <f t="shared" si="28"/>
        <v>4489.5029038119183</v>
      </c>
      <c r="J116" s="1" t="s">
        <v>11</v>
      </c>
      <c r="K116">
        <f>-K115*0.01/(1+B112)</f>
        <v>4.4792944720340191E-2</v>
      </c>
    </row>
    <row r="117" spans="1:11" x14ac:dyDescent="0.2">
      <c r="A117" t="s">
        <v>17</v>
      </c>
      <c r="B117">
        <v>5.1589999999999997E-2</v>
      </c>
      <c r="H117" s="1">
        <f>SUM(H112:H116)</f>
        <v>5032.9352687774244</v>
      </c>
    </row>
    <row r="118" spans="1:11" x14ac:dyDescent="0.2">
      <c r="H118" s="1"/>
    </row>
    <row r="119" spans="1:11" x14ac:dyDescent="0.2">
      <c r="H1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65"/>
  <sheetViews>
    <sheetView workbookViewId="0">
      <selection activeCell="J26" sqref="J26:J29"/>
    </sheetView>
  </sheetViews>
  <sheetFormatPr baseColWidth="10" defaultRowHeight="16" x14ac:dyDescent="0.2"/>
  <cols>
    <col min="1" max="1" width="16.5" bestFit="1" customWidth="1"/>
    <col min="2" max="2" width="12.6640625" customWidth="1"/>
    <col min="5" max="5" width="26" customWidth="1"/>
    <col min="6" max="6" width="26.5" bestFit="1" customWidth="1"/>
    <col min="7" max="7" width="11.83203125" customWidth="1"/>
    <col min="9" max="9" width="16.5" bestFit="1" customWidth="1"/>
    <col min="10" max="10" width="12.6640625" bestFit="1" customWidth="1"/>
    <col min="12" max="12" width="12.1640625" bestFit="1" customWidth="1"/>
    <col min="14" max="14" width="16.5" bestFit="1" customWidth="1"/>
  </cols>
  <sheetData>
    <row r="2" spans="1:9" x14ac:dyDescent="0.2">
      <c r="A2" s="14" t="s">
        <v>39</v>
      </c>
      <c r="B2" s="14"/>
      <c r="D2" s="1" t="s">
        <v>15</v>
      </c>
      <c r="E2" s="1" t="s">
        <v>10</v>
      </c>
      <c r="F2" s="1" t="s">
        <v>16</v>
      </c>
      <c r="G2" s="1" t="s">
        <v>27</v>
      </c>
      <c r="H2" s="1" t="s">
        <v>17</v>
      </c>
      <c r="I2" s="1" t="s">
        <v>38</v>
      </c>
    </row>
    <row r="3" spans="1:9" x14ac:dyDescent="0.2">
      <c r="A3" t="s">
        <v>8</v>
      </c>
      <c r="B3" s="9">
        <v>8.2565969603358518</v>
      </c>
      <c r="D3">
        <v>0.1</v>
      </c>
      <c r="E3">
        <f>B4</f>
        <v>7.7672596052077632</v>
      </c>
      <c r="F3">
        <f>D3*E3</f>
        <v>0.77672596052077636</v>
      </c>
      <c r="G3" s="5">
        <f>'Bonds Data and Analysis'!B6</f>
        <v>114.63500000000001</v>
      </c>
      <c r="H3">
        <f>'Bonds Data and Analysis'!B7</f>
        <v>5.5E-2</v>
      </c>
      <c r="I3">
        <f t="shared" ref="I3:I11" si="0">D3*H3</f>
        <v>5.5000000000000005E-3</v>
      </c>
    </row>
    <row r="4" spans="1:9" x14ac:dyDescent="0.2">
      <c r="A4" t="s">
        <v>10</v>
      </c>
      <c r="B4" s="16">
        <v>7.7672596052077632</v>
      </c>
      <c r="D4">
        <v>0.1</v>
      </c>
      <c r="E4">
        <f>B9</f>
        <v>7.7217349291848114</v>
      </c>
      <c r="F4">
        <f t="shared" ref="F4:F12" si="1">D4*E4</f>
        <v>0.77217349291848114</v>
      </c>
      <c r="G4" s="5">
        <f>'Bonds Data and Analysis'!B21</f>
        <v>108.21299999999999</v>
      </c>
      <c r="H4">
        <f>'Bonds Data and Analysis'!B22</f>
        <v>3.8620000000000002E-2</v>
      </c>
      <c r="I4">
        <f t="shared" si="0"/>
        <v>3.8620000000000004E-3</v>
      </c>
    </row>
    <row r="5" spans="1:9" x14ac:dyDescent="0.2">
      <c r="A5" t="s">
        <v>12</v>
      </c>
      <c r="B5" s="9">
        <v>-7.7672596</v>
      </c>
      <c r="D5">
        <v>0.1</v>
      </c>
      <c r="E5">
        <f>B17</f>
        <v>5.350501476296353</v>
      </c>
      <c r="F5">
        <f t="shared" si="1"/>
        <v>0.53505014762963532</v>
      </c>
      <c r="G5" s="5">
        <f>'Bonds Data and Analysis'!B35</f>
        <v>100.759</v>
      </c>
      <c r="H5">
        <f>'Bonds Data and Analysis'!B36</f>
        <v>3.2340000000000001E-2</v>
      </c>
      <c r="I5">
        <f t="shared" si="0"/>
        <v>3.2340000000000003E-3</v>
      </c>
    </row>
    <row r="6" spans="1:9" x14ac:dyDescent="0.2">
      <c r="A6" t="s">
        <v>11</v>
      </c>
      <c r="B6" s="9">
        <v>-7.3069234291700508E-2</v>
      </c>
      <c r="D6">
        <v>0.1</v>
      </c>
      <c r="E6">
        <f>B25</f>
        <v>1.9204243403721262</v>
      </c>
      <c r="F6">
        <f t="shared" si="1"/>
        <v>0.19204243403721263</v>
      </c>
      <c r="G6" s="5">
        <f>'Bonds Data and Analysis'!B44</f>
        <v>100.92700000000001</v>
      </c>
      <c r="H6">
        <f>'Bonds Data and Analysis'!B45</f>
        <v>2.196E-2</v>
      </c>
      <c r="I6">
        <f t="shared" si="0"/>
        <v>2.196E-3</v>
      </c>
    </row>
    <row r="7" spans="1:9" x14ac:dyDescent="0.2">
      <c r="B7" s="15"/>
      <c r="D7">
        <v>0.1</v>
      </c>
      <c r="E7">
        <f>B32</f>
        <v>6.76763288793624</v>
      </c>
      <c r="F7">
        <f t="shared" si="1"/>
        <v>0.67676328879362402</v>
      </c>
      <c r="G7" s="5">
        <f>'Bonds Data and Analysis'!B57</f>
        <v>100.37</v>
      </c>
      <c r="H7">
        <f>'Bonds Data and Analysis'!B58</f>
        <v>3.8199999999999998E-2</v>
      </c>
      <c r="I7">
        <f t="shared" si="0"/>
        <v>3.82E-3</v>
      </c>
    </row>
    <row r="8" spans="1:9" x14ac:dyDescent="0.2">
      <c r="A8" t="s">
        <v>8</v>
      </c>
      <c r="B8">
        <v>8.1078216756440522</v>
      </c>
      <c r="D8">
        <v>0.1</v>
      </c>
      <c r="E8">
        <f>B39</f>
        <v>1.928829571067652</v>
      </c>
      <c r="F8">
        <f t="shared" si="1"/>
        <v>0.1928829571067652</v>
      </c>
      <c r="G8" s="5">
        <f>'Bonds Data and Analysis'!B70</f>
        <v>100.71</v>
      </c>
      <c r="H8">
        <f>'Bonds Data and Analysis'!B71</f>
        <v>2.1399999999999999E-2</v>
      </c>
      <c r="I8">
        <f t="shared" si="0"/>
        <v>2.14E-3</v>
      </c>
    </row>
    <row r="9" spans="1:9" x14ac:dyDescent="0.2">
      <c r="A9" t="s">
        <v>10</v>
      </c>
      <c r="B9">
        <v>7.7217349291848114</v>
      </c>
      <c r="D9">
        <v>0.1</v>
      </c>
      <c r="E9">
        <f>B45</f>
        <v>7.8042950275566909</v>
      </c>
      <c r="F9">
        <f t="shared" si="1"/>
        <v>0.78042950275566914</v>
      </c>
      <c r="G9" s="5">
        <f>'Bonds Data and Analysis'!B78</f>
        <v>96.01</v>
      </c>
      <c r="H9">
        <f>'Bonds Data and Analysis'!B79</f>
        <v>3.4500000000000003E-2</v>
      </c>
      <c r="I9">
        <f t="shared" si="0"/>
        <v>3.4500000000000004E-3</v>
      </c>
    </row>
    <row r="10" spans="1:9" x14ac:dyDescent="0.2">
      <c r="A10" t="s">
        <v>13</v>
      </c>
      <c r="B10">
        <v>-7.7217349291848123</v>
      </c>
      <c r="D10">
        <v>0.1</v>
      </c>
      <c r="E10">
        <f>B51</f>
        <v>6.1374280665329666</v>
      </c>
      <c r="F10">
        <f t="shared" si="1"/>
        <v>0.61374280665329672</v>
      </c>
      <c r="G10" s="5">
        <f>'Bonds Data and Analysis'!B94</f>
        <v>103.639</v>
      </c>
      <c r="H10">
        <f>'Bonds Data and Analysis'!B95</f>
        <v>2.8070000000000001E-2</v>
      </c>
      <c r="I10">
        <f t="shared" si="0"/>
        <v>2.8070000000000005E-3</v>
      </c>
    </row>
    <row r="11" spans="1:9" x14ac:dyDescent="0.2">
      <c r="A11" t="s">
        <v>11</v>
      </c>
      <c r="B11">
        <v>7.3540332658902974E-2</v>
      </c>
      <c r="D11">
        <v>0.1</v>
      </c>
      <c r="E11">
        <f>B58</f>
        <v>8.0086013772368307</v>
      </c>
      <c r="F11">
        <f t="shared" si="1"/>
        <v>0.80086013772368314</v>
      </c>
      <c r="G11" s="5">
        <f>'Bonds Data and Analysis'!B102</f>
        <v>95.465999999999994</v>
      </c>
      <c r="H11">
        <f>'Bonds Data and Analysis'!B103</f>
        <v>3.1050000000000001E-2</v>
      </c>
      <c r="I11">
        <f t="shared" si="0"/>
        <v>3.1050000000000001E-3</v>
      </c>
    </row>
    <row r="12" spans="1:9" x14ac:dyDescent="0.2">
      <c r="D12">
        <v>0.1</v>
      </c>
      <c r="E12">
        <f>B63</f>
        <v>4.7480521403560605</v>
      </c>
      <c r="F12">
        <f t="shared" si="1"/>
        <v>0.47480521403560605</v>
      </c>
      <c r="G12" s="5">
        <f>'Bonds Data and Analysis'!B116</f>
        <v>104</v>
      </c>
      <c r="H12">
        <f>'Bonds Data and Analysis'!B117</f>
        <v>5.1589999999999997E-2</v>
      </c>
      <c r="I12">
        <f t="shared" ref="I12" si="2">D12*H12</f>
        <v>5.1590000000000004E-3</v>
      </c>
    </row>
    <row r="13" spans="1:9" x14ac:dyDescent="0.2">
      <c r="D13">
        <f>SUM(D3:D12)</f>
        <v>0.99999999999999989</v>
      </c>
      <c r="F13" s="1">
        <f>SUM(F3:F12)</f>
        <v>5.8154759421747499</v>
      </c>
      <c r="G13" s="7"/>
      <c r="I13" s="1">
        <f>SUM(I3:I12)</f>
        <v>3.5272999999999999E-2</v>
      </c>
    </row>
    <row r="16" spans="1:9" x14ac:dyDescent="0.2">
      <c r="A16" t="s">
        <v>8</v>
      </c>
      <c r="B16">
        <v>5.5310809011213546</v>
      </c>
    </row>
    <row r="17" spans="1:12" x14ac:dyDescent="0.2">
      <c r="A17" t="s">
        <v>10</v>
      </c>
      <c r="B17">
        <v>5.350501476296353</v>
      </c>
      <c r="E17" s="1" t="s">
        <v>37</v>
      </c>
      <c r="F17" s="13">
        <f>F13</f>
        <v>5.8154759421747499</v>
      </c>
      <c r="H17" s="1" t="s">
        <v>3</v>
      </c>
      <c r="I17" s="1" t="s">
        <v>4</v>
      </c>
      <c r="J17" s="1" t="s">
        <v>5</v>
      </c>
      <c r="K17" s="1" t="s">
        <v>7</v>
      </c>
      <c r="L17" s="1" t="s">
        <v>6</v>
      </c>
    </row>
    <row r="18" spans="1:12" x14ac:dyDescent="0.2">
      <c r="A18" t="s">
        <v>13</v>
      </c>
      <c r="B18">
        <v>-5.350501476296353</v>
      </c>
      <c r="E18" t="s">
        <v>50</v>
      </c>
      <c r="F18">
        <v>1000</v>
      </c>
      <c r="H18">
        <v>1</v>
      </c>
      <c r="I18">
        <f>1000*I$13</f>
        <v>35.272999999999996</v>
      </c>
      <c r="J18">
        <f>H18*I18</f>
        <v>35.272999999999996</v>
      </c>
      <c r="K18">
        <f>1/(1+I$13)</f>
        <v>0.96592879366118878</v>
      </c>
      <c r="L18">
        <f>K18*J18</f>
        <v>34.071206338811109</v>
      </c>
    </row>
    <row r="19" spans="1:12" x14ac:dyDescent="0.2">
      <c r="A19" t="s">
        <v>11</v>
      </c>
      <c r="B19">
        <v>5.1758176312419378E-2</v>
      </c>
      <c r="H19">
        <v>2</v>
      </c>
      <c r="I19">
        <f t="shared" ref="I19:I21" si="3">1000*I$13</f>
        <v>35.272999999999996</v>
      </c>
      <c r="J19">
        <f t="shared" ref="J19:J22" si="4">H19*I19</f>
        <v>70.545999999999992</v>
      </c>
      <c r="K19">
        <f>1/(1+I$13)^2</f>
        <v>0.93301843442375931</v>
      </c>
      <c r="L19">
        <f t="shared" ref="L19:L22" si="5">K19*J19</f>
        <v>65.820718474858523</v>
      </c>
    </row>
    <row r="20" spans="1:12" x14ac:dyDescent="0.2">
      <c r="H20">
        <v>3</v>
      </c>
      <c r="I20">
        <f t="shared" si="3"/>
        <v>35.272999999999996</v>
      </c>
      <c r="J20">
        <f t="shared" si="4"/>
        <v>105.81899999999999</v>
      </c>
      <c r="K20">
        <f>1/(1+I$13)^3</f>
        <v>0.90122937082659293</v>
      </c>
      <c r="L20">
        <f t="shared" si="5"/>
        <v>95.367190791499226</v>
      </c>
    </row>
    <row r="21" spans="1:12" x14ac:dyDescent="0.2">
      <c r="H21">
        <v>4</v>
      </c>
      <c r="I21">
        <f t="shared" si="3"/>
        <v>35.272999999999996</v>
      </c>
      <c r="J21">
        <f t="shared" si="4"/>
        <v>141.09199999999998</v>
      </c>
      <c r="K21">
        <f>1/(1+I$13)^4</f>
        <v>0.87052339897456288</v>
      </c>
      <c r="L21">
        <f t="shared" si="5"/>
        <v>122.82388740811901</v>
      </c>
    </row>
    <row r="22" spans="1:12" x14ac:dyDescent="0.2">
      <c r="H22">
        <v>5</v>
      </c>
      <c r="I22">
        <f>1000+(1000*I13)</f>
        <v>1035.2729999999999</v>
      </c>
      <c r="J22">
        <f t="shared" si="4"/>
        <v>5176.3649999999998</v>
      </c>
      <c r="K22">
        <f>1/(1+I$13)^5</f>
        <v>0.84086361662533726</v>
      </c>
      <c r="L22">
        <f t="shared" si="5"/>
        <v>4352.6169948728138</v>
      </c>
    </row>
    <row r="23" spans="1:12" x14ac:dyDescent="0.2">
      <c r="L23" s="1">
        <f>SUM(L18:L22)</f>
        <v>4670.6999978861013</v>
      </c>
    </row>
    <row r="24" spans="1:12" x14ac:dyDescent="0.2">
      <c r="A24" t="s">
        <v>8</v>
      </c>
      <c r="B24">
        <v>1.9732360097323598</v>
      </c>
    </row>
    <row r="25" spans="1:12" x14ac:dyDescent="0.2">
      <c r="A25" t="s">
        <v>10</v>
      </c>
      <c r="B25">
        <v>1.9204243403721262</v>
      </c>
    </row>
    <row r="26" spans="1:12" x14ac:dyDescent="0.2">
      <c r="A26" t="s">
        <v>13</v>
      </c>
      <c r="B26">
        <v>-1.9204243403721262</v>
      </c>
      <c r="I26" s="1" t="s">
        <v>8</v>
      </c>
      <c r="J26">
        <f>L23/F18</f>
        <v>4.6706999978861017</v>
      </c>
    </row>
    <row r="27" spans="1:12" x14ac:dyDescent="0.2">
      <c r="A27" t="s">
        <v>11</v>
      </c>
      <c r="B27">
        <v>1.9204243403721261E-2</v>
      </c>
      <c r="I27" s="1" t="s">
        <v>10</v>
      </c>
      <c r="J27">
        <f>J26/(1+I13)</f>
        <v>4.5115636145114388</v>
      </c>
    </row>
    <row r="28" spans="1:12" x14ac:dyDescent="0.2">
      <c r="I28" s="1" t="s">
        <v>12</v>
      </c>
      <c r="J28">
        <f>-(J27*(1%))*100</f>
        <v>-4.5115636145114388</v>
      </c>
      <c r="K28" t="s">
        <v>9</v>
      </c>
    </row>
    <row r="29" spans="1:12" x14ac:dyDescent="0.2">
      <c r="I29" s="1" t="s">
        <v>11</v>
      </c>
      <c r="J29">
        <f>-J28*0.01/(1+I13)</f>
        <v>4.3578491996907463E-2</v>
      </c>
    </row>
    <row r="31" spans="1:12" x14ac:dyDescent="0.2">
      <c r="A31" t="s">
        <v>8</v>
      </c>
      <c r="B31">
        <v>7.0298786623437701</v>
      </c>
    </row>
    <row r="32" spans="1:12" x14ac:dyDescent="0.2">
      <c r="A32" t="s">
        <v>10</v>
      </c>
      <c r="B32">
        <v>6.76763288793624</v>
      </c>
    </row>
    <row r="33" spans="1:2" x14ac:dyDescent="0.2">
      <c r="A33" t="s">
        <v>12</v>
      </c>
      <c r="B33">
        <v>-6.76763288793624</v>
      </c>
    </row>
    <row r="34" spans="1:2" x14ac:dyDescent="0.2">
      <c r="A34" t="s">
        <v>11</v>
      </c>
      <c r="B34">
        <v>6.5151700485547429E-2</v>
      </c>
    </row>
    <row r="38" spans="1:2" x14ac:dyDescent="0.2">
      <c r="A38" t="s">
        <v>8</v>
      </c>
      <c r="B38">
        <v>1.9760858955588094</v>
      </c>
    </row>
    <row r="39" spans="1:2" x14ac:dyDescent="0.2">
      <c r="A39" t="s">
        <v>10</v>
      </c>
      <c r="B39">
        <v>1.928829571067652</v>
      </c>
    </row>
    <row r="40" spans="1:2" x14ac:dyDescent="0.2">
      <c r="A40" t="s">
        <v>12</v>
      </c>
      <c r="B40">
        <v>-1.9288295710676522</v>
      </c>
    </row>
    <row r="41" spans="1:2" x14ac:dyDescent="0.2">
      <c r="A41" t="s">
        <v>11</v>
      </c>
      <c r="B41">
        <v>1.8827033392558829E-2</v>
      </c>
    </row>
    <row r="44" spans="1:2" x14ac:dyDescent="0.2">
      <c r="A44" t="s">
        <v>8</v>
      </c>
      <c r="B44">
        <v>8.0345217308696135</v>
      </c>
    </row>
    <row r="45" spans="1:2" x14ac:dyDescent="0.2">
      <c r="A45" t="s">
        <v>10</v>
      </c>
      <c r="B45">
        <v>7.8042950275566909</v>
      </c>
    </row>
    <row r="46" spans="1:2" x14ac:dyDescent="0.2">
      <c r="A46" t="s">
        <v>13</v>
      </c>
      <c r="B46">
        <v>-7.8042950275566918</v>
      </c>
    </row>
    <row r="47" spans="1:2" x14ac:dyDescent="0.2">
      <c r="A47" t="s">
        <v>11</v>
      </c>
      <c r="B47">
        <v>7.5806653983066449E-2</v>
      </c>
    </row>
    <row r="50" spans="1:2" x14ac:dyDescent="0.2">
      <c r="A50" t="s">
        <v>8</v>
      </c>
      <c r="B50">
        <v>6.3461006207950881</v>
      </c>
    </row>
    <row r="51" spans="1:2" x14ac:dyDescent="0.2">
      <c r="A51" t="s">
        <v>10</v>
      </c>
      <c r="B51">
        <v>6.1374280665329666</v>
      </c>
    </row>
    <row r="52" spans="1:2" x14ac:dyDescent="0.2">
      <c r="A52" t="s">
        <v>13</v>
      </c>
      <c r="B52">
        <v>-6.1374280665329666</v>
      </c>
    </row>
    <row r="53" spans="1:2" x14ac:dyDescent="0.2">
      <c r="A53" t="s">
        <v>11</v>
      </c>
      <c r="B53">
        <v>5.9356170856218249E-2</v>
      </c>
    </row>
    <row r="57" spans="1:2" x14ac:dyDescent="0.2">
      <c r="A57" t="s">
        <v>8</v>
      </c>
      <c r="B57">
        <v>8.2008078102905149</v>
      </c>
    </row>
    <row r="58" spans="1:2" x14ac:dyDescent="0.2">
      <c r="A58" t="s">
        <v>10</v>
      </c>
      <c r="B58">
        <v>8.0086013772368307</v>
      </c>
    </row>
    <row r="59" spans="1:2" x14ac:dyDescent="0.2">
      <c r="A59" t="s">
        <v>13</v>
      </c>
      <c r="B59">
        <v>-8.0086013772368307</v>
      </c>
    </row>
    <row r="60" spans="1:2" x14ac:dyDescent="0.2">
      <c r="A60" t="s">
        <v>11</v>
      </c>
      <c r="B60">
        <v>7.8208997824578422E-2</v>
      </c>
    </row>
    <row r="62" spans="1:2" x14ac:dyDescent="0.2">
      <c r="A62" t="s">
        <v>8</v>
      </c>
      <c r="B62">
        <v>5.0329352687774245</v>
      </c>
    </row>
    <row r="63" spans="1:2" x14ac:dyDescent="0.2">
      <c r="A63" t="s">
        <v>10</v>
      </c>
      <c r="B63">
        <v>4.7480521403560605</v>
      </c>
    </row>
    <row r="64" spans="1:2" x14ac:dyDescent="0.2">
      <c r="A64" t="s">
        <v>13</v>
      </c>
      <c r="B64">
        <v>-4.7480521403560605</v>
      </c>
    </row>
    <row r="65" spans="1:2" x14ac:dyDescent="0.2">
      <c r="A65" t="s">
        <v>11</v>
      </c>
      <c r="B65">
        <v>4.4792944720340191E-2</v>
      </c>
    </row>
  </sheetData>
  <mergeCells count="1">
    <mergeCell ref="A2:B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6"/>
  <sheetViews>
    <sheetView topLeftCell="A5" workbookViewId="0">
      <selection activeCell="G15" sqref="G15"/>
    </sheetView>
  </sheetViews>
  <sheetFormatPr baseColWidth="10" defaultRowHeight="16" x14ac:dyDescent="0.2"/>
  <cols>
    <col min="5" max="5" width="13" customWidth="1"/>
    <col min="6" max="6" width="16.5" customWidth="1"/>
  </cols>
  <sheetData>
    <row r="2" spans="3:9" x14ac:dyDescent="0.2">
      <c r="C2" s="1" t="s">
        <v>22</v>
      </c>
      <c r="H2" s="6">
        <v>42735</v>
      </c>
    </row>
    <row r="4" spans="3:9" x14ac:dyDescent="0.2">
      <c r="C4" s="1" t="s">
        <v>15</v>
      </c>
      <c r="D4" s="1" t="s">
        <v>25</v>
      </c>
      <c r="E4" s="1" t="s">
        <v>17</v>
      </c>
      <c r="F4" s="1" t="s">
        <v>18</v>
      </c>
      <c r="G4" s="1" t="s">
        <v>27</v>
      </c>
      <c r="H4" s="1" t="s">
        <v>24</v>
      </c>
      <c r="I4" s="1" t="s">
        <v>26</v>
      </c>
    </row>
    <row r="5" spans="3:9" x14ac:dyDescent="0.2">
      <c r="C5">
        <v>0.25575159183024165</v>
      </c>
      <c r="D5">
        <f>'Bonds Data and Analysis'!B2</f>
        <v>6.3E-2</v>
      </c>
      <c r="E5">
        <v>5.5E-2</v>
      </c>
      <c r="F5" s="4">
        <f>'Bonds Data and Analysis'!B5</f>
        <v>46874</v>
      </c>
      <c r="G5" s="5">
        <v>114.63500000000001</v>
      </c>
      <c r="H5">
        <f>MDURATION($H$2,F5,D5,E5,1,0)</f>
        <v>7.789362688465614</v>
      </c>
      <c r="I5">
        <f>C5*G$22</f>
        <v>1419630.4743621401</v>
      </c>
    </row>
    <row r="6" spans="3:9" x14ac:dyDescent="0.2">
      <c r="C6">
        <v>0.10071926100740217</v>
      </c>
      <c r="D6">
        <f>'Bonds Data and Analysis'!B17</f>
        <v>0.05</v>
      </c>
      <c r="E6">
        <v>3.8620000000000002E-2</v>
      </c>
      <c r="F6" s="4">
        <f>'Bonds Data and Analysis'!B20</f>
        <v>46508</v>
      </c>
      <c r="G6" s="5">
        <v>108.21299999999999</v>
      </c>
      <c r="H6">
        <f t="shared" ref="H6:H14" si="0">MDURATION($H$2,F6,D6,E6,1,0)</f>
        <v>7.8726577185908075</v>
      </c>
      <c r="I6">
        <f t="shared" ref="I6:I14" si="1">C6*G$22</f>
        <v>559074.26130997471</v>
      </c>
    </row>
    <row r="7" spans="3:9" x14ac:dyDescent="0.2">
      <c r="C7">
        <v>8.1702880149314469E-2</v>
      </c>
      <c r="D7">
        <f>'Bonds Data and Analysis'!B31</f>
        <v>3.3750000000000002E-2</v>
      </c>
      <c r="E7">
        <v>3.2340000000000001E-2</v>
      </c>
      <c r="F7" s="4">
        <f>'Bonds Data and Analysis'!B34</f>
        <v>45108</v>
      </c>
      <c r="G7" s="5">
        <v>100.759</v>
      </c>
      <c r="H7">
        <f t="shared" si="0"/>
        <v>5.670441199513804</v>
      </c>
      <c r="I7">
        <f t="shared" si="1"/>
        <v>453517.79698838707</v>
      </c>
    </row>
    <row r="8" spans="3:9" x14ac:dyDescent="0.2">
      <c r="C8">
        <v>4.8970502576299625E-2</v>
      </c>
      <c r="D8">
        <f>'Bonds Data and Analysis'!B40</f>
        <v>2.75E-2</v>
      </c>
      <c r="E8">
        <v>2.196E-2</v>
      </c>
      <c r="F8" s="4">
        <f>'Bonds Data and Analysis'!B43</f>
        <v>43466</v>
      </c>
      <c r="G8" s="5">
        <v>100.92700000000001</v>
      </c>
      <c r="H8">
        <f>MDURATION($H$2,F8,D8,E8,1,0)</f>
        <v>1.8798256830040818</v>
      </c>
      <c r="I8">
        <f t="shared" si="1"/>
        <v>271826.33470484684</v>
      </c>
    </row>
    <row r="9" spans="3:9" x14ac:dyDescent="0.2">
      <c r="C9">
        <v>9.0438073140311159E-2</v>
      </c>
      <c r="D9">
        <f>'Bonds Data and Analysis'!B53</f>
        <v>3.875E-2</v>
      </c>
      <c r="E9">
        <v>3.8199999999999998E-2</v>
      </c>
      <c r="F9" s="4">
        <f>'Bonds Data and Analysis'!B56</f>
        <v>45717</v>
      </c>
      <c r="G9" s="5">
        <v>100.37</v>
      </c>
      <c r="H9">
        <f>MDURATION($H$2,F9,D9,E9,1,0)</f>
        <v>6.6820312582667372</v>
      </c>
      <c r="I9">
        <f t="shared" si="1"/>
        <v>502005.26125287003</v>
      </c>
    </row>
    <row r="10" spans="3:9" x14ac:dyDescent="0.2">
      <c r="C10">
        <v>5.2570182988218056E-2</v>
      </c>
      <c r="D10">
        <f>'Bonds Data and Analysis'!B66</f>
        <v>2.4500000000000001E-2</v>
      </c>
      <c r="E10">
        <v>2.1399999999999999E-2</v>
      </c>
      <c r="F10" s="4">
        <f>'Bonds Data and Analysis'!B69</f>
        <v>43617</v>
      </c>
      <c r="G10" s="5">
        <v>100.71</v>
      </c>
      <c r="H10">
        <f t="shared" si="0"/>
        <v>2.2966914399421849</v>
      </c>
      <c r="I10">
        <f t="shared" si="1"/>
        <v>291807.50461332517</v>
      </c>
    </row>
    <row r="11" spans="3:9" x14ac:dyDescent="0.2">
      <c r="C11">
        <v>0.10388357196981826</v>
      </c>
      <c r="D11">
        <f>'Bonds Data and Analysis'!B74</f>
        <v>2.9499999999999998E-2</v>
      </c>
      <c r="E11">
        <v>3.4500000000000003E-2</v>
      </c>
      <c r="F11" s="4">
        <f>'Bonds Data and Analysis'!B77</f>
        <v>46296</v>
      </c>
      <c r="G11" s="5">
        <v>96.01</v>
      </c>
      <c r="H11">
        <f t="shared" si="0"/>
        <v>8.2391047781800104</v>
      </c>
      <c r="I11">
        <f t="shared" si="1"/>
        <v>576638.77475232235</v>
      </c>
    </row>
    <row r="12" spans="3:9" x14ac:dyDescent="0.2">
      <c r="C12">
        <v>8.7262594365879118E-2</v>
      </c>
      <c r="D12">
        <f>'Bonds Data and Analysis'!B90</f>
        <v>3.4000000000000002E-2</v>
      </c>
      <c r="E12">
        <v>2.8070000000000001E-2</v>
      </c>
      <c r="F12" s="4">
        <f>'Bonds Data and Analysis'!B93</f>
        <v>45413</v>
      </c>
      <c r="G12" s="5">
        <v>103.639</v>
      </c>
      <c r="H12">
        <f t="shared" si="0"/>
        <v>6.3142906995892343</v>
      </c>
      <c r="I12">
        <f t="shared" si="1"/>
        <v>484378.75732140627</v>
      </c>
    </row>
    <row r="13" spans="3:9" x14ac:dyDescent="0.2">
      <c r="C13">
        <v>0.10437943822720491</v>
      </c>
      <c r="D13">
        <f>'Bonds Data and Analysis'!B98</f>
        <v>2.4E-2</v>
      </c>
      <c r="E13">
        <v>3.1050000000000001E-2</v>
      </c>
      <c r="F13" s="4">
        <f>'Bonds Data and Analysis'!B101</f>
        <v>46235</v>
      </c>
      <c r="G13" s="5">
        <v>95.465999999999994</v>
      </c>
      <c r="H13">
        <f t="shared" si="0"/>
        <v>8.2965289797953403</v>
      </c>
      <c r="I13">
        <f t="shared" si="1"/>
        <v>579391.23797320132</v>
      </c>
    </row>
    <row r="14" spans="3:9" x14ac:dyDescent="0.2">
      <c r="C14">
        <v>7.4321903745310711E-2</v>
      </c>
      <c r="D14">
        <f>'Bonds Data and Analysis'!B112</f>
        <v>0.06</v>
      </c>
      <c r="E14">
        <v>5.1589999999999997E-2</v>
      </c>
      <c r="F14" s="4">
        <f>'Bonds Data and Analysis'!B115</f>
        <v>44866</v>
      </c>
      <c r="G14" s="5">
        <v>104</v>
      </c>
      <c r="H14">
        <f t="shared" si="0"/>
        <v>4.8156774741437278</v>
      </c>
      <c r="I14">
        <f t="shared" si="1"/>
        <v>412547.3421861871</v>
      </c>
    </row>
    <row r="15" spans="3:9" x14ac:dyDescent="0.2">
      <c r="C15" s="1">
        <f>SUM(C5:C14)</f>
        <v>1</v>
      </c>
      <c r="H15" s="1">
        <f t="array" ref="H15">MMULT(TRANSPOSE(C5:C14),H5:H14)</f>
        <v>6.6962714556611918</v>
      </c>
      <c r="I15" s="1">
        <f>SUM(I5:I14)</f>
        <v>5550817.7454646612</v>
      </c>
    </row>
    <row r="16" spans="3:9" x14ac:dyDescent="0.2">
      <c r="D16" s="1" t="s">
        <v>20</v>
      </c>
    </row>
    <row r="17" spans="4:9" x14ac:dyDescent="0.2">
      <c r="D17" s="1" t="s">
        <v>23</v>
      </c>
      <c r="E17" s="1" t="s">
        <v>19</v>
      </c>
      <c r="F17" s="1" t="s">
        <v>18</v>
      </c>
      <c r="G17" s="1" t="s">
        <v>21</v>
      </c>
      <c r="H17" s="1" t="s">
        <v>17</v>
      </c>
      <c r="I17" s="1" t="s">
        <v>24</v>
      </c>
    </row>
    <row r="18" spans="4:9" x14ac:dyDescent="0.2">
      <c r="D18">
        <v>0.25</v>
      </c>
      <c r="E18" s="2">
        <v>1000000</v>
      </c>
      <c r="F18" s="4">
        <v>43101</v>
      </c>
      <c r="G18" s="3">
        <f>E18*PRICE($H$2,F18,0,H18,1,1,0)</f>
        <v>970873.78640776698</v>
      </c>
      <c r="H18">
        <v>0.03</v>
      </c>
      <c r="I18">
        <f>MDURATION(H2,F18,0,H18,1,0)</f>
        <v>0.970873786407767</v>
      </c>
    </row>
    <row r="19" spans="4:9" x14ac:dyDescent="0.2">
      <c r="D19">
        <v>0.25</v>
      </c>
      <c r="E19" s="2">
        <v>2500000</v>
      </c>
      <c r="F19" s="4">
        <v>44562</v>
      </c>
      <c r="G19" s="3">
        <f>E19*PRICE($H$2,F19,0,H19,1,1,0)</f>
        <v>2209635.719023793</v>
      </c>
      <c r="H19">
        <v>2.5000000000000001E-2</v>
      </c>
      <c r="I19">
        <f>MDURATION(H2,F19,0,H19,1,0)</f>
        <v>4.8780487804878065</v>
      </c>
    </row>
    <row r="20" spans="4:9" x14ac:dyDescent="0.2">
      <c r="D20">
        <v>0.25</v>
      </c>
      <c r="E20" s="2">
        <v>750000</v>
      </c>
      <c r="F20" s="4">
        <v>46388</v>
      </c>
      <c r="G20" s="3">
        <f>E20*PRICE($H$2,F20,0,H20,1,1,0)</f>
        <v>506673.12661934888</v>
      </c>
      <c r="H20">
        <v>0.04</v>
      </c>
      <c r="I20">
        <f>MDURATION(H2,F20,0,H20,1,0)</f>
        <v>9.615384615384615</v>
      </c>
    </row>
    <row r="21" spans="4:9" x14ac:dyDescent="0.2">
      <c r="D21">
        <v>0.25</v>
      </c>
      <c r="E21" s="2">
        <v>3750000</v>
      </c>
      <c r="F21" s="4">
        <v>47119</v>
      </c>
      <c r="G21" s="3">
        <f>E21*PRICE($H$2,F21,0,H21,1,1,0)</f>
        <v>1863635.1134137518</v>
      </c>
      <c r="H21">
        <v>0.06</v>
      </c>
      <c r="I21">
        <f>MDURATION(H2,F21,0,H21,1,0)</f>
        <v>11.320754716981133</v>
      </c>
    </row>
    <row r="22" spans="4:9" x14ac:dyDescent="0.2">
      <c r="G22" s="8">
        <f>SUM(G18:G21)</f>
        <v>5550817.7454646602</v>
      </c>
      <c r="I22" s="1">
        <f t="array" ref="I22">MMULT(TRANSPOSE(D18:D21),I18:I21)</f>
        <v>6.6962654748153305</v>
      </c>
    </row>
    <row r="23" spans="4:9" x14ac:dyDescent="0.2">
      <c r="E23" s="2"/>
    </row>
    <row r="24" spans="4:9" x14ac:dyDescent="0.2">
      <c r="E24" s="2"/>
    </row>
    <row r="25" spans="4:9" x14ac:dyDescent="0.2">
      <c r="E25" s="2"/>
    </row>
    <row r="26" spans="4:9" x14ac:dyDescent="0.2">
      <c r="E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Bonds Data and Analysis</vt:lpstr>
      <vt:lpstr>Portfolio</vt:lpstr>
      <vt:lpstr>immunization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2017-05-02T11:28:41Z</dcterms:created>
  <dcterms:modified xsi:type="dcterms:W3CDTF">2017-05-09T19:40:47Z</dcterms:modified>
</cp:coreProperties>
</file>