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8.png" ContentType="image/png"/>
  <Override PartName="/xl/media/image13.png" ContentType="image/png"/>
  <Override PartName="/xl/media/image9.png" ContentType="image/png"/>
  <Override PartName="/xl/media/image10.png" ContentType="image/png"/>
  <Override PartName="/xl/media/image11.png" ContentType="image/png"/>
  <Override PartName="/xl/media/image12.png" ContentType="image/png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Title-README" sheetId="1" state="hidden" r:id="rId2"/>
    <sheet name="Step1-System Details" sheetId="2" state="visible" r:id="rId3"/>
    <sheet name="Step2-DDR Timings" sheetId="3" state="visible" r:id="rId4"/>
    <sheet name="Step3-Board Details" sheetId="4" state="visible" r:id="rId5"/>
    <sheet name="Invert Clock" sheetId="5" state="visible" r:id="rId6"/>
    <sheet name="EMIF Tool" sheetId="6" state="visible" r:id="rId7"/>
    <sheet name="Registers" sheetId="7" state="visible" r:id="rId8"/>
  </sheets>
  <externalReferences>
    <externalReference r:id="rId9"/>
  </externalReferences>
  <definedNames>
    <definedName function="false" hidden="false" name="CLK_PERIOD" vbProcedure="false">'Invert Clock'!$C$17</definedName>
    <definedName function="false" hidden="false" name="CL_1066" vbProcedure="false">'Step1-System Details'!$F$560:$F$562</definedName>
    <definedName function="false" hidden="false" name="CL_1333" vbProcedure="false">'Step1-System Details'!$G$560:$G$563</definedName>
    <definedName function="false" hidden="false" name="CL_1600" vbProcedure="false">'Step1-System Details'!$H$560:$H$563</definedName>
    <definedName function="false" hidden="false" name="CL_1866" vbProcedure="false">'Step1-System Details'!$I$560:$I$563</definedName>
    <definedName function="false" hidden="false" name="CL_2133" vbProcedure="false">'Step1-System Details'!$J$560:$J$563</definedName>
    <definedName function="false" hidden="false" name="CL_800" vbProcedure="false">'Step1-System Details'!$E$560:$E$561</definedName>
    <definedName function="false" hidden="false" name="DDR3_1600_CL" vbProcedure="false">'Step2-DDR Timings'!$E$253:$E$254</definedName>
    <definedName function="false" hidden="false" name="DDR3_1866_CL" vbProcedure="false">'Step2-DDR Timings'!$E$258:$E$259</definedName>
    <definedName function="false" hidden="false" name="DDR3_2133_CL" vbProcedure="false">'Step2-DDR Timings'!$E$259</definedName>
    <definedName function="false" hidden="false" name="DDR3_Addr" vbProcedure="false">'Step1-System Details'!$D$560</definedName>
    <definedName function="false" hidden="false" name="DDR3_CL" vbProcedure="false">'Step2-DDR Timings'!$E$253:$E$254</definedName>
    <definedName function="false" hidden="false" name="DDR3_CL_Max" vbProcedure="false">'Step2-DDR Timings'!$D$253</definedName>
    <definedName function="false" hidden="false" name="DDR3_CL_Min" vbProcedure="false">'Step2-DDR Timings'!$C$253</definedName>
    <definedName function="false" hidden="false" name="DDR3_CS" vbProcedure="false">'Step1-System Details'!$D$548</definedName>
    <definedName function="false" hidden="false" name="DDR3_CWL" vbProcedure="false">'Step2-DDR Timings'!$I$254</definedName>
    <definedName function="false" hidden="false" name="DDR3_Data" vbProcedure="false">'Step1-System Details'!$D$567</definedName>
    <definedName function="false" hidden="false" name="DDR3_DQS" vbProcedure="false">'Step1-System Details'!$C$548</definedName>
    <definedName function="false" hidden="false" name="DDR3_DYN_ODT" vbProcedure="false">'Step1-System Details'!$G$535:$G$537</definedName>
    <definedName function="false" hidden="false" name="DDR3_L" vbProcedure="false">'Step1-System Details'!$C$533:$C$538</definedName>
    <definedName function="false" hidden="false" name="DDR3_Max" vbProcedure="false">'Step1-System Details'!$D$542</definedName>
    <definedName function="false" hidden="false" name="DDR3_Min" vbProcedure="false">'Step1-System Details'!$C$542</definedName>
    <definedName function="false" hidden="false" name="DDR3_NVM_RDB" vbProcedure="false">'Step1-System Details'!$E$548</definedName>
    <definedName function="false" hidden="false" name="DDR3_NVM_RDB_Size" vbProcedure="false">'Step1-System Details'!$F$548</definedName>
    <definedName function="false" hidden="false" name="DDR3_Refresh" vbProcedure="false">'Step1-System Details'!$D$554</definedName>
    <definedName function="false" hidden="false" name="DDR3_Width" vbProcedure="false">'Step1-System Details'!$E$535:$E$536</definedName>
    <definedName function="false" hidden="false" name="DDR3_ZQ_Tsens_Max" vbProcedure="false">'Step1-System Details'!$O$541</definedName>
    <definedName function="false" hidden="false" name="DDR3_ZQ_Tsens_Min" vbProcedure="false">'Step1-System Details'!$N$541</definedName>
    <definedName function="false" hidden="false" name="DDR3_ZQ_Vsens_Max" vbProcedure="false">'Step1-System Details'!$O$546</definedName>
    <definedName function="false" hidden="false" name="DDR3_ZQ_Vsens_Min" vbProcedure="false">'Step1-System Details'!$N$546</definedName>
    <definedName function="false" hidden="false" name="DDR_Type" vbProcedure="false">'Step1-System Details'!$B$535:$B$536</definedName>
    <definedName function="false" hidden="false" name="INVERT_CLK" vbProcedure="false">'Invert Clock'!$C$18</definedName>
    <definedName function="false" hidden="false" name="LPDDR2" vbProcedure="false">'Step1-System Details'!$B$541:$B$545</definedName>
    <definedName function="false" hidden="false" name="LPDDR2_1066_CL" vbProcedure="false">'Step2-DDR Timings'!$H$258</definedName>
    <definedName function="false" hidden="false" name="LPDDR2_533_CL" vbProcedure="false">'Step2-DDR Timings'!$H$254</definedName>
    <definedName function="false" hidden="false" name="LPDDR2_667_CL" vbProcedure="false">'Step2-DDR Timings'!$H$255</definedName>
    <definedName function="false" hidden="false" name="LPDDR2_800_CL" vbProcedure="false">'Step2-DDR Timings'!$H$256</definedName>
    <definedName function="false" hidden="false" name="LPDDR2_933_CL" vbProcedure="false">'Step2-DDR Timings'!$H$257</definedName>
    <definedName function="false" hidden="false" name="LPDDR2_Addr" vbProcedure="false">'Step1-System Details'!$D$561:$D$563</definedName>
    <definedName function="false" hidden="false" name="LPDDR2_CL_Max" vbProcedure="false">'Step2-DDR Timings'!$D$254</definedName>
    <definedName function="false" hidden="false" name="LPDDR2_CL_Min" vbProcedure="false">'Step2-DDR Timings'!$C$254</definedName>
    <definedName function="false" hidden="false" name="LPDDR2_CS" vbProcedure="false">'Step1-System Details'!$D$549:$D$550</definedName>
    <definedName function="false" hidden="false" name="LPDDR2_CWL" vbProcedure="false">'Step2-DDR Timings'!$I$253</definedName>
    <definedName function="false" hidden="false" name="LPDDR2_Data" vbProcedure="false">'Step1-System Details'!$D$568:$D$570</definedName>
    <definedName function="false" hidden="false" name="LPDDR2_DQS" vbProcedure="false">'Step1-System Details'!$C$549:$C$550</definedName>
    <definedName function="false" hidden="false" name="LPDDR2_DYN_ODT" vbProcedure="false">'Step1-System Details'!$G$534</definedName>
    <definedName function="false" hidden="false" name="LPDDR2_Max" vbProcedure="false">'Step1-System Details'!$D$543</definedName>
    <definedName function="false" hidden="false" name="LPDDR2_Min" vbProcedure="false">'Step1-System Details'!$C$543</definedName>
    <definedName function="false" hidden="false" name="LPDDR2_NVM_RDB" vbProcedure="false">'Step1-System Details'!$E$549:$E$552</definedName>
    <definedName function="false" hidden="false" name="LPDDR2_NVM_RDB_Size" vbProcedure="false">'Step1-System Details'!$F$549:$F$556</definedName>
    <definedName function="false" hidden="false" name="LPDDR2_Refresh" vbProcedure="false">'Step1-System Details'!$D$555:$D$556</definedName>
    <definedName function="false" hidden="false" name="LPDDR2_Width" vbProcedure="false">'Step1-System Details'!$E$536:$E$537</definedName>
    <definedName function="false" hidden="false" name="LPDDR2_ZQ_Tsens_Max" vbProcedure="false">'Step1-System Details'!$O$542</definedName>
    <definedName function="false" hidden="false" name="LPDDR2_ZQ_Tsens_Min" vbProcedure="false">'Step1-System Details'!$N$542</definedName>
    <definedName function="false" hidden="false" name="LPDDR2_ZQ_Vsens_Max" vbProcedure="false">'Step1-System Details'!$O$547</definedName>
    <definedName function="false" hidden="false" name="LPDDR2_ZQ_Vsens_Min" vbProcedure="false">'Step1-System Details'!$N$547</definedName>
    <definedName function="false" hidden="false" name="NA" vbProcedure="false">'Step1-System Details'!$K$560</definedName>
    <definedName function="false" hidden="false" name="Speed_Bin_CL" vbProcedure="false">'Step1-System Details'!$E$38</definedName>
    <definedName function="false" hidden="false" name="Speed_Bin_CL_DDR3" vbProcedure="false">'Step1-System Details'!$E$38</definedName>
    <definedName function="false" hidden="false" name="_auto_nda_config" vbProcedure="false">0</definedName>
    <definedName function="false" hidden="false" name="_company_project" vbProcedure="false">'[1]Step1-SystemDetails'!$F$17</definedName>
    <definedName function="false" hidden="false" name="_company_project_invalid" vbProcedure="false">isspecial(_company_project)</definedName>
    <definedName function="false" hidden="false" name="_CTRL_CORE_CONTROL_DDRCACH1_0_VAL" vbProcedure="false">DEC2HEX(SUM(_ctrl_io_ch1_acc_i*2^29,_ctrl_io_ch1_acc_sr*2^26,_ctrl_io_ch1_acc_wd*2^24,_ctrl_io_ch1_acc_i*2^21,_ctrl_io_ch1_acc_sr*2^18,_ctrl_io_ch1_acc_wd*2^16,_ctrl_io_ch1_acc_i*2^13,_ctrl_io_ch1_acc_sr*2^10,_ctrl_io_ch1_acc_wd*2^8,_ctrl_io_ch1_acc_i*2^5,_ctrl_io_ch1_acc_sr*2^2,_ctrl_io_ch1_acc_wd),8)</definedName>
    <definedName function="false" hidden="false" name="_ctrl_io_ch1_acc_i" vbProcedure="false">MATCH(_emif_io_dr_acc,_emif_io_dr,0)-1</definedName>
    <definedName function="false" hidden="false" name="_emif_io_dr_acc" vbProcedure="false">'[1]Step1-SystemDetails'!$F$50</definedName>
    <definedName function="false" hidden="false" name="_emif_io_dr" vbProcedure="false">{80;60;48;40;34}</definedName>
    <definedName function="false" hidden="false" name="_ctrl_io_ch1_acc_sr" vbProcedure="false">MATCH(_emif_io_sr_acc,_emif_io_sr,0)-1</definedName>
    <definedName function="false" hidden="false" name="_emif_io_sr_acc" vbProcedure="false">'[1]Step1-SystemDetails'!$F$48</definedName>
    <definedName function="false" hidden="false" name="_emif_io_sr" vbProcedure="false">{"Fastest: SR[2:0] = 0b000";"SR[2:0] = 0b001";"SR[2:0] = 0b010";"SR[2:0] = 0b011";"SR[2:0] = 0b100";"SR[2:0] = 0b101";"SR[2:0] = 0b110";"Slowest: SR[2:0] = 0b111"}</definedName>
    <definedName function="false" hidden="false" name="_ctrl_io_ch1_acc_wd" vbProcedure="false">0</definedName>
    <definedName function="false" hidden="false" name="_CTRL_CORE_CONTROL_DDRCH1_0_VAL" vbProcedure="false">DEC2HEX(SUM(_ctrl_io_ch1_ds_i*2^29,_ctrl_io_ch1_ds_sr*2^26,_ctrl_io_ch1_ds_wd*2^24,_ctrl_io_ch1_ds_i*2^21,_ctrl_io_ch1_ds_sr*2^18,_ctrl_io_ch1_ds_wd*2^16,_ctrl_io_ch1_ds_i*2^13,_ctrl_io_ch1_ds_sr*2^10,_ctrl_io_ch1_ds_wd*2^8,_ctrl_io_ch1_ds_i*2^5,_ctrl_io_ch1_ds_sr*2^2,_ctrl_io_ch1_ds_wd),8)</definedName>
    <definedName function="false" hidden="false" name="_ctrl_io_ch1_ds_i" vbProcedure="false">MATCH(_emif_io_dr_ds,_emif_io_dr,0)-1</definedName>
    <definedName function="false" hidden="false" name="_emif_io_dr_ds" vbProcedure="false">'[1]Step1-SystemDetails'!$F$51</definedName>
    <definedName function="false" hidden="false" name="_ctrl_io_ch1_ds_sr" vbProcedure="false">MATCH(_emif_io_sr_ds,_emif_io_sr,0)-1</definedName>
    <definedName function="false" hidden="false" name="_emif_io_sr_ds" vbProcedure="false">'[1]Step1-SystemDetails'!$F$49</definedName>
    <definedName function="false" hidden="false" name="_ctrl_io_ch1_ds_wd" vbProcedure="false">0</definedName>
    <definedName function="false" hidden="false" name="_CTRL_CORE_CONTROL_DDRIO_0" vbProcedure="false">IF(_soc_name="adaslow",DEC2HEX(642656,8),DEC2HEX(608832,8))</definedName>
    <definedName function="false" hidden="false" localSheetId="0" name="_soc_name" vbProcedure="false">CHOOSE(MATCH(_user_soc,_soc_partnum_list,0),"j6eco","vayu","j6eco","vayu","vayu","j6eco","vayu","adaslow")</definedName>
    <definedName function="false" hidden="false" name="_user_soc" vbProcedure="false">'[1]Step1-SystemDetails'!$F$18</definedName>
    <definedName function="false" hidden="false" localSheetId="0" name="_soc_partnum_list" vbProcedure="false">{"AM571x";"AM572x";"DRA72x";"DRA74x";"DRA75x";"TDA2Ex";"TDA2x";"TDA3x"}</definedName>
    <definedName function="false" hidden="false" name="_CTRL_CORE_CONTROL_DDRIO_1" vbProcedure="false">IF(_soc_name="vayu",DEC2HEX(77930496,8),DEC2HEX(0,8))</definedName>
    <definedName function="false" hidden="false" name="_ctrl_ratio0" vbProcedure="false">IF(_phy_invert_clk=1,256,128)</definedName>
    <definedName function="false" hidden="false" name="_phy_invert_clk" vbProcedure="false">IF(_sdram_type="DDR3/L",1,0)</definedName>
    <definedName function="false" hidden="false" name="_sdram_type" vbProcedure="false">'[1]Step1-SystemDetails'!$F$21</definedName>
    <definedName function="false" hidden="false" name="_ctrl_ratio1" vbProcedure="false">IF(_phy_invert_clk=1,256,128)</definedName>
    <definedName function="false" hidden="false" name="_ctrl_ratio2" vbProcedure="false">64</definedName>
    <definedName function="false" hidden="false" name="_ctrl_wkup_emif1_dis_reset" vbProcedure="false">0</definedName>
    <definedName function="false" hidden="false" name="_ctrl_wkup_emif1_en_ecc" vbProcedure="false">IF(_user_ecc="Yes",1,0)</definedName>
    <definedName function="false" hidden="false" name="_user_ecc" vbProcedure="false">'[1]Step1-SystemDetails'!$F$26</definedName>
    <definedName function="false" hidden="false" name="_ctrl_wkup_emif1_en_slice0" vbProcedure="false">1</definedName>
    <definedName function="false" hidden="false" name="_ctrl_wkup_emif1_en_slice1" vbProcedure="false">1</definedName>
    <definedName function="false" hidden="false" name="_ctrl_wkup_emif1_en_slice2" vbProcedure="false">IF(_sdram_type="LPDDR2",1,0)</definedName>
    <definedName function="false" hidden="false" name="_ctrl_wkup_emif1_odt" vbProcedure="false">MATCH(_emif_io_odt,_emif_io_odt_list,0)-1</definedName>
    <definedName function="false" hidden="false" name="_emif_io_odt" vbProcedure="false">'[1]Step1-SystemDetails'!$F$47</definedName>
    <definedName function="false" hidden="false" name="_emif_io_odt_list" vbProcedure="false">{"Disabled";60;80;120}</definedName>
    <definedName function="false" hidden="false" name="_ctrl_wkup_emif1_phase_ctrl" vbProcedure="false">0</definedName>
    <definedName function="false" hidden="false" name="_ctrl_wkup_emif1_rdlvl_algo" vbProcedure="false">0</definedName>
    <definedName function="false" hidden="false" name="_ctrl_wkup_emif1_rdlvl_resp" vbProcedure="false">0</definedName>
    <definedName function="false" hidden="false" name="_ctrl_wkup_emif1_rdlvl_samp" vbProcedure="false">3</definedName>
    <definedName function="false" hidden="false" name="_ctrl_wkup_emif1_reserved" vbProcedure="false">1</definedName>
    <definedName function="false" hidden="false" name="_CTRL_WKUP_EMIF1_SDRAM_CONFIG_EXT" vbProcedure="false">DEC2HEX(SUM(_sdram_config_narrow_mode*2^17,_ctrl_wkup_emif1_en_ecc*2^16,_ctrl_wkup_emif1_rdlvl_samp*2^14,_ctrl_wkup_emif1_rdlvl_algo*2^13,_ctrl_wkup_emif1_rdlvl_resp*2^12,_ctrl_wkup_emif1_reserved*2^8,_ctrl_wkup_emif1_dis_reset*2^7,_ctrl_wkup_emif1_odt*2^5,_ctrl_wkup_emif1_phase_ctrl*2^3,_ctrl_wkup_emif1_en_slice2*2^2,_ctrl_wkup_emif1_en_slice1*2^1,_ctrl_wkup_emif1_en_slice0),8)</definedName>
    <definedName function="false" hidden="false" name="_sdram_config_narrow_mode" vbProcedure="false">MAX(MIN(IF(_sdram_bw=16,1,0),2^2-1),0)</definedName>
    <definedName function="false" hidden="false" name="_sdram_bw" vbProcedure="false">'[1]Step1-SystemDetails'!$F$23</definedName>
    <definedName function="false" hidden="false" name="_ctrl_wkup_emif2_en_ecc" vbProcedure="false">0</definedName>
    <definedName function="false" hidden="false" name="_CTRL_WKUP_EMIF2_SDRAM_CONFIG_EXT" vbProcedure="false">DEC2HEX(SUM(_sdram_config_narrow_mode*2^17,_ctrl_wkup_emif2_en_ecc*2^16,_ctrl_wkup_emif1_rdlvl_samp*2^14,_ctrl_wkup_emif1_rdlvl_algo*2^13,_ctrl_wkup_emif1_rdlvl_resp*2^12,_ctrl_wkup_emif1_reserved*2^8,_ctrl_wkup_emif1_dis_reset*2^7,_ctrl_wkup_emif1_odt*2^5,_ctrl_wkup_emif1_phase_ctrl*2^3,_ctrl_wkup_emif1_en_slice2*2^2,_ctrl_wkup_emif1_en_slice1*2^1,_ctrl_wkup_emif1_en_slice0),8)</definedName>
    <definedName function="false" hidden="false" name="_ddr2_3_width" vbProcedure="false">{8;16}</definedName>
    <definedName function="false" hidden="false" name="_ddr2_ddr3_ecc" vbProcedure="false">{"Yes";"No"}</definedName>
    <definedName function="false" hidden="false" name="_ddr2_densities" vbProcedure="false">{0.25;0.5;1;2;4}</definedName>
    <definedName function="false" hidden="false" name="_ddr2_drive_imp" vbProcedure="false">{"Normal";"Weak"}</definedName>
    <definedName function="false" hidden="false" name="_ddr2_lvl" vbProcedure="false">{"S/W"}</definedName>
    <definedName function="false" hidden="false" name="_ddr2_rtt" vbProcedure="false">{"Disabled";"75 Ohm";"150 Ohm";"50 Ohm"}</definedName>
    <definedName function="false" hidden="false" name="_ddr2_rttwr" vbProcedure="false">{"NA"}</definedName>
    <definedName function="false" hidden="false" name="_ddr2_sb_403_ck" vbProcedure="false">{5;5}</definedName>
    <definedName function="false" hidden="false" name="_ddr2_sb_403_cl" vbProcedure="false">{3;4}</definedName>
    <definedName function="false" hidden="false" name="_ddr2_sb_404_ck" vbProcedure="false">{5}</definedName>
    <definedName function="false" hidden="false" name="_ddr2_sb_404_cl" vbProcedure="false">{4}</definedName>
    <definedName function="false" hidden="false" name="_ddr2_sb_536_ck" vbProcedure="false">{3.75;3.75}</definedName>
    <definedName function="false" hidden="false" name="_ddr2_sb_536_cl" vbProcedure="false">{3;4}</definedName>
    <definedName function="false" hidden="false" name="_ddr2_sb_537_ck" vbProcedure="false">{5;3.75}</definedName>
    <definedName function="false" hidden="false" name="_ddr2_sb_537_cl" vbProcedure="false">{3;4}</definedName>
    <definedName function="false" hidden="false" name="_ddr2_sb_671_ck" vbProcedure="false">{3;3}</definedName>
    <definedName function="false" hidden="false" name="_ddr2_sb_671_cl" vbProcedure="false">{4;5}</definedName>
    <definedName function="false" hidden="false" name="_ddr2_sb_672_ck" vbProcedure="false">{3.75;3}</definedName>
    <definedName function="false" hidden="false" name="_ddr2_sb_672_cl" vbProcedure="false">{4;5}</definedName>
    <definedName function="false" hidden="false" name="_ddr2_sb_804_ck" vbProcedure="false">{2.5;2.5}</definedName>
    <definedName function="false" hidden="false" name="_ddr2_sb_804_cl" vbProcedure="false">{4;5}</definedName>
    <definedName function="false" hidden="false" name="_ddr2_sb_805_ck" vbProcedure="false">{3.75;2.5}</definedName>
    <definedName function="false" hidden="false" name="_ddr2_sb_805_cl" vbProcedure="false">{4;5}</definedName>
    <definedName function="false" hidden="false" name="_ddr2_sb_806_ck" vbProcedure="false">{3.75;3;2.5}</definedName>
    <definedName function="false" hidden="false" name="_ddr2_sb_806_cl" vbProcedure="false">{4;5;6}</definedName>
    <definedName function="false" hidden="false" name="_ddr2_sb_data" vbProcedure="false">{400;533;667;800}</definedName>
    <definedName function="false" hidden="false" name="_ddr2_sb_dqsck_max" vbProcedure="false">{500;500;450;450;400;400;350;350;350}</definedName>
    <definedName function="false" hidden="false" name="_ddr2_sb_faw_1k" vbProcedure="false">{37.5;37.5;37.5;37.5;37.5;37.5;35;35;35}</definedName>
    <definedName function="false" hidden="false" name="_ddr2_sb_faw_2k" vbProcedure="false">{50;50;50;50;50;50;45;45;45}</definedName>
    <definedName function="false" hidden="false" name="_ddr2_sb_lookup" vbProcedure="false">{403;404;536;537;671;672;804;805;806}</definedName>
    <definedName function="false" hidden="false" name="_ddr2_sb_ras_min" vbProcedure="false">{40;45;45;45;45;45;45;45;45}</definedName>
    <definedName function="false" hidden="false" name="_ddr2_sb_rc" vbProcedure="false">{55;65;56.25;60;57;60;55;57.5;60}</definedName>
    <definedName function="false" hidden="false" name="_ddr2_sb_rcd" vbProcedure="false">{15;20;11.25;15;12;15;10;12.5;15}</definedName>
    <definedName function="false" hidden="false" name="_ddr2_sb_rp" vbProcedure="false">{15;20;11.25;15;12;15;10;12.5;15}</definedName>
    <definedName function="false" hidden="false" name="_ddr2_sb_wtr" vbProcedure="false">{10;10;7.5;7.5;7.5;7.5;7.5;7.5;7.5}</definedName>
    <definedName function="false" hidden="false" name="_ddr2_width" vbProcedure="false">{8;16;32}</definedName>
    <definedName function="false" hidden="false" name="_ddr3_densities" vbProcedure="false">{0.5;1;2;4;8}</definedName>
    <definedName function="false" hidden="false" name="_ddr3_drive_imp" vbProcedure="false">{"RZQ/6";"RZQ/7"}</definedName>
    <definedName function="false" hidden="false" name="_ddr3_lvl" vbProcedure="false">{"S/W","H/W"}</definedName>
    <definedName function="false" hidden="false" name="_ddr3_rtt" vbProcedure="false">{"Disabled";"RZQ/4";"RZQ/2";"RZQ/6";"RZQ/12";"RZQ/8"}</definedName>
    <definedName function="false" hidden="false" name="_ddr3_rttwr" vbProcedure="false">{"Disabled";"RZQ/4";"RZQ/2"}</definedName>
    <definedName function="false" hidden="false" name="_ddr3_sb_1072_ck" vbProcedure="false">{2.5;2.5;1.875;1.875;1.875}</definedName>
    <definedName function="false" hidden="false" name="_ddr3_sb_1072_cl" vbProcedure="false">{5;6;6;7;8}</definedName>
    <definedName function="false" hidden="false" name="_ddr3_sb_1072_cwl" vbProcedure="false">{5;5;6;6;6}</definedName>
    <definedName function="false" hidden="false" name="_ddr3_sb_1073_ck" vbProcedure="false">{3;2.5;1.875;1.875}</definedName>
    <definedName function="false" hidden="false" name="_ddr3_sb_1073_cl" vbProcedure="false">{5;6;7;8}</definedName>
    <definedName function="false" hidden="false" name="_ddr3_sb_1073_cwl" vbProcedure="false">{5;5;6;6}</definedName>
    <definedName function="false" hidden="false" name="_ddr3_sb_1074_ck" vbProcedure="false">{3;2.5;1.875}</definedName>
    <definedName function="false" hidden="false" name="_ddr3_sb_1074_cl" vbProcedure="false">{5;6;8}</definedName>
    <definedName function="false" hidden="false" name="_ddr3_sb_1074_cwl" vbProcedure="false">{5;5;6}</definedName>
    <definedName function="false" hidden="false" name="_ddr3_sb_1340_ck" vbProcedure="false">{2.5;2.5;1.875;1.875;1.5;1.875;1.5;1.5;1.5}</definedName>
    <definedName function="false" hidden="false" name="_ddr3_sb_1340_cl" vbProcedure="false">{5;6;6;7;7;8;8;9;10}</definedName>
    <definedName function="false" hidden="false" name="_ddr3_sb_1340_cwl" vbProcedure="false">{5;5;6;6;7;6;7;7;7}</definedName>
    <definedName function="false" hidden="false" name="_ddr3_sb_1341_ck" vbProcedure="false">{2.5;2.5;1.875;1.875;1.5;1.5;1.5}</definedName>
    <definedName function="false" hidden="false" name="_ddr3_sb_1341_cl" vbProcedure="false">{5;6;7;8;8;9;10}</definedName>
    <definedName function="false" hidden="false" name="_ddr3_sb_1341_cwl" vbProcedure="false">{5;5;6;6;7;7;7}</definedName>
    <definedName function="false" hidden="false" name="_ddr3_sb_1342_ck" vbProcedure="false">{3;2.5;1.875;1.875;1.5;1.5}</definedName>
    <definedName function="false" hidden="false" name="_ddr3_sb_1342_cl" vbProcedure="false">{5;6;7;8;9;10}</definedName>
    <definedName function="false" hidden="false" name="_ddr3_sb_1342_cwl" vbProcedure="false">{5;5;6;6;7;7}</definedName>
    <definedName function="false" hidden="false" name="_ddr3_sb_1343_ck" vbProcedure="false">{3;2.5;1.875;1.5}</definedName>
    <definedName function="false" hidden="false" name="_ddr3_sb_1343_cl" vbProcedure="false">{5;6;8;10}</definedName>
    <definedName function="false" hidden="false" name="_ddr3_sb_1343_cwl" vbProcedure="false">{5;5;6;7}</definedName>
    <definedName function="false" hidden="false" name="_ddr3_sb_1608_ck" vbProcedure="false">{2.5;2.5;1.875;1.875;1.5;1.875;1.5;1.25;1.5;1.25;1.5;1.25;1.25}</definedName>
    <definedName function="false" hidden="false" name="_ddr3_sb_1608_cl" vbProcedure="false">{5;6;6;7;7;8;8;8;9;9;10;10;11}</definedName>
    <definedName function="false" hidden="false" name="_ddr3_sb_1608_cwl" vbProcedure="false">{5;5;6;6;7;6;7;8;7;8;7;8;8}</definedName>
    <definedName function="false" hidden="false" name="_ddr3_sb_1609_ck" vbProcedure="false">{2.5;2.5;1.875;1.875;1.875;1.5;1.5;1.25;1.5;1.25;1.25}</definedName>
    <definedName function="false" hidden="false" name="_ddr3_sb_1609_cl" vbProcedure="false">{5;6;6;7;8;8;9;9;10;10;11}</definedName>
    <definedName function="false" hidden="false" name="_ddr3_sb_1609_cwl" vbProcedure="false">{5;5;6;6;6;7;7;8;7;8;8}</definedName>
    <definedName function="false" hidden="false" name="_ddr3_sb_1610_ck" vbProcedure="false">{2.5;2.5;1.875;1.875;1.5;1.5;1.25;1.25}</definedName>
    <definedName function="false" hidden="false" name="_ddr3_sb_1610_cl" vbProcedure="false">{5;6;7;8;9;10;10;11}</definedName>
    <definedName function="false" hidden="false" name="_ddr3_sb_1610_cwl" vbProcedure="false">{5;5;6;6;7;7;8;8}</definedName>
    <definedName function="false" hidden="false" name="_ddr3_sb_1611_ck" vbProcedure="false">{3;2.5;1.875;1.875;1.5;1.5;1.25}</definedName>
    <definedName function="false" hidden="false" name="_ddr3_sb_1611_cl" vbProcedure="false">{5;6;7;8;9;10;11}</definedName>
    <definedName function="false" hidden="false" name="_ddr3_sb_1611_cwl" vbProcedure="false">{5;5;6;6;7;7;8}</definedName>
    <definedName function="false" hidden="false" name="_ddr3_sb_1876_ck" vbProcedure="false">{1.25}</definedName>
    <definedName function="false" hidden="false" name="_ddr3_sb_1876_cl" vbProcedure="false">{1}</definedName>
    <definedName function="false" hidden="false" name="_ddr3_sb_1876_cwl" vbProcedure="false">{1}</definedName>
    <definedName function="false" hidden="false" name="_ddr3_sb_1877_ck" vbProcedure="false">{1.25}</definedName>
    <definedName function="false" hidden="false" name="_ddr3_sb_1877_cl" vbProcedure="false">{1}</definedName>
    <definedName function="false" hidden="false" name="_ddr3_sb_1877_cwl" vbProcedure="false">{1}</definedName>
    <definedName function="false" hidden="false" name="_ddr3_sb_1878_ck" vbProcedure="false">{1.25}</definedName>
    <definedName function="false" hidden="false" name="_ddr3_sb_1878_cl" vbProcedure="false">{1}</definedName>
    <definedName function="false" hidden="false" name="_ddr3_sb_1878_cwl" vbProcedure="false">{1}</definedName>
    <definedName function="false" hidden="false" name="_ddr3_sb_1879_ck" vbProcedure="false">{1.25}</definedName>
    <definedName function="false" hidden="false" name="_ddr3_sb_1879_cl" vbProcedure="false">{1}</definedName>
    <definedName function="false" hidden="false" name="_ddr3_sb_1879_cwl" vbProcedure="false">{1}</definedName>
    <definedName function="false" hidden="false" name="_ddr3_sb_2144_ck" vbProcedure="false">{1.25}</definedName>
    <definedName function="false" hidden="false" name="_ddr3_sb_2144_cl" vbProcedure="false">{1}</definedName>
    <definedName function="false" hidden="false" name="_ddr3_sb_2144_cwl" vbProcedure="false">{1}</definedName>
    <definedName function="false" hidden="false" name="_ddr3_sb_2145_ck" vbProcedure="false">{1.25}</definedName>
    <definedName function="false" hidden="false" name="_ddr3_sb_2145_cl" vbProcedure="false">{1}</definedName>
    <definedName function="false" hidden="false" name="_ddr3_sb_2145_cwl" vbProcedure="false">{1}</definedName>
    <definedName function="false" hidden="false" name="_ddr3_sb_2146_ck" vbProcedure="false">{1.25}</definedName>
    <definedName function="false" hidden="false" name="_ddr3_sb_2146_cl" vbProcedure="false">{1}</definedName>
    <definedName function="false" hidden="false" name="_ddr3_sb_2146_cwl" vbProcedure="false">{1}</definedName>
    <definedName function="false" hidden="false" name="_ddr3_sb_2147_ck" vbProcedure="false">{1.25}</definedName>
    <definedName function="false" hidden="false" name="_ddr3_sb_2147_cl" vbProcedure="false">{1}</definedName>
    <definedName function="false" hidden="false" name="_ddr3_sb_2147_cwl" vbProcedure="false">{1}</definedName>
    <definedName function="false" hidden="false" name="_ddr3_sb_805_ck" vbProcedure="false">{2.5;2.5}</definedName>
    <definedName function="false" hidden="false" name="_ddr3_sb_805_cl" vbProcedure="false">{5;6}</definedName>
    <definedName function="false" hidden="false" name="_ddr3_sb_805_cwl" vbProcedure="false">{5;5}</definedName>
    <definedName function="false" hidden="false" name="_ddr3_sb_806_ck" vbProcedure="false">{3;2.5}</definedName>
    <definedName function="false" hidden="false" name="_ddr3_sb_806_cl" vbProcedure="false">{5;6}</definedName>
    <definedName function="false" hidden="false" name="_ddr3_sb_806_cwl" vbProcedure="false">{5;5}</definedName>
    <definedName function="false" hidden="false" name="_ddr3_sb_cke" vbProcedure="false">{7.5;7.5;5.625;5.625;5.625;5.625;5.625;5.625;5.625;5;5;5;5;5;5;5;5;5;5;5;5}</definedName>
    <definedName function="false" hidden="false" name="_ddr3_sb_data" vbProcedure="false">{800;1066;1333;1600;1866;2133}</definedName>
    <definedName function="false" hidden="false" name="_ddr3_sb_dqsck_max" vbProcedure="false">{400;400;300;300;300;255;255;255;255;255;255;255;255;195;195;195;195;180;180;180;180}</definedName>
    <definedName function="false" hidden="false" name="_ddr3_sb_faw_1k" vbProcedure="false">{40;40;37.5;37.5;37.5;30;30;30;30;30;30;30;30;27;27;27;27;25;25;25;25}</definedName>
    <definedName function="false" hidden="false" name="_ddr3_sb_faw_2k" vbProcedure="false">{50;50;50;50;50;45;45;45;45;40;40;40;40;35;35;35;35;35;35;35;35}</definedName>
    <definedName function="false" hidden="false" name="_ddr3_sb_lookup" vbProcedure="false">{805;806;1072;1073;1074;1340;1341;1342;1343;1608;1609;1610;1611;1876;1877;1878;1879;2144;2145;2146;2147}</definedName>
    <definedName function="false" hidden="false" name="_ddr3_sb_ras_min" vbProcedure="false">{37.5;37.5;37.5;37.5;37.5;36;36;36;36;35;35;35;35;34;34;34;34;33;33;33;33}</definedName>
    <definedName function="false" hidden="false" name="_ddr3_sb_rc" vbProcedure="false">{50;52.5;48.75;50.625;52.5;46.5;48;49.5;51;45;46.25;47.5;48.75;44.7;45.77;46.84;47.91;43.285;44.22;45.155;46.09}</definedName>
    <definedName function="false" hidden="false" name="_ddr3_sb_rcd" vbProcedure="false">{12.5;15;11.25;13.125;15;10.5;12;13.5;15;10;11.25;12.5;13.75;10.7;11.77;12.84;13.91;10.285;11.22;12.155;13.09}</definedName>
    <definedName function="false" hidden="false" name="_ddr3_sb_rp" vbProcedure="false">{12.5;15;11.25;13.125;15;10.5;12;13.5;15;10;11.25;12.5;13.75;10.7;11.77;12.84;13.91;10.285;11.22;12.155;13.09}</definedName>
    <definedName function="false" hidden="false" name="_ddr3_sb_rrd_1k" vbProcedure="false">{10;10;7.5;7.5;7.5;6;6;6;6;6;6;6;6;5;5;5;5;5;5;5;5}</definedName>
    <definedName function="false" hidden="false" name="_ddr3_sb_rrd_2k" vbProcedure="false">{10;10;10;10;10;7.5;7.5;7.5;7.5;7.5;7.5;7.5;7.5;6;6;6;6;6;6;6;6}</definedName>
    <definedName function="false" hidden="false" name="_ddr3_sb_xp" vbProcedure="false">{7.5;7.5;7.5;7.5;7.5;6;6;6;6;6;6;6;6;6;6;6;6;6;6;6;6}</definedName>
    <definedName function="false" hidden="false" name="_ddr3_width" vbProcedure="false">{8;16}</definedName>
    <definedName function="false" hidden="false" name="_ddr_pll_dco_div2" vbProcedure="false">_ddr_pll_freq*_ddr_pll_m2</definedName>
    <definedName function="false" hidden="false" name="_ddr_pll_freq" vbProcedure="false">'[1]Step1-SystemDetails'!$F$22</definedName>
    <definedName function="false" hidden="false" name="_ddr_pll_m2" vbProcedure="false">MAX(IF(ISEVEN(ROUNDDOWN(_ddr_pll_m2_max,0)),ROUNDDOWN(_ddr_pll_m2_max,0),ROUNDDOWN(_ddr_pll_m2_max,0)-1),1)</definedName>
    <definedName function="false" hidden="false" name="_ddr_pll_m2_max" vbProcedure="false">1400/_ddr_pll_freq</definedName>
    <definedName function="false" hidden="false" name="_ddr_pll_m" vbProcedure="false">ROUNDDOWN(_ddr_pll_dco_div2*(_ddr_pll_n+1)/_sysclk1,0)</definedName>
    <definedName function="false" hidden="false" name="_ddr_pll_n" vbProcedure="false">MIN((_sysclk1*_sysclk1_mult/_ddr_pll_mn_gcd)-1,ROUNDDOWN(_sysclk1-1,0))</definedName>
    <definedName function="false" hidden="false" name="_sysclk1" vbProcedure="false">'[1]Step1-SystemDetails'!$F$19</definedName>
    <definedName function="false" hidden="false" name="_sysclk1_mult" vbProcedure="false">IF((_sysclk1-ROUND(_sysclk1,0))&gt;0,ROUND(1/(_sysclk1-ROUND(_sysclk1,0)),0),1)</definedName>
    <definedName function="false" hidden="false" name="_ddr_pll_mn_gcd" vbProcedure="false">GCD(_ddr_pll_dco_div2*_sysclk1_mult,_sysclk1*_sysclk1_mult)</definedName>
    <definedName function="false" hidden="false" name="_dll_res" vbProcedure="false">IF(_phy_half_delay=1,1000000/_ddr_pll_freq/128,1000000/_ddr_pll_freq/256)</definedName>
    <definedName function="false" hidden="false" name="_phy_half_delay" vbProcedure="false">IF(_sdram_type="LPDDR2",0,1)</definedName>
    <definedName function="false" hidden="false" name="_DMM_LISA_MAP_0_VAL" vbProcedure="false">DEC2HEX(SUM(_dmm_sys_addr_0*2^24,_dmm_sys_size_0*2^20,_dmm_sdrc_intl_0*2^18,_dmm_sdrc_map_0*2^8),8)</definedName>
    <definedName function="false" hidden="false" name="_dmm_sys_addr_0" vbProcedure="false">0</definedName>
    <definedName function="false" hidden="false" name="_dmm_sys_size_0" vbProcedure="false">0</definedName>
    <definedName function="false" hidden="false" name="_dmm_sdrc_intl_0" vbProcedure="false">0</definedName>
    <definedName function="false" hidden="false" name="_dmm_sdrc_map_0" vbProcedure="false">0</definedName>
    <definedName function="false" hidden="false" name="_DMM_LISA_MAP_1_VAL" vbProcedure="false">DEC2HEX(SUM(_dmm_sys_addr_1*2^24,_dmm_sys_size_1*2^20,_dmm_sdrc_intl_1*2^18,_dmm_sdrc_map_1*2^8),8)</definedName>
    <definedName function="false" hidden="false" name="_dmm_sys_addr_1" vbProcedure="false">0</definedName>
    <definedName function="false" hidden="false" name="_dmm_sys_size_1" vbProcedure="false">0</definedName>
    <definedName function="false" hidden="false" name="_dmm_sdrc_intl_1" vbProcedure="false">0</definedName>
    <definedName function="false" hidden="false" name="_dmm_sdrc_map_1" vbProcedure="false">0</definedName>
    <definedName function="false" hidden="false" name="_DMM_LISA_MAP_2_VAL" vbProcedure="false">DEC2HEX(SUM(_dmm_sys_addr_2*2^24,_dmm_sys_size_2*2^20,_dmm_sdrc_intl_2*2^18,_dmm_sdrc_map_2*2^8),8)</definedName>
    <definedName function="false" hidden="false" name="_dmm_sys_addr_2" vbProcedure="false">128</definedName>
    <definedName function="false" hidden="false" name="_dmm_sys_size_2" vbProcedure="false">IF(_user_emifs=1,MATCH(MIN(_sdram_density*_sdram_bw/_sdram_width/8,2),_dmm_sys_size_list,0)-1,MATCH(MIN(2*_sdram_density*_sdram_bw/_sdram_width/8,2),_dmm_sys_size_list,0)-1)</definedName>
    <definedName function="false" hidden="false" name="_user_emifs" vbProcedure="false">'[1]Step1-SystemDetails'!$F$20</definedName>
    <definedName function="false" hidden="false" name="_sdram_density" vbProcedure="false">'[1]Step1-SystemDetails'!$F$32</definedName>
    <definedName function="false" hidden="false" name="_sdram_width" vbProcedure="false">'[1]Step1-SystemDetails'!$F$33</definedName>
    <definedName function="false" hidden="false" name="_dmm_sys_size_list" vbProcedure="false">{0.015625;0.03125;0.0625;0.125;0.25;0.5;1;2}</definedName>
    <definedName function="false" hidden="false" name="_dmm_sdrc_intl_2" vbProcedure="false">IF(_user_emifs=1,0,1)</definedName>
    <definedName function="false" hidden="false" name="_dmm_sdrc_map_2" vbProcedure="false">IF(_user_emifs=1,1,3)</definedName>
    <definedName function="false" hidden="false" name="_DMM_LISA_MAP_3_VAL" vbProcedure="false">DEC2HEX(SUM(_dmm_sys_addr_3*2^24,_dmm_sys_size_3*2^20,_dmm_sdrc_intl_3*2^18,_dmm_sdrc_addrspc_3*2^16,_dmm_sdrc_map_3*2^8),8)</definedName>
    <definedName function="false" hidden="false" name="_dmm_sys_addr_3" vbProcedure="false">255</definedName>
    <definedName function="false" hidden="false" name="_dmm_sys_size_3" vbProcedure="false">0</definedName>
    <definedName function="false" hidden="false" name="_dmm_sdrc_intl_3" vbProcedure="false">0</definedName>
    <definedName function="false" hidden="false" name="_dmm_sdrc_addrspc_3" vbProcedure="false">2</definedName>
    <definedName function="false" hidden="false" name="_dmm_sdrc_map_3" vbProcedure="false">1</definedName>
    <definedName function="false" hidden="false" name="_dyn_user_config_options" vbProcedure="false">[1]UserConfig!$A$1:INDEX([1]UserConfig!$A$1:$A$100,COUNTIF([1]UserConfig!$A$1:$A$100,"?*"))</definedName>
    <definedName function="false" hidden="false" name="_dyn_user_cs" vbProcedure="false">[1]DynamicUserOptions!$E$6:INDEX([1]DynamicUserOptions!$E$6:$E$19,COUNTIF([1]DynamicUserOptions!$E$6:$E$19,"&lt;&gt;"&amp;"*"))</definedName>
    <definedName function="false" hidden="false" name="_dyn_user_cs_list" vbProcedure="false">IF(_soc_name="j6eco",_soc_cs_j6eco,_soc_cs_vayu)</definedName>
    <definedName function="false" hidden="false" name="_soc_name" vbProcedure="false">CHOOSE(MATCH(_user_soc,_soc_partnum_list,0),"j6eco","vayu","j6eco","vayu","vayu","j6eco","vayu","adaslow")</definedName>
    <definedName function="false" hidden="false" name="_soc_partnum_list" vbProcedure="false">{"AM571x";"AM572x";"DRA72x";"DRA74x";"DRA75x";"TDA2Ex";"TDA2x";"TDA3x"}</definedName>
    <definedName function="false" hidden="false" name="_soc_cs_j6eco" vbProcedure="false">{1}</definedName>
    <definedName function="false" hidden="false" name="_soc_cs_vayu" vbProcedure="false">{1}</definedName>
    <definedName function="false" hidden="false" name="_dyn_user_ecc" vbProcedure="false">[1]DynamicUserOptions!$G$6:INDEX([1]DynamicUserOptions!$G$6:$G$19,COUNTIF([1]DynamicUserOptions!$G$6:$G$19,"?*"))</definedName>
    <definedName function="false" hidden="false" name="_dyn_user_ecc_list" vbProcedure="false">IF(_sdram_type="LPDDR2",_lpddr2_ecc,_ddr2_ddr3_ecc)</definedName>
    <definedName function="false" hidden="false" name="_lpddr2_ecc" vbProcedure="false">{"No"}</definedName>
    <definedName function="false" hidden="false" name="_dyn_user_emifs" vbProcedure="false">[1]DynamicUserOptions!$D$6:INDEX([1]DynamicUserOptions!$D$6:$D$19,COUNTIF([1]DynamicUserOptions!$D$6:$D$19,"&lt;&gt;"&amp;"*"))</definedName>
    <definedName function="false" hidden="false" name="_dyn_user_emifs_list" vbProcedure="false">IF(OR(_soc_name="j6eco",_soc_name="adaslow"),_soc_emifs_j6eco,_soc_emifs_vayu)</definedName>
    <definedName function="false" hidden="false" name="_soc_emifs_j6eco" vbProcedure="false">{1}</definedName>
    <definedName function="false" hidden="false" name="_soc_emifs_vayu" vbProcedure="false">{1;2}</definedName>
    <definedName function="false" hidden="false" name="_dyn_user_emif_io_sr" vbProcedure="false">[1]DynamicUserOptions!$Q$6:INDEX([1]DynamicUserOptions!$Q$6:$Q$19,COUNTIF([1]DynamicUserOptions!$Q$6:$Q$19,"?*"))</definedName>
    <definedName function="false" hidden="false" name="_dyn_user_freqmax" vbProcedure="false">[1]DynamicUserOptions!$I$6</definedName>
    <definedName function="false" hidden="false" name="_dyn_user_freqmax_list" vbProcedure="false">IF(_soc_name="adaslow",_soc_freqmax_adaslow,IF(_soc_name="j6eco",_soc_freqmax_j6eco,_soc_freqmax_vayu))</definedName>
    <definedName function="false" hidden="false" name="_soc_freqmax_adaslow" vbProcedure="false">IF(_sdram_type="DDR3/L",533,400)</definedName>
    <definedName function="false" hidden="false" name="_soc_freqmax_j6eco" vbProcedure="false">667</definedName>
    <definedName function="false" hidden="false" name="_soc_freqmax_vayu" vbProcedure="false">IF(_sdram_type="DDR2",400,533)</definedName>
    <definedName function="false" hidden="false" name="_dyn_user_freqmin" vbProcedure="false">[1]DynamicUserOptions!$H$6</definedName>
    <definedName function="false" hidden="false" name="_dyn_user_freqmin_list" vbProcedure="false">IF(_soc_name="adaslow",_soc_freqmin_adaslow,IF(_soc_name="j6eco",_soc_freqmin_j6eco,_soc_freqmin_vayu))</definedName>
    <definedName function="false" hidden="false" name="_soc_freqmin_adaslow" vbProcedure="false">IF(_sdram_type="DDR3/L",303,IF(_sdram_type="DDR2",125,10))</definedName>
    <definedName function="false" hidden="false" name="_soc_freqmin_j6eco" vbProcedure="false">303</definedName>
    <definedName function="false" hidden="false" name="_soc_freqmin_vayu" vbProcedure="false">IF(_sdram_type="DDR2",125,303)</definedName>
    <definedName function="false" hidden="false" name="_dyn_user_memtype" vbProcedure="false">[1]DynamicUserOptions!$C$6:INDEX([1]DynamicUserOptions!$C$6:$C$19,COUNTIF([1]DynamicUserOptions!$C$6:$C$19,"?*"))</definedName>
    <definedName function="false" hidden="false" name="_dyn_user_memtype_list" vbProcedure="false">CHOOSE(MATCH(_soc_name,_soc_names,0),_soc_memtype_vayu,_soc_memtype_vayu,_soc_memtype_j6eco,_soc_memtype_adaslow)</definedName>
    <definedName function="false" hidden="false" name="_soc_names" vbProcedure="false">{"omap5";"vayu";"j6eco";"adaslow"}</definedName>
    <definedName function="false" hidden="false" name="_soc_memtype_vayu" vbProcedure="false">{"DDR2";"DDR3/L"}</definedName>
    <definedName function="false" hidden="false" name="_soc_memtype_j6eco" vbProcedure="false">{"DDR3/L"}</definedName>
    <definedName function="false" hidden="false" name="_soc_memtype_adaslow" vbProcedure="false">{"DDR3/L"}</definedName>
    <definedName function="false" hidden="false" name="_dyn_user_sdram_cl" vbProcedure="false">[1]DynamicUserOptions!$L$6:INDEX([1]DynamicUserOptions!$L$6:$L$19,COUNTIF([1]DynamicUserOptions!$L$6:$L$19,"&lt;&gt;"&amp;"*")+COUNTIF([1]DynamicUserOptions!$L$6:$L$19,"?*"))</definedName>
    <definedName function="false" hidden="false" name="_dyn_user_sdram_data" vbProcedure="false">[1]DynamicUserOptions!$J$6:INDEX([1]DynamicUserOptions!$J$6:$J$19,COUNTIF([1]DynamicUserOptions!$J$6:$J$19,"&lt;&gt;"&amp;"*"))</definedName>
    <definedName function="false" hidden="false" name="_dyn_user_sdram_data_list" vbProcedure="false">IF(_sdram_type="LPDDR2",_lpddr2_sb_data,IF(_sdram_type="DDR2",_ddr2_sb_data,_ddr3_sb_data))</definedName>
    <definedName function="false" hidden="false" name="_lpddr2_sb_data" vbProcedure="false">{333;400;533;667;800;933;1066}</definedName>
    <definedName function="false" hidden="false" name="_dyn_user_sdram_density" vbProcedure="false">[1]DynamicUserOptions!$M$6:INDEX([1]DynamicUserOptions!$M$6:$M$19,COUNTIF([1]DynamicUserOptions!$M$6:$M$19,"&lt;&gt;"&amp;"*"))</definedName>
    <definedName function="false" hidden="false" name="_dyn_user_sdram_density_list" vbProcedure="false">IF(_sdram_type="LPDDR2",_lpddr2_densities,IF(_sdram_type="DDR2",_ddr2_densities,_ddr3_densities))</definedName>
    <definedName function="false" hidden="false" name="_lpddr2_densities" vbProcedure="false">{0.25;0.5;1;2;4;8}</definedName>
    <definedName function="false" hidden="false" name="_dyn_user_sdram_drivimp" vbProcedure="false">[1]DynamicUserOptions!$P$6:INDEX([1]DynamicUserOptions!$P$6:$P$19,COUNTIF([1]DynamicUserOptions!$P$6:$P$19,"?*")+COUNTIF([1]DynamicUserOptions!$P$6:$P$19,"&lt;&gt;"&amp;"*"))</definedName>
    <definedName function="false" hidden="false" name="_dyn_user_sdram_drivimp_list" vbProcedure="false">IF(_sdram_type="LPDDR2",_lpddr2_drive_imp,IF(_sdram_type="DDR2",_ddr2_drive_imp,_ddr3_drive_imp))</definedName>
    <definedName function="false" hidden="false" name="_lpddr2_drive_imp" vbProcedure="false">{34.3;40;48;60;68.6;80;120}</definedName>
    <definedName function="false" hidden="false" name="_dyn_user_sdram_lvl" vbProcedure="false">[1]DynamicUserOptions!$F$6:INDEX([1]DynamicUserOptions!$F$6:$F$19,COUNTIF([1]DynamicUserOptions!$F$6:$F$19,"?*"))</definedName>
    <definedName function="false" hidden="false" name="_dyn_user_sdram_lvl_list" vbProcedure="false">IF(OR(_sdram_type="DDR2",_sdram_type="LPDDR2"),_ddr2_lvl,_ddr3_lvl)</definedName>
    <definedName function="false" hidden="false" name="_dyn_user_sdram_rtt" vbProcedure="false">[1]DynamicUserOptions!$N$6:INDEX([1]DynamicUserOptions!$N$6:$N$19,COUNTIF([1]DynamicUserOptions!$N$6:$N$19,"?*"))</definedName>
    <definedName function="false" hidden="false" name="_dyn_user_sdram_rttwr" vbProcedure="false">[1]DynamicUserOptions!$O$6:INDEX([1]DynamicUserOptions!$O$6:$O$19,COUNTIF([1]DynamicUserOptions!$O$6:$O$19,"?*"))</definedName>
    <definedName function="false" hidden="false" name="_dyn_user_sdram_rttwr_list" vbProcedure="false">IF(_sdram_type="LPDDR2",_lpddr2_rttwr,IF(_sdram_type="DDR2",_ddr2_rttwr,_ddr3_rttwr))</definedName>
    <definedName function="false" hidden="false" name="_lpddr2_rttwr" vbProcedure="false">{"NA"}</definedName>
    <definedName function="false" hidden="false" name="_dyn_user_sdram_rtt_list" vbProcedure="false">IF(_sdram_type="LPDDR2",_lpddr2_rtt,IF(_sdram_type="DDR2",_ddr2_rtt,_ddr3_rtt))</definedName>
    <definedName function="false" hidden="false" name="_lpddr2_rtt" vbProcedure="false">{"NA"}</definedName>
    <definedName function="false" hidden="false" name="_dyn_user_sdram_width" vbProcedure="false">[1]DynamicUserOptions!$K$6:INDEX([1]DynamicUserOptions!$K$6:$K$19,COUNTIF([1]DynamicUserOptions!$K$6:$K$19,"&lt;&gt;"&amp;"*"))</definedName>
    <definedName function="false" hidden="false" name="_dyn_user_sdram_width_list" vbProcedure="false">IF(_sdram_type="LPDDR2",32,IF(AND(_soc_name="adaslow",_sdram_type="DDR2",_sdram_density=0.5),_ddr2_width,_ddr3_width))</definedName>
    <definedName function="false" hidden="false" name="_dyn_user_soc_list" vbProcedure="false">[1]DynamicUserOptions!$B$6:INDEX([1]DynamicUserOptions!$B$6:$B$19,COUNTIF([1]DynamicUserOptions!$B$6:$B$19,"?*"))</definedName>
    <definedName function="false" hidden="false" name="_emif1_ext_phy_ctrl_10_val_omap5" vbProcedure="false">DEC2HEX(TRUNC(SUM(_wrdata_ratio3_ch1_cs1*2^10,_wrdata_ratio3_ch1_cs0)/2^4)-(TRUNC(SUM(_wrdata_ratio3_ch1_cs1*2^10,_wrdata_ratio3_ch1_cs0)/2^36)*2^32),8)</definedName>
    <definedName function="false" hidden="false" name="_wrdata_ratio3_ch1_cs1" vbProcedure="false">_wrdqs_ratio3_ch1_cs1 + ROUND((250000 / _ddr_pll_freq / _dll_res),0)</definedName>
    <definedName function="false" hidden="false" name="_wrdqs_ratio3_ch1_cs1" vbProcedure="false">ROUND(((_t_dqss_brdskew_p3_ch1_cs1 + (_phy_invert_clk * 500000 / _ddr_pll_freq)) / _dll_res),0)</definedName>
    <definedName function="false" hidden="false" name="_t_dqss_brdskew_p3_ch1_cs1" vbProcedure="false">((_tl_clk_p3_mi_ch1_cs1*_prop_vel_microstrip) + (_tl_clk_p3_st_ch1_cs1*_prop_vel_stripline) - (_tl_dqs3_mi_ch1_cs1*_prop_vel_microstrip) - (_tl_dqs3_st_ch1_cs1*_prop_vel_stripline))/1000</definedName>
    <definedName function="false" hidden="false" name="_tl_clk_p3_mi_ch1_cs1" vbProcedure="false">'[1]Step2-BoardDetails'!$K$38</definedName>
    <definedName function="false" hidden="false" name="_prop_vel_microstrip" vbProcedure="false">136</definedName>
    <definedName function="false" hidden="false" name="_tl_clk_p3_st_ch1_cs1" vbProcedure="false">'[1]Step2-BoardDetails'!$L$38</definedName>
    <definedName function="false" hidden="false" name="_prop_vel_stripline" vbProcedure="false">170</definedName>
    <definedName function="false" hidden="false" name="_tl_dqs3_mi_ch1_cs1" vbProcedure="false">'[1]Step2-BoardDetails'!$K$39</definedName>
    <definedName function="false" hidden="false" name="_tl_dqs3_st_ch1_cs1" vbProcedure="false">'[1]Step2-BoardDetails'!$L$39</definedName>
    <definedName function="false" hidden="false" name="_wrdata_ratio3_ch1_cs0" vbProcedure="false">_wrdqs_ratio3_ch1_cs0 + ROUND((250000 / _ddr_pll_freq / _dll_res),0)</definedName>
    <definedName function="false" hidden="false" name="_wrdqs_ratio3_ch1_cs0" vbProcedure="false">ROUND(((_t_dqss_brdskew_p3_ch1_cs0 + (_phy_invert_clk * 500000 / _ddr_pll_freq)) / _dll_res),0)</definedName>
    <definedName function="false" hidden="false" name="_t_dqss_brdskew_p3_ch1_cs0" vbProcedure="false">((_tl_clk_p3_mi_ch1_cs0*_prop_vel_microstrip) + (_tl_clk_p3_st_ch1_cs0*_prop_vel_stripline) - (_tl_dqs3_mi_ch1_cs0*_prop_vel_microstrip) - (_tl_dqs3_st_ch1_cs0*_prop_vel_stripline))/1000</definedName>
    <definedName function="false" hidden="false" name="_tl_clk_p3_mi_ch1_cs0" vbProcedure="false">'[1]Step2-BoardDetails'!$K$28</definedName>
    <definedName function="false" hidden="false" name="_tl_clk_p3_st_ch1_cs0" vbProcedure="false">'[1]Step2-BoardDetails'!$L$28</definedName>
    <definedName function="false" hidden="false" name="_tl_dqs3_mi_ch1_cs0" vbProcedure="false">'[1]Step2-BoardDetails'!$K$29</definedName>
    <definedName function="false" hidden="false" name="_tl_dqs3_st_ch1_cs0" vbProcedure="false">'[1]Step2-BoardDetails'!$L$29</definedName>
    <definedName function="false" hidden="false" name="_emif1_ext_phy_ctrl_10_val_vayu" vbProcedure="false">DEC2HEX(SUM(_rddqs_ratio3*2^16,_rddqs_ratio3),8)</definedName>
    <definedName function="false" hidden="false" name="_rddqs_ratio3" vbProcedure="false">_rddqs_ratio0</definedName>
    <definedName function="false" hidden="false" name="_rddqs_ratio0" vbProcedure="false">CHOOSE(MATCH(_soc_name,_soc_names,0),56,50,47,52)</definedName>
    <definedName function="false" hidden="false" localSheetId="0" name="_soc_names" vbProcedure="false">{"omap5";"vayu";"j6eco";"adaslow"}</definedName>
    <definedName function="false" hidden="false" name="_emif1_ext_phy_ctrl_11_val_omap5" vbProcedure="false">DEC2HEX(SUM(_wrdqs_ratio1_ch1_cs1*2^30,_wrdqs_ratio1_ch1_cs0*2^20,_wrdqs_ratio0_ch1_cs1*2^10,_wrdqs_ratio0_ch1_cs0)-(TRUNC(SUM(_wrdqs_ratio1_ch1_cs1*2^30,_wrdqs_ratio1_ch1_cs0*2^20,_wrdqs_ratio0_ch1_cs1*2^10,_wrdqs_ratio0_ch1_cs0)/2^32)*2^32),8)</definedName>
    <definedName function="false" hidden="false" name="_wrdqs_ratio1_ch1_cs1" vbProcedure="false">ROUND(((_t_dqss_brdskew_p1_ch1_cs1 + (_phy_invert_clk * 500000 / _ddr_pll_freq)) / _dll_res),0)</definedName>
    <definedName function="false" hidden="false" name="_t_dqss_brdskew_p1_ch1_cs1" vbProcedure="false">((_tl_clk_p1_mi_ch1_cs1*_prop_vel_microstrip) + (_tl_clk_p1_st_ch1_cs1*_prop_vel_stripline) - (_tl_dqs1_mi_ch1_cs1*_prop_vel_microstrip) - (_tl_dqs1_st_ch1_cs1*_prop_vel_stripline))/1000</definedName>
    <definedName function="false" hidden="false" name="_tl_clk_p1_mi_ch1_cs1" vbProcedure="false">'[1]Step2-BoardDetails'!$G$38</definedName>
    <definedName function="false" hidden="false" name="_tl_clk_p1_st_ch1_cs1" vbProcedure="false">'[1]Step2-BoardDetails'!$H$38</definedName>
    <definedName function="false" hidden="false" name="_tl_dqs1_mi_ch1_cs1" vbProcedure="false">'[1]Step2-BoardDetails'!$G$39</definedName>
    <definedName function="false" hidden="false" name="_tl_dqs1_st_ch1_cs1" vbProcedure="false">'[1]Step2-BoardDetails'!$H$39</definedName>
    <definedName function="false" hidden="false" name="_wrdqs_ratio1_ch1_cs0" vbProcedure="false">ROUND(((_t_dqss_brdskew_p1_ch1_cs0 + (_phy_invert_clk * 500000 / _ddr_pll_freq)) / _dll_res),0)</definedName>
    <definedName function="false" hidden="false" name="_t_dqss_brdskew_p1_ch1_cs0" vbProcedure="false">((_tl_clk_p1_mi_ch1_cs0*_prop_vel_microstrip) + (_tl_clk_p1_st_ch1_cs0*_prop_vel_stripline) - (_tl_dqs1_mi_ch1_cs0*_prop_vel_microstrip) - (_tl_dqs1_st_ch1_cs0*_prop_vel_stripline))/1000</definedName>
    <definedName function="false" hidden="false" name="_tl_clk_p1_mi_ch1_cs0" vbProcedure="false">'[1]Step2-BoardDetails'!$G$28</definedName>
    <definedName function="false" hidden="false" name="_tl_clk_p1_st_ch1_cs0" vbProcedure="false">'[1]Step2-BoardDetails'!$H$28</definedName>
    <definedName function="false" hidden="false" name="_tl_dqs1_mi_ch1_cs0" vbProcedure="false">'[1]Step2-BoardDetails'!$G$29</definedName>
    <definedName function="false" hidden="false" name="_tl_dqs1_st_ch1_cs0" vbProcedure="false">'[1]Step2-BoardDetails'!$H$29</definedName>
    <definedName function="false" hidden="false" name="_wrdqs_ratio0_ch1_cs1" vbProcedure="false">ROUND(((_t_dqss_brdskew_p0_ch1_cs1 + (_phy_invert_clk * 500000 / _ddr_pll_freq)) / _dll_res),0)</definedName>
    <definedName function="false" hidden="false" name="_t_dqss_brdskew_p0_ch1_cs1" vbProcedure="false">((_tl_clk_p0_mi_ch1_cs1*_prop_vel_microstrip) + (_tl_clk_p0_st_ch1_cs1*_prop_vel_stripline) - (_tl_dqs0_mi_ch1_cs1*_prop_vel_microstrip) - (_tl_dqs0_st_ch1_cs1*_prop_vel_stripline))/1000</definedName>
    <definedName function="false" hidden="false" name="_tl_clk_p0_mi_ch1_cs1" vbProcedure="false">'[1]Step2-BoardDetails'!$E$38</definedName>
    <definedName function="false" hidden="false" name="_tl_clk_p0_st_ch1_cs1" vbProcedure="false">'[1]Step2-BoardDetails'!$F$38</definedName>
    <definedName function="false" hidden="false" name="_tl_dqs0_mi_ch1_cs1" vbProcedure="false">'[1]Step2-BoardDetails'!$E$39</definedName>
    <definedName function="false" hidden="false" name="_tl_dqs0_st_ch1_cs1" vbProcedure="false">'[1]Step2-BoardDetails'!$F$39</definedName>
    <definedName function="false" hidden="false" name="_wrdqs_ratio0_ch1_cs0" vbProcedure="false">ROUND(((_t_dqss_brdskew_p0_ch1_cs0 + (_phy_invert_clk * 500000 / _ddr_pll_freq)) / _dll_res),0)</definedName>
    <definedName function="false" hidden="false" name="_t_dqss_brdskew_p0_ch1_cs0" vbProcedure="false">((_tl_clk_p0_mi_ch1_cs0*_prop_vel_microstrip) + (_tl_clk_p0_st_ch1_cs0*_prop_vel_stripline) - (_tl_dqs0_mi_ch1_cs0*_prop_vel_microstrip) - (_tl_dqs0_st_ch1_cs0*_prop_vel_stripline))/1000</definedName>
    <definedName function="false" hidden="false" name="_tl_clk_p0_mi_ch1_cs0" vbProcedure="false">'[1]Step2-BoardDetails'!$E$28</definedName>
    <definedName function="false" hidden="false" name="_tl_clk_p0_st_ch1_cs0" vbProcedure="false">'[1]Step2-BoardDetails'!$F$28</definedName>
    <definedName function="false" hidden="false" name="_tl_dqs0_mi_ch1_cs0" vbProcedure="false">'[1]Step2-BoardDetails'!$E$29</definedName>
    <definedName function="false" hidden="false" name="_tl_dqs0_st_ch1_cs0" vbProcedure="false">'[1]Step2-BoardDetails'!$F$29</definedName>
    <definedName function="false" hidden="false" name="_emif1_ext_phy_ctrl_11_val_vayu" vbProcedure="false">DEC2HEX(SUM(_rddqs_ratio4*2^16,_rddqs_ratio4),8)</definedName>
    <definedName function="false" hidden="false" name="_rddqs_ratio4" vbProcedure="false">_rddqs_ratio0</definedName>
    <definedName function="false" hidden="false" name="_emif1_ext_phy_ctrl_12_val_omap5" vbProcedure="false">DEC2HEX(TRUNC(SUM(_wrdqs_ratio3_ch1_cs0*2^30,_wrdqs_ratio2_ch1_cs1*2^20,_wrdqs_ratio2_ch1_cs0*2^10,_wrdqs_ratio1_ch1_cs1)/2^2)-(TRUNC(SUM(_wrdqs_ratio3_ch1_cs0*2^30,_wrdqs_ratio2_ch1_cs1*2^20,_wrdqs_ratio2_ch1_cs0*2^10,_wrdqs_ratio1_ch1_cs1)/2^34)*2^32),8)</definedName>
    <definedName function="false" hidden="false" name="_wrdqs_ratio2_ch1_cs1" vbProcedure="false">ROUND(((_t_dqss_brdskew_p2_ch1_cs1 + (_phy_invert_clk * 500000 / _ddr_pll_freq)) / _dll_res),0)</definedName>
    <definedName function="false" hidden="false" name="_t_dqss_brdskew_p2_ch1_cs1" vbProcedure="false">((_tl_clk_p2_mi_ch1_cs1*_prop_vel_microstrip) + (_tl_clk_p2_st_ch1_cs1*_prop_vel_stripline) - (_tl_dqs2_mi_ch1_cs1*_prop_vel_microstrip) - (_tl_dqs2_st_ch1_cs1*_prop_vel_stripline))/1000</definedName>
    <definedName function="false" hidden="false" name="_tl_clk_p2_mi_ch1_cs1" vbProcedure="false">'[1]Step2-BoardDetails'!$I$38</definedName>
    <definedName function="false" hidden="false" name="_tl_clk_p2_st_ch1_cs1" vbProcedure="false">'[1]Step2-BoardDetails'!$J$38</definedName>
    <definedName function="false" hidden="false" name="_tl_dqs2_mi_ch1_cs1" vbProcedure="false">'[1]Step2-BoardDetails'!$I$39</definedName>
    <definedName function="false" hidden="false" name="_tl_dqs2_st_ch1_cs1" vbProcedure="false">'[1]Step2-BoardDetails'!$J$39</definedName>
    <definedName function="false" hidden="false" name="_wrdqs_ratio2_ch1_cs0" vbProcedure="false">ROUND(((_t_dqss_brdskew_p2_ch1_cs0 + (_phy_invert_clk * 500000 / _ddr_pll_freq)) / _dll_res),0)</definedName>
    <definedName function="false" hidden="false" name="_t_dqss_brdskew_p2_ch1_cs0" vbProcedure="false">((_tl_clk_p2_mi_ch1_cs0*_prop_vel_microstrip) + (_tl_clk_p2_st_ch1_cs0*_prop_vel_stripline) - (_tl_dqs2_mi_ch1_cs0*_prop_vel_microstrip) - (_tl_dqs2_st_ch1_cs0*_prop_vel_stripline))/1000</definedName>
    <definedName function="false" hidden="false" name="_tl_clk_p2_mi_ch1_cs0" vbProcedure="false">'[1]Step2-BoardDetails'!$I$28</definedName>
    <definedName function="false" hidden="false" name="_tl_clk_p2_st_ch1_cs0" vbProcedure="false">'[1]Step2-BoardDetails'!$J$28</definedName>
    <definedName function="false" hidden="false" name="_tl_dqs2_mi_ch1_cs0" vbProcedure="false">'[1]Step2-BoardDetails'!$I$29</definedName>
    <definedName function="false" hidden="false" name="_tl_dqs2_st_ch1_cs0" vbProcedure="false">'[1]Step2-BoardDetails'!$J$29</definedName>
    <definedName function="false" hidden="false" name="_emif1_ext_phy_ctrl_12_val_vayu" vbProcedure="false">DEC2HEX(SUM(_wrdata_ratio0_ch1_cs1*2^16,_wrdata_ratio0_ch1_cs0),8)</definedName>
    <definedName function="false" hidden="false" name="_wrdata_ratio0_ch1_cs1" vbProcedure="false">_wrdqs_ratio0_ch1_cs1 + ROUND((250000 / _ddr_pll_freq / _dll_res),0)</definedName>
    <definedName function="false" hidden="false" name="_wrdata_ratio0_ch1_cs0" vbProcedure="false">_wrdqs_ratio0_ch1_cs0 + ROUND((250000 / _ddr_pll_freq / _dll_res),0)</definedName>
    <definedName function="false" hidden="false" name="_emif1_ext_phy_ctrl_13_val_omap5" vbProcedure="false">DEC2HEX(TRUNC(SUM(_wrdqs_ratio3_ch1_cs1*2^10,_wrdqs_ratio3_ch1_cs0)/2^4)-(TRUNC(SUM(_wrdqs_ratio3_ch1_cs1*2^10,_wrdqs_ratio3_ch1_cs0)/2^36)*2^32),8)</definedName>
    <definedName function="false" hidden="false" name="_emif1_ext_phy_ctrl_13_val_vayu" vbProcedure="false">DEC2HEX(SUM(_wrdata_ratio1_ch1_cs1*2^16,_wrdata_ratio1_ch1_cs0),8)</definedName>
    <definedName function="false" hidden="false" name="_wrdata_ratio1_ch1_cs1" vbProcedure="false">_wrdqs_ratio1_ch1_cs1 + ROUND((250000 / _ddr_pll_freq / _dll_res),0)</definedName>
    <definedName function="false" hidden="false" name="_wrdata_ratio1_ch1_cs0" vbProcedure="false">_wrdqs_ratio1_ch1_cs0 + ROUND((250000 / _ddr_pll_freq / _dll_res),0)</definedName>
    <definedName function="false" hidden="false" name="_emif1_ext_phy_ctrl_14_val_omap5" vbProcedure="false">DEC2HEX(SUM(_phy_rddqs_delay*2^24,_phy_fifowe_delay*2^12,_phy_ctrl_delay)-(TRUNC(SUM(_phy_rddqs_delay*2^24,_phy_fifowe_delay*2^12,_phy_ctrl_delay)/2^32)*2^32),8)</definedName>
    <definedName function="false" hidden="false" name="_phy_rddqs_delay" vbProcedure="false">128</definedName>
    <definedName function="false" hidden="false" name="_phy_fifowe_delay" vbProcedure="false">128</definedName>
    <definedName function="false" hidden="false" name="_phy_ctrl_delay" vbProcedure="false">128</definedName>
    <definedName function="false" hidden="false" name="_emif1_ext_phy_ctrl_14_val_vayu" vbProcedure="false">DEC2HEX(SUM(_wrdata_ratio2_ch1_cs1*2^16,_wrdata_ratio2_ch1_cs0),8)</definedName>
    <definedName function="false" hidden="false" name="_wrdata_ratio2_ch1_cs1" vbProcedure="false">_wrdqs_ratio2_ch1_cs1 + ROUND((250000 / _ddr_pll_freq / _dll_res),0)</definedName>
    <definedName function="false" hidden="false" name="_wrdata_ratio2_ch1_cs0" vbProcedure="false">_wrdqs_ratio2_ch1_cs0 + ROUND((250000 / _ddr_pll_freq / _dll_res),0)</definedName>
    <definedName function="false" hidden="false" name="_emif1_ext_phy_ctrl_15_val_omap5" vbProcedure="false">DEC2HEX(TRUNC(SUM(_phy_wrdata_delay*2^24,_phy_wrdqs_delay*2^12,_phy_rddqs_delay)/2^8),8)</definedName>
    <definedName function="false" hidden="false" name="_phy_wrdata_delay" vbProcedure="false">128</definedName>
    <definedName function="false" hidden="false" name="_phy_wrdqs_delay" vbProcedure="false">128</definedName>
    <definedName function="false" hidden="false" name="_emif1_ext_phy_ctrl_15_val_vayu" vbProcedure="false">DEC2HEX(SUM(_wrdata_ratio3_ch1_cs1*2^16,_wrdata_ratio3_ch1_cs0),8)</definedName>
    <definedName function="false" hidden="false" name="_emif1_ext_phy_ctrl_16_val_omap5" vbProcedure="false">DEC2HEX(SUM(_phy_dq_offset3*2^21,_phy_dq_offset2*2^14,_phy_dq_offset1*2^7,_phy_dq_offset0),8)</definedName>
    <definedName function="false" hidden="false" name="_phy_dq_offset3" vbProcedure="false">64</definedName>
    <definedName function="false" hidden="false" name="_phy_dq_offset2" vbProcedure="false">64</definedName>
    <definedName function="false" hidden="false" name="_phy_dq_offset1" vbProcedure="false">64</definedName>
    <definedName function="false" hidden="false" name="_phy_dq_offset0" vbProcedure="false">64</definedName>
    <definedName function="false" hidden="false" name="_emif1_ext_phy_ctrl_16_val_vayu" vbProcedure="false">DEC2HEX(SUM(_wrdata_ratio4_ch1_cs1*2^16,_wrdata_ratio4_ch1_cs0),8)</definedName>
    <definedName function="false" hidden="false" name="_wrdata_ratio4_ch1_cs1" vbProcedure="false">_wrdqs_ratio4_ch1_cs1 + ROUND((250000 / _ddr_pll_freq / _dll_res),0)</definedName>
    <definedName function="false" hidden="false" name="_wrdqs_ratio4_ch1_cs1" vbProcedure="false">ROUND(((_t_dqss_brdskew_p4_ch1_cs1 + (_phy_invert_clk * 500000 / _ddr_pll_freq)) / _dll_res),0)</definedName>
    <definedName function="false" hidden="false" name="_t_dqss_brdskew_p4_ch1_cs1" vbProcedure="false">((_tl_clk_p4_mi_ch1_cs1*_prop_vel_microstrip) + (_tl_clk_p4_st_ch1_cs1*_prop_vel_stripline) - (_tl_dqs4_mi_ch1_cs1*_prop_vel_microstrip) - (_tl_dqs4_st_ch1_cs1*_prop_vel_stripline))/1000</definedName>
    <definedName function="false" hidden="false" name="_tl_clk_p4_mi_ch1_cs1" vbProcedure="false">'[1]Step2-BoardDetails'!$M$38</definedName>
    <definedName function="false" hidden="false" name="_tl_clk_p4_st_ch1_cs1" vbProcedure="false">'[1]Step2-BoardDetails'!$N$38</definedName>
    <definedName function="false" hidden="false" name="_tl_dqs4_mi_ch1_cs1" vbProcedure="false">'[1]Step2-BoardDetails'!$M$39</definedName>
    <definedName function="false" hidden="false" name="_tl_dqs4_st_ch1_cs1" vbProcedure="false">'[1]Step2-BoardDetails'!$N$39</definedName>
    <definedName function="false" hidden="false" name="_wrdata_ratio4_ch1_cs0" vbProcedure="false">_wrdqs_ratio4_ch1_cs0 + ROUND((250000 / _ddr_pll_freq / _dll_res),0)</definedName>
    <definedName function="false" hidden="false" name="_wrdqs_ratio4_ch1_cs0" vbProcedure="false">ROUND(((_t_dqss_brdskew_p4_ch1_cs0 + (_phy_invert_clk * 500000 / _ddr_pll_freq)) / _dll_res),0)</definedName>
    <definedName function="false" hidden="false" name="_t_dqss_brdskew_p4_ch1_cs0" vbProcedure="false">((_tl_clk_p4_mi_ch1_cs0*_prop_vel_microstrip) + (_tl_clk_p4_st_ch1_cs0*_prop_vel_stripline) - (_tl_dqs4_mi_ch1_cs0*_prop_vel_microstrip) - (_tl_dqs4_st_ch1_cs0*_prop_vel_stripline))/1000</definedName>
    <definedName function="false" hidden="false" name="_tl_clk_p4_mi_ch1_cs0" vbProcedure="false">'[1]Step2-BoardDetails'!$M$28</definedName>
    <definedName function="false" hidden="false" name="_tl_clk_p4_st_ch1_cs0" vbProcedure="false">'[1]Step2-BoardDetails'!$N$28</definedName>
    <definedName function="false" hidden="false" name="_tl_dqs4_mi_ch1_cs0" vbProcedure="false">'[1]Step2-BoardDetails'!$M$29</definedName>
    <definedName function="false" hidden="false" name="_tl_dqs4_st_ch1_cs0" vbProcedure="false">'[1]Step2-BoardDetails'!$N$29</definedName>
    <definedName function="false" hidden="false" name="_emif1_ext_phy_ctrl_17_val_omap5" vbProcedure="false">DEC2HEX(SUM(_phy_gatelvl_init_mode*2^1,_phy_use_rank0_delays),8)</definedName>
    <definedName function="false" hidden="false" name="_phy_gatelvl_init_mode" vbProcedure="false">1</definedName>
    <definedName function="false" hidden="false" name="_phy_use_rank0_delays" vbProcedure="false">0</definedName>
    <definedName function="false" hidden="false" name="_emif1_ext_phy_ctrl_17_val_vayu" vbProcedure="false">DEC2HEX(SUM(_wrdqs_ratio0_ch1_cs1*2^16,_wrdqs_ratio0_ch1_cs0),8)</definedName>
    <definedName function="false" hidden="false" name="_emif1_ext_phy_ctrl_18_val_omap5" vbProcedure="false">DEC2HEX(SUM(_fifowe_init1_ch1_cs0*2^22,_fifowe_init0_ch1_cs1*2^11,_fifowe_init0_ch1_cs0)-(TRUNC(SUM(_fifowe_init1_ch1_cs0*2^22,_fifowe_init0_ch1_cs1*2^11,_fifowe_init0_ch1_cs0)/2^32)*2^32),8)</definedName>
    <definedName function="false" hidden="false" name="_fifowe_init1_ch1_cs0" vbProcedure="false">_fifowe_ratio1_ch1_cs0 - ROUND((125000 / _ddr_pll_freq / _dll_res),0)</definedName>
    <definedName function="false" hidden="false" name="_fifowe_ratio1_ch1_cs0" vbProcedure="false">ROUND(IF(_sdram_type="LPDDR2",4000/_dll_res,((_t_rdtrip_brddly_p1_ch1_cs0 + (333333 / _ddr_pll_freq) + (_phy_invert_clk * 500000 / _ddr_pll_freq)) / _dll_res)),0)</definedName>
    <definedName function="false" hidden="false" name="_t_rdtrip_brddly_p1_ch1_cs0" vbProcedure="false">((_tl_clk_p1_mi_ch1_cs0*_prop_vel_microstrip) + (_tl_clk_p1_st_ch1_cs0*_prop_vel_stripline) + (_tl_dqs1_mi_ch1_cs0*_prop_vel_microstrip) + (_tl_dqs1_st_ch1_cs0*_prop_vel_stripline))/1000</definedName>
    <definedName function="false" hidden="false" name="_fifowe_init0_ch1_cs1" vbProcedure="false">_fifowe_ratio0_ch1_cs1 - ROUND((125000 / _ddr_pll_freq / _dll_res),0)</definedName>
    <definedName function="false" hidden="false" name="_fifowe_ratio0_ch1_cs1" vbProcedure="false">ROUND(IF(_sdram_type="LPDDR2",4000/_dll_res,((_t_rdtrip_brddly_p0_ch1_cs1 + (333333 / _ddr_pll_freq) + (_phy_invert_clk * 500000 / _ddr_pll_freq)) / _dll_res)),0)</definedName>
    <definedName function="false" hidden="false" name="_t_rdtrip_brddly_p0_ch1_cs1" vbProcedure="false">((_tl_clk_p0_mi_ch1_cs1*_prop_vel_microstrip) + (_tl_clk_p0_st_ch1_cs1*_prop_vel_stripline) + (_tl_dqs0_mi_ch1_cs1*_prop_vel_microstrip) + (_tl_dqs0_st_ch1_cs1*_prop_vel_stripline))/1000</definedName>
    <definedName function="false" hidden="false" name="_fifowe_init0_ch1_cs0" vbProcedure="false">_fifowe_ratio0_ch1_cs0 - ROUND((125000 / _ddr_pll_freq / _dll_res),0)</definedName>
    <definedName function="false" hidden="false" name="_fifowe_ratio0_ch1_cs0" vbProcedure="false">ROUND(IF(_sdram_type="LPDDR2",4000/_dll_res,((_t_rdtrip_brddly_p0_ch1_cs0 + (333333 / _ddr_pll_freq) + (_phy_invert_clk * 500000 / _ddr_pll_freq)) / _dll_res)),0)</definedName>
    <definedName function="false" hidden="false" name="_t_rdtrip_brddly_p0_ch1_cs0" vbProcedure="false">((_tl_clk_p0_mi_ch1_cs0*_prop_vel_microstrip) + (_tl_clk_p0_st_ch1_cs0*_prop_vel_stripline) + (_tl_dqs0_mi_ch1_cs0*_prop_vel_microstrip) + (_tl_dqs0_st_ch1_cs0*_prop_vel_stripline))/1000</definedName>
    <definedName function="false" hidden="false" name="_emif1_ext_phy_ctrl_18_val_vayu" vbProcedure="false">DEC2HEX(SUM(_wrdqs_ratio1_ch1_cs1*2^16,_wrdqs_ratio1_ch1_cs0),8)</definedName>
    <definedName function="false" hidden="false" name="_emif1_ext_phy_ctrl_19_val_omap5" vbProcedure="false">DEC2HEX(TRUNC(SUM(_fifowe_init2_ch1_cs1*2^33,_fifowe_init2_ch1_cs0*2^22,_fifowe_init1_ch1_cs1*2^11,_fifowe_init1_ch1_cs0)/2^10)-(TRUNC(SUM(_fifowe_init2_ch1_cs1*2^33,_fifowe_init2_ch1_cs0*2^22,_fifowe_init1_ch1_cs1*2^11,_fifowe_init1_ch1_cs0)/2^42)*2^32),8)</definedName>
    <definedName function="false" hidden="false" name="_fifowe_init2_ch1_cs1" vbProcedure="false">_fifowe_ratio2_ch1_cs1 - ROUND((125000 / _ddr_pll_freq / _dll_res),0)</definedName>
    <definedName function="false" hidden="false" name="_fifowe_ratio2_ch1_cs1" vbProcedure="false">ROUND(IF(_sdram_type="LPDDR2",4000/_dll_res,((_t_rdtrip_brddly_p2_ch1_cs1 + (333333 / _ddr_pll_freq) + (_phy_invert_clk * 500000 / _ddr_pll_freq)) / _dll_res)),0)</definedName>
    <definedName function="false" hidden="false" name="_t_rdtrip_brddly_p2_ch1_cs1" vbProcedure="false">((_tl_clk_p2_mi_ch1_cs1*_prop_vel_microstrip) + (_tl_clk_p2_st_ch1_cs1*_prop_vel_stripline) + (_tl_dqs2_mi_ch1_cs1*_prop_vel_microstrip) + (_tl_dqs2_st_ch1_cs1*_prop_vel_stripline))/1000</definedName>
    <definedName function="false" hidden="false" name="_fifowe_init2_ch1_cs0" vbProcedure="false">_fifowe_ratio2_ch1_cs0 - ROUND((125000 / _ddr_pll_freq / _dll_res),0)</definedName>
    <definedName function="false" hidden="false" name="_fifowe_ratio2_ch1_cs0" vbProcedure="false">ROUND(IF(_sdram_type="LPDDR2",4000/_dll_res,((_t_rdtrip_brddly_p2_ch1_cs0 + (333333 / _ddr_pll_freq) + (_phy_invert_clk * 500000 / _ddr_pll_freq)) / _dll_res)),0)</definedName>
    <definedName function="false" hidden="false" name="_t_rdtrip_brddly_p2_ch1_cs0" vbProcedure="false">((_tl_clk_p2_mi_ch1_cs0*_prop_vel_microstrip) + (_tl_clk_p2_st_ch1_cs0*_prop_vel_stripline) + (_tl_dqs2_mi_ch1_cs0*_prop_vel_microstrip) + (_tl_dqs2_st_ch1_cs0*_prop_vel_stripline))/1000</definedName>
    <definedName function="false" hidden="false" name="_fifowe_init1_ch1_cs1" vbProcedure="false">_fifowe_ratio1_ch1_cs1 - ROUND((125000 / _ddr_pll_freq / _dll_res),0)</definedName>
    <definedName function="false" hidden="false" name="_fifowe_ratio1_ch1_cs1" vbProcedure="false">ROUND(IF(_sdram_type="LPDDR2",4000/_dll_res,((_t_rdtrip_brddly_p1_ch1_cs1 + (333333 / _ddr_pll_freq) + (_phy_invert_clk * 500000 / _ddr_pll_freq)) / _dll_res)),0)</definedName>
    <definedName function="false" hidden="false" name="_t_rdtrip_brddly_p1_ch1_cs1" vbProcedure="false">((_tl_clk_p1_mi_ch1_cs1*_prop_vel_microstrip) + (_tl_clk_p1_st_ch1_cs1*_prop_vel_stripline) + (_tl_dqs1_mi_ch1_cs1*_prop_vel_microstrip) + (_tl_dqs1_st_ch1_cs1*_prop_vel_stripline))/1000</definedName>
    <definedName function="false" hidden="false" name="_emif1_ext_phy_ctrl_19_val_vayu" vbProcedure="false">DEC2HEX(SUM(_wrdqs_ratio2_ch1_cs1*2^16,_wrdqs_ratio2_ch1_cs0),8)</definedName>
    <definedName function="false" hidden="false" name="_emif1_ext_phy_ctrl_1_val_omap5" vbProcedure="false">DEC2HEX(SUM(_ctrl_ratio2*2^20,_ctrl_ratio1*2^10,_ctrl_ratio0),8)</definedName>
    <definedName function="false" hidden="false" name="_emif1_ext_phy_ctrl_1_val_vayu" vbProcedure="false">DEC2HEX(SUM(_ctrl_ratio2*2^20,_ctrl_ratio1*2^10,_ctrl_ratio0),8)</definedName>
    <definedName function="false" hidden="false" name="_emif1_ext_phy_ctrl_20_val_omap5" vbProcedure="false">DEC2HEX(TRUNC(SUM(_fifowe_init3_ch1_cs1*2^22,_fifowe_init3_ch1_cs0*2^11,_fifowe_init2_ch1_cs1)/2^9)-(TRUNC(SUM(_fifowe_init3_ch1_cs1*2^22,_fifowe_init3_ch1_cs0*2^11,_fifowe_init2_ch1_cs1)/2^41)*2^32),8)</definedName>
    <definedName function="false" hidden="false" name="_fifowe_init3_ch1_cs1" vbProcedure="false">_fifowe_ratio3_ch1_cs1 - ROUND((125000 / _ddr_pll_freq / _dll_res),0)</definedName>
    <definedName function="false" hidden="false" name="_fifowe_ratio3_ch1_cs1" vbProcedure="false">ROUND(IF(_sdram_type="LPDDR2",4000/_dll_res,((_t_rdtrip_brddly_p3_ch1_cs1 + (333333 / _ddr_pll_freq) + (_phy_invert_clk * 500000 / _ddr_pll_freq)) / _dll_res)),0)</definedName>
    <definedName function="false" hidden="false" name="_t_rdtrip_brddly_p3_ch1_cs1" vbProcedure="false">((_tl_clk_p3_mi_ch1_cs1*_prop_vel_microstrip) + (_tl_clk_p3_st_ch1_cs1*_prop_vel_stripline) + (_tl_dqs3_mi_ch1_cs1*_prop_vel_microstrip) + (_tl_dqs3_st_ch1_cs1*_prop_vel_stripline))/1000</definedName>
    <definedName function="false" hidden="false" name="_fifowe_init3_ch1_cs0" vbProcedure="false">_fifowe_ratio3_ch1_cs0 - ROUND((125000 / _ddr_pll_freq / _dll_res),0)</definedName>
    <definedName function="false" hidden="false" name="_fifowe_ratio3_ch1_cs0" vbProcedure="false">ROUND(IF(_sdram_type="LPDDR2",4000/_dll_res,((_t_rdtrip_brddly_p3_ch1_cs0 + (333333 / _ddr_pll_freq) + (_phy_invert_clk * 500000 / _ddr_pll_freq)) / _dll_res)),0)</definedName>
    <definedName function="false" hidden="false" name="_t_rdtrip_brddly_p3_ch1_cs0" vbProcedure="false">((_tl_clk_p3_mi_ch1_cs0*_prop_vel_microstrip) + (_tl_clk_p3_st_ch1_cs0*_prop_vel_stripline) + (_tl_dqs3_mi_ch1_cs0*_prop_vel_microstrip) + (_tl_dqs3_st_ch1_cs0*_prop_vel_stripline))/1000</definedName>
    <definedName function="false" hidden="false" name="_emif1_ext_phy_ctrl_20_val_vayu" vbProcedure="false">DEC2HEX(SUM(_wrdqs_ratio3_ch1_cs1*2^16,_wrdqs_ratio3_ch1_cs0),8)</definedName>
    <definedName function="false" hidden="false" name="_emif1_ext_phy_ctrl_21_val_omap5" vbProcedure="false">DEC2HEX(SUM(_wrdqs_init1_ch1_cs1*2^30,_wrdqs_init1_ch1_cs0*2^20,_wrdqs_init0_ch1_cs1*2^10,_wrdqs_init0_ch1_cs0)-(TRUNC(SUM(_wrdqs_init1_ch1_cs1*2^30,_wrdqs_init1_ch1_cs0*2^20,_wrdqs_init0_ch1_cs1*2^10,_wrdqs_init0_ch1_cs0)/2^32)*2^32),8)</definedName>
    <definedName function="false" hidden="false" name="_wrdqs_init1_ch1_cs1" vbProcedure="false">MAX(_wrdqs_ratio1_ch1_cs1 - ROUND((125000 / _ddr_pll_freq / _dll_res),0),0)</definedName>
    <definedName function="false" hidden="false" name="_wrdqs_init1_ch1_cs0" vbProcedure="false">MAX(_wrdqs_ratio1_ch1_cs0 - ROUND((125000 / _ddr_pll_freq / _dll_res),0),0)</definedName>
    <definedName function="false" hidden="false" name="_wrdqs_init0_ch1_cs1" vbProcedure="false">MAX(_wrdqs_ratio0_ch1_cs1 - ROUND((125000 / _ddr_pll_freq / _dll_res),0),0)</definedName>
    <definedName function="false" hidden="false" name="_wrdqs_init0_ch1_cs0" vbProcedure="false">MAX(_wrdqs_ratio0_ch1_cs0 - ROUND((125000 / _ddr_pll_freq / _dll_res),0),0)</definedName>
    <definedName function="false" hidden="false" name="_emif1_ext_phy_ctrl_21_val_vayu" vbProcedure="false">DEC2HEX(SUM(_wrdqs_ratio4_ch1_cs1*2^16,_wrdqs_ratio4_ch1_cs0),8)</definedName>
    <definedName function="false" hidden="false" name="_emif1_ext_phy_ctrl_22_val_omap5" vbProcedure="false">DEC2HEX(TRUNC(SUM(_wrdqs_init3_ch1_cs0*2^30,_wrdqs_init2_ch1_cs1*2^20,_wrdqs_init2_ch1_cs0*2^10,_wrdqs_init1_ch1_cs1)/2^2)-(TRUNC(SUM(_wrdqs_init3_ch1_cs0*2^30,_wrdqs_init2_ch1_cs1*2^20,_wrdqs_init2_ch1_cs0*2^10,_wrdqs_init1_ch1_cs1)/2^34)*2^32),8)</definedName>
    <definedName function="false" hidden="false" name="_wrdqs_init3_ch1_cs0" vbProcedure="false">MAX(_wrdqs_ratio3_ch1_cs0 - ROUND((125000 / _ddr_pll_freq / _dll_res),0),0)</definedName>
    <definedName function="false" hidden="false" name="_wrdqs_init2_ch1_cs1" vbProcedure="false">MAX(_wrdqs_ratio2_ch1_cs1 - ROUND((125000 / _ddr_pll_freq / _dll_res),0),0)</definedName>
    <definedName function="false" hidden="false" name="_wrdqs_init2_ch1_cs0" vbProcedure="false">MAX(_wrdqs_ratio2_ch1_cs0 - ROUND((125000 / _ddr_pll_freq / _dll_res),0),0)</definedName>
    <definedName function="false" hidden="false" name="_emif1_ext_phy_ctrl_22_val_vayu" vbProcedure="false">DEC2HEX(SUM(_phy_fifowe_delay*2^16,_phy_ctrl_delay),8)</definedName>
    <definedName function="false" hidden="false" name="_emif1_ext_phy_ctrl_23_val_omap5" vbProcedure="false">DEC2HEX(TRUNC(SUM(_wrdqs_init3_ch1_cs1*2^10,_wrdqs_init3_ch1_cs0)/2^4)-(TRUNC(SUM(_wrdqs_init3_ch1_cs1*2^10,_wrdqs_init3_ch1_cs0)/2^36)*2^32),8)</definedName>
    <definedName function="false" hidden="false" name="_wrdqs_init3_ch1_cs1" vbProcedure="false">MAX(_wrdqs_ratio3_ch1_cs1 - ROUND((125000 / _ddr_pll_freq / _dll_res),0),0)</definedName>
    <definedName function="false" hidden="false" name="_emif1_ext_phy_ctrl_23_val_vayu" vbProcedure="false">DEC2HEX(SUM(_phy_wrdqs_delay*2^16,_phy_rddqs_delay),8)</definedName>
    <definedName function="false" hidden="false" name="_emif1_ext_phy_ctrl_24_val_omap5" vbProcedure="false">DEC2HEX(SUM(_phy_wrlvl_num_dq0*2^4,_phy_gatelvl_num_dq0),8)</definedName>
    <definedName function="false" hidden="false" name="_phy_wrlvl_num_dq0" vbProcedure="false">7</definedName>
    <definedName function="false" hidden="false" name="_phy_gatelvl_num_dq0" vbProcedure="false">7</definedName>
    <definedName function="false" hidden="false" name="_emif1_ext_phy_ctrl_24_val_vayu" vbProcedure="false">DEC2HEX(SUM(_phy_dq_offset4*2^24,_phy_gatelvl_init_mode*2^16,_phy_use_rank0_delays*2^12,_phy_wrdata_delay),8)</definedName>
    <definedName function="false" hidden="false" name="_phy_dq_offset4" vbProcedure="false">64</definedName>
    <definedName function="false" hidden="false" name="_emif1_ext_phy_ctrl_2_val_omap5" vbProcedure="false">DEC2HEX(SUM(_fifowe_ratio1_ch1_cs0*2^22,_fifowe_ratio0_ch1_cs1*2^11,_fifowe_ratio0_ch1_cs0)-(TRUNC(SUM(_fifowe_ratio1_ch1_cs0*2^22,_fifowe_ratio0_ch1_cs1*2^11,_fifowe_ratio0_ch1_cs0)/2^32)*2^32),8)</definedName>
    <definedName function="false" hidden="false" name="_emif1_ext_phy_ctrl_2_val_vayu" vbProcedure="false">DEC2HEX(SUM(_fifowe_ratio0_ch1_cs1*2^16,_fifowe_ratio0_ch1_cs0),8)</definedName>
    <definedName function="false" hidden="false" name="_emif1_ext_phy_ctrl_3_val_omap5" vbProcedure="false">DEC2HEX(TRUNC(SUM(_fifowe_ratio2_ch1_cs1*2^33,_fifowe_ratio2_ch1_cs0*2^22,_fifowe_ratio1_ch1_cs1*2^11,_fifowe_ratio1_ch1_cs0)/2^10)-(TRUNC(SUM(_fifowe_ratio2_ch1_cs1*2^33,_fifowe_ratio2_ch1_cs0*2^22,_fifowe_ratio1_ch1_cs1*2^11,_fifowe_ratio1_ch1_cs0)/2^42)*2^32),8)</definedName>
    <definedName function="false" hidden="false" name="_emif1_ext_phy_ctrl_3_val_vayu" vbProcedure="false">DEC2HEX(SUM(_fifowe_ratio1_ch1_cs1*2^16,_fifowe_ratio1_ch1_cs0),8)</definedName>
    <definedName function="false" hidden="false" name="_emif1_ext_phy_ctrl_4_val_omap5" vbProcedure="false">DEC2HEX(TRUNC(SUM(_fifowe_ratio3_ch1_cs1*2^22,_fifowe_ratio3_ch1_cs0*2^11,_fifowe_ratio2_ch1_cs1)/2^9)-(TRUNC(SUM(_fifowe_ratio3_ch1_cs1*2^22,_fifowe_ratio3_ch1_cs0*2^11,_fifowe_ratio2_ch1_cs1)/2^41)*2^32),8)</definedName>
    <definedName function="false" hidden="false" name="_emif1_ext_phy_ctrl_4_val_vayu" vbProcedure="false">DEC2HEX(SUM(_fifowe_ratio2_ch1_cs1*2^16,_fifowe_ratio2_ch1_cs0),8)</definedName>
    <definedName function="false" hidden="false" name="_emif1_ext_phy_ctrl_5_val_omap5" vbProcedure="false">DEC2HEX(SUM(_rddqs_ratio1*2^30,_rddqs_ratio1*2^20,_rddqs_ratio0*2^10,_rddqs_ratio0)-(TRUNC(SUM(_rddqs_ratio1*2^30,_rddqs_ratio1*2^20,_rddqs_ratio0*2^10,_rddqs_ratio0)/2^32)*2^32),8)</definedName>
    <definedName function="false" hidden="false" name="_rddqs_ratio1" vbProcedure="false">_rddqs_ratio0</definedName>
    <definedName function="false" hidden="false" name="_emif1_ext_phy_ctrl_5_val_vayu" vbProcedure="false">DEC2HEX(SUM(_fifowe_ratio3_ch1_cs1*2^16,_fifowe_ratio3_ch1_cs0),8)</definedName>
    <definedName function="false" hidden="false" name="_emif1_ext_phy_ctrl_6_val_omap5" vbProcedure="false">DEC2HEX(TRUNC(SUM(_rddqs_ratio3*2^30,_rddqs_ratio2*2^20,_rddqs_ratio2*2^10,_rddqs_ratio1)/2^2)-(TRUNC(SUM(_rddqs_ratio3*2^30,_rddqs_ratio2*2^20,_rddqs_ratio2*2^10,_rddqs_ratio1)/2^34)*2^32),8)</definedName>
    <definedName function="false" hidden="false" name="_rddqs_ratio2" vbProcedure="false">_rddqs_ratio0</definedName>
    <definedName function="false" hidden="false" name="_emif1_ext_phy_ctrl_6_val_vayu" vbProcedure="false">DEC2HEX(SUM(_fifowe_ratio4_ch1_cs1*2^16,_fifowe_ratio4_ch1_cs0),8)</definedName>
    <definedName function="false" hidden="false" name="_fifowe_ratio4_ch1_cs1" vbProcedure="false">ROUND(IF(_sdram_type="LPDDR2",4000/_dll_res,((_t_rdtrip_brddly_p4_ch1_cs1 + (333333 / _ddr_pll_freq) + (_phy_invert_clk * 500000 / _ddr_pll_freq)) / _dll_res)),0)</definedName>
    <definedName function="false" hidden="false" name="_t_rdtrip_brddly_p4_ch1_cs1" vbProcedure="false">((_tl_clk_p4_mi_ch1_cs1*_prop_vel_microstrip) + (_tl_clk_p4_st_ch1_cs1*_prop_vel_stripline) + (_tl_dqs4_mi_ch1_cs1*_prop_vel_microstrip) + (_tl_dqs4_st_ch1_cs1*_prop_vel_stripline))/1000</definedName>
    <definedName function="false" hidden="false" name="_fifowe_ratio4_ch1_cs0" vbProcedure="false">ROUND(IF(_sdram_type="LPDDR2",4000/_dll_res,((_t_rdtrip_brddly_p4_ch1_cs0 + (333333 / _ddr_pll_freq) + (_phy_invert_clk * 500000 / _ddr_pll_freq)) / _dll_res)),0)</definedName>
    <definedName function="false" hidden="false" name="_t_rdtrip_brddly_p4_ch1_cs0" vbProcedure="false">((_tl_clk_p4_mi_ch1_cs0*_prop_vel_microstrip) + (_tl_clk_p4_st_ch1_cs0*_prop_vel_stripline) + (_tl_dqs4_mi_ch1_cs0*_prop_vel_microstrip) + (_tl_dqs4_st_ch1_cs0*_prop_vel_stripline))/1000</definedName>
    <definedName function="false" hidden="false" name="_emif1_ext_phy_ctrl_7_val_omap5" vbProcedure="false">DEC2HEX(TRUNC(SUM(_rddqs_ratio3*2^10,_rddqs_ratio3)/2^4)-(TRUNC(SUM(_rddqs_ratio3*2^10,_rddqs_ratio3)/2^36)*2^32),8)</definedName>
    <definedName function="false" hidden="false" name="_emif1_ext_phy_ctrl_7_val_vayu" vbProcedure="false">DEC2HEX(SUM(_rddqs_ratio0*2^16,_rddqs_ratio0),8)</definedName>
    <definedName function="false" hidden="false" name="_emif1_ext_phy_ctrl_8_val_omap5" vbProcedure="false">DEC2HEX(SUM(_wrdata_ratio1_ch1_cs1*2^30,_wrdata_ratio1_ch1_cs0*2^20,_wrdata_ratio0_ch1_cs1*2^10,_wrdata_ratio0_ch1_cs0)-(TRUNC(SUM(_wrdata_ratio1_ch1_cs1*2^30,_wrdata_ratio1_ch1_cs0*2^20,_wrdata_ratio0_ch1_cs1*2^10,_wrdata_ratio0_ch1_cs0)/2^32)*2^32),8)</definedName>
    <definedName function="false" hidden="false" name="_emif1_ext_phy_ctrl_8_val_vayu" vbProcedure="false">DEC2HEX(SUM(_rddqs_ratio1*2^16,_rddqs_ratio1),8)</definedName>
    <definedName function="false" hidden="false" name="_emif1_ext_phy_ctrl_9_val_omap5" vbProcedure="false">DEC2HEX(TRUNC(SUM(_wrdata_ratio3_ch1_cs0*2^30,_wrdata_ratio2_ch1_cs1*2^20,_wrdata_ratio2_ch1_cs0*2^10,_wrdata_ratio1_ch1_cs1)/2^2)-(TRUNC(SUM(_wrdata_ratio3_ch1_cs0*2^30,_wrdata_ratio2_ch1_cs1*2^20,_wrdata_ratio2_ch1_cs0*2^10,_wrdata_ratio1_ch1_cs1)/2^34)*2^32),8)</definedName>
    <definedName function="false" hidden="false" name="_emif1_ext_phy_ctrl_9_val_vayu" vbProcedure="false">DEC2HEX(SUM(_rddqs_ratio2*2^16,_rddqs_ratio2),8)</definedName>
    <definedName function="false" hidden="false" name="_EMIF2_EXT_PHY_CTRL_10_VAL" vbProcedure="false">CHOOSE(MATCH(_soc_name,_soc_names,0),_emif2_ext_phy_ctrl_10_val_omap5,_emif2_ext_phy_ctrl_10_val_vayu,_emif2_ext_phy_ctrl_10_val_vayu,_emif2_ext_phy_ctrl_10_val_vayu)</definedName>
    <definedName function="false" hidden="false" name="_emif2_ext_phy_ctrl_10_val_omap5" vbProcedure="false">DEC2HEX(TRUNC(SUM(_wrdata_ratio3_ch2_cs1*2^10,_wrdata_ratio3_ch2_cs0)/2^4)-(TRUNC(SUM(_wrdata_ratio3_ch2_cs1*2^10,_wrdata_ratio3_ch2_cs0)/2^36)*2^32),8)</definedName>
    <definedName function="false" hidden="false" name="_wrdata_ratio3_ch2_cs1" vbProcedure="false">_wrdqs_ratio3_ch2_cs1 + ROUND((250000 / _ddr_pll_freq / _dll_res),0)</definedName>
    <definedName function="false" hidden="false" name="_wrdqs_ratio3_ch2_cs1" vbProcedure="false">ROUND(((_t_dqss_brdskew_p3_ch2_cs1 + (_phy_invert_clk * 500000 / _ddr_pll_freq)) / _dll_res),0)</definedName>
    <definedName function="false" hidden="false" name="_t_dqss_brdskew_p3_ch2_cs1" vbProcedure="false">((_tl_clk_p3_mi_ch2_cs1*_prop_vel_microstrip) + (_tl_clk_p3_st_ch2_cs1*_prop_vel_stripline) - (_tl_dqs3_mi_ch2_cs1*_prop_vel_microstrip) - (_tl_dqs3_st_ch2_cs1*_prop_vel_stripline))/1000</definedName>
    <definedName function="false" hidden="false" name="_tl_clk_p3_mi_ch2_cs1" vbProcedure="false">'[1]Step2-BoardDetails'!$K$58</definedName>
    <definedName function="false" hidden="false" name="_tl_clk_p3_st_ch2_cs1" vbProcedure="false">'[1]Step2-BoardDetails'!$L$58</definedName>
    <definedName function="false" hidden="false" name="_tl_dqs3_mi_ch2_cs1" vbProcedure="false">'[1]Step2-BoardDetails'!$K$59</definedName>
    <definedName function="false" hidden="false" name="_tl_dqs3_st_ch2_cs1" vbProcedure="false">'[1]Step2-BoardDetails'!$L$59</definedName>
    <definedName function="false" hidden="false" name="_wrdata_ratio3_ch2_cs0" vbProcedure="false">_wrdqs_ratio3_ch2_cs0 + ROUND((250000 / _ddr_pll_freq / _dll_res),0)</definedName>
    <definedName function="false" hidden="false" name="_wrdqs_ratio3_ch2_cs0" vbProcedure="false">ROUND(((_t_dqss_brdskew_p3_ch2_cs0 + (_phy_invert_clk * 500000 / _ddr_pll_freq)) / _dll_res),0)</definedName>
    <definedName function="false" hidden="false" name="_t_dqss_brdskew_p3_ch2_cs0" vbProcedure="false">((_tl_clk_p3_mi_ch2_cs0*_prop_vel_microstrip) + (_tl_clk_p3_st_ch2_cs0*_prop_vel_stripline) - (_tl_dqs3_mi_ch2_cs0*_prop_vel_microstrip) - (_tl_dqs3_st_ch2_cs0*_prop_vel_stripline))/1000</definedName>
    <definedName function="false" hidden="false" name="_tl_clk_p3_mi_ch2_cs0" vbProcedure="false">'[1]Step2-BoardDetails'!$K$48</definedName>
    <definedName function="false" hidden="false" name="_tl_clk_p3_st_ch2_cs0" vbProcedure="false">'[1]Step2-BoardDetails'!$L$48</definedName>
    <definedName function="false" hidden="false" name="_tl_dqs3_mi_ch2_cs0" vbProcedure="false">'[1]Step2-BoardDetails'!$K$49</definedName>
    <definedName function="false" hidden="false" name="_tl_dqs3_st_ch2_cs0" vbProcedure="false">'[1]Step2-BoardDetails'!$L$49</definedName>
    <definedName function="false" hidden="false" name="_emif2_ext_phy_ctrl_10_val_vayu" vbProcedure="false">DEC2HEX(SUM(_rddqs_ratio3*2^16,_rddqs_ratio3),8)</definedName>
    <definedName function="false" hidden="false" name="_EMIF2_EXT_PHY_CTRL_11_VAL" vbProcedure="false">CHOOSE(MATCH(_soc_name,_soc_names,0),_emif2_ext_phy_ctrl_11_val_omap5,_emif2_ext_phy_ctrl_11_val_vayu,_emif2_ext_phy_ctrl_11_val_vayu,_emif2_ext_phy_ctrl_11_val_vayu)</definedName>
    <definedName function="false" hidden="false" name="_emif2_ext_phy_ctrl_11_val_omap5" vbProcedure="false">DEC2HEX(SUM(_wrdqs_ratio1_ch2_cs1*2^30,_wrdqs_ratio1_ch2_cs0*2^20,_wrdqs_ratio0_ch2_cs1*2^10,_wrdqs_ratio0_ch2_cs0)-(TRUNC(SUM(_wrdqs_ratio1_ch2_cs1*2^30,_wrdqs_ratio1_ch2_cs0*2^20,_wrdqs_ratio0_ch2_cs1*2^10,_wrdqs_ratio0_ch2_cs0)/2^32)*2^32),8)</definedName>
    <definedName function="false" hidden="false" name="_wrdqs_ratio1_ch2_cs1" vbProcedure="false">ROUND(((_t_dqss_brdskew_p1_ch2_cs1 + (_phy_invert_clk * 500000 / _ddr_pll_freq)) / _dll_res),0)</definedName>
    <definedName function="false" hidden="false" name="_t_dqss_brdskew_p1_ch2_cs1" vbProcedure="false">((_tl_clk_p1_mi_ch2_cs1*_prop_vel_microstrip) + (_tl_clk_p1_st_ch2_cs1*_prop_vel_stripline) - (_tl_dqs1_mi_ch2_cs1*_prop_vel_microstrip) - (_tl_dqs1_st_ch2_cs1*_prop_vel_stripline))/1000</definedName>
    <definedName function="false" hidden="false" name="_tl_clk_p1_mi_ch2_cs1" vbProcedure="false">'[1]Step2-BoardDetails'!$G$58</definedName>
    <definedName function="false" hidden="false" name="_tl_clk_p1_st_ch2_cs1" vbProcedure="false">'[1]Step2-BoardDetails'!$H$58</definedName>
    <definedName function="false" hidden="false" name="_tl_dqs1_mi_ch2_cs1" vbProcedure="false">'[1]Step2-BoardDetails'!$G$59</definedName>
    <definedName function="false" hidden="false" name="_tl_dqs1_st_ch2_cs1" vbProcedure="false">'[1]Step2-BoardDetails'!$H$59</definedName>
    <definedName function="false" hidden="false" name="_wrdqs_ratio1_ch2_cs0" vbProcedure="false">ROUND(((_t_dqss_brdskew_p1_ch2_cs0 + (_phy_invert_clk * 500000 / _ddr_pll_freq)) / _dll_res),0)</definedName>
    <definedName function="false" hidden="false" name="_t_dqss_brdskew_p1_ch2_cs0" vbProcedure="false">((_tl_clk_p1_mi_ch2_cs0*_prop_vel_microstrip) + (_tl_clk_p1_st_ch2_cs0*_prop_vel_stripline) - (_tl_dqs1_mi_ch2_cs0*_prop_vel_microstrip) - (_tl_dqs1_st_ch2_cs0*_prop_vel_stripline))/1000</definedName>
    <definedName function="false" hidden="false" name="_tl_clk_p1_mi_ch2_cs0" vbProcedure="false">'[1]Step2-BoardDetails'!$G$48</definedName>
    <definedName function="false" hidden="false" name="_tl_clk_p1_st_ch2_cs0" vbProcedure="false">'[1]Step2-BoardDetails'!$H$48</definedName>
    <definedName function="false" hidden="false" name="_tl_dqs1_mi_ch2_cs0" vbProcedure="false">'[1]Step2-BoardDetails'!$G$49</definedName>
    <definedName function="false" hidden="false" name="_tl_dqs1_st_ch2_cs0" vbProcedure="false">'[1]Step2-BoardDetails'!$H$49</definedName>
    <definedName function="false" hidden="false" name="_wrdqs_ratio0_ch2_cs1" vbProcedure="false">ROUND(((_t_dqss_brdskew_p0_ch2_cs1 + (_phy_invert_clk * 500000 / _ddr_pll_freq)) / _dll_res),0)</definedName>
    <definedName function="false" hidden="false" name="_t_dqss_brdskew_p0_ch2_cs1" vbProcedure="false">((_tl_clk_p0_mi_ch2_cs1*_prop_vel_microstrip) + (_tl_clk_p0_st_ch2_cs1*_prop_vel_stripline) - (_tl_dqs0_mi_ch2_cs1*_prop_vel_microstrip) - (_tl_dqs0_st_ch2_cs1*_prop_vel_stripline))/1000</definedName>
    <definedName function="false" hidden="false" name="_tl_clk_p0_mi_ch2_cs1" vbProcedure="false">'[1]Step2-BoardDetails'!$E$58</definedName>
    <definedName function="false" hidden="false" name="_tl_clk_p0_st_ch2_cs1" vbProcedure="false">'[1]Step2-BoardDetails'!$F$58</definedName>
    <definedName function="false" hidden="false" name="_tl_dqs0_mi_ch2_cs1" vbProcedure="false">'[1]Step2-BoardDetails'!$E$59</definedName>
    <definedName function="false" hidden="false" name="_tl_dqs0_st_ch2_cs1" vbProcedure="false">'[1]Step2-BoardDetails'!$F$59</definedName>
    <definedName function="false" hidden="false" name="_wrdqs_ratio0_ch2_cs0" vbProcedure="false">ROUND(((_t_dqss_brdskew_p0_ch2_cs0 + (_phy_invert_clk * 500000 / _ddr_pll_freq)) / _dll_res),0)</definedName>
    <definedName function="false" hidden="false" name="_t_dqss_brdskew_p0_ch2_cs0" vbProcedure="false">((_tl_clk_p0_mi_ch2_cs0*_prop_vel_microstrip) + (_tl_clk_p0_st_ch2_cs0*_prop_vel_stripline) - (_tl_dqs0_mi_ch2_cs0*_prop_vel_microstrip) - (_tl_dqs0_st_ch2_cs0*_prop_vel_stripline))/1000</definedName>
    <definedName function="false" hidden="false" name="_tl_clk_p0_mi_ch2_cs0" vbProcedure="false">'[1]Step2-BoardDetails'!$E$48</definedName>
    <definedName function="false" hidden="false" name="_tl_clk_p0_st_ch2_cs0" vbProcedure="false">'[1]Step2-BoardDetails'!$F$48</definedName>
    <definedName function="false" hidden="false" name="_tl_dqs0_mi_ch2_cs0" vbProcedure="false">'[1]Step2-BoardDetails'!$E$49</definedName>
    <definedName function="false" hidden="false" name="_tl_dqs0_st_ch2_cs0" vbProcedure="false">'[1]Step2-BoardDetails'!$F$49</definedName>
    <definedName function="false" hidden="false" name="_emif2_ext_phy_ctrl_11_val_vayu" vbProcedure="false">DEC2HEX(SUM(_rddqs_ratio4*2^16,_rddqs_ratio4),8)</definedName>
    <definedName function="false" hidden="false" name="_EMIF2_EXT_PHY_CTRL_12_VAL" vbProcedure="false">CHOOSE(MATCH(_soc_name,_soc_names,0),_emif2_ext_phy_ctrl_12_val_omap5,_emif2_ext_phy_ctrl_12_val_vayu,_emif2_ext_phy_ctrl_12_val_vayu,_emif2_ext_phy_ctrl_12_val_vayu)</definedName>
    <definedName function="false" hidden="false" name="_emif2_ext_phy_ctrl_12_val_omap5" vbProcedure="false">DEC2HEX(TRUNC(SUM(_wrdqs_ratio3_ch2_cs0*2^30,_wrdqs_ratio2_ch2_cs1*2^20,_wrdqs_ratio2_ch2_cs0*2^10,_wrdqs_ratio1_ch2_cs1)/2^2)-(TRUNC(SUM(_wrdqs_ratio3_ch2_cs0*2^30,_wrdqs_ratio2_ch2_cs1*2^20,_wrdqs_ratio2_ch2_cs0*2^10,_wrdqs_ratio1_ch2_cs1)/2^34)*2^32),8)</definedName>
    <definedName function="false" hidden="false" name="_wrdqs_ratio2_ch2_cs1" vbProcedure="false">ROUND(((_t_dqss_brdskew_p2_ch2_cs1 + (_phy_invert_clk * 500000 / _ddr_pll_freq)) / _dll_res),0)</definedName>
    <definedName function="false" hidden="false" name="_t_dqss_brdskew_p2_ch2_cs1" vbProcedure="false">((_tl_clk_p2_mi_ch2_cs1*_prop_vel_microstrip) + (_tl_clk_p2_st_ch2_cs1*_prop_vel_stripline) - (_tl_dqs2_mi_ch2_cs1*_prop_vel_microstrip) - (_tl_dqs2_st_ch2_cs1*_prop_vel_stripline))/1000</definedName>
    <definedName function="false" hidden="false" name="_tl_clk_p2_mi_ch2_cs1" vbProcedure="false">'[1]Step2-BoardDetails'!$I$58</definedName>
    <definedName function="false" hidden="false" name="_tl_clk_p2_st_ch2_cs1" vbProcedure="false">'[1]Step2-BoardDetails'!$J$58</definedName>
    <definedName function="false" hidden="false" name="_tl_dqs2_mi_ch2_cs1" vbProcedure="false">'[1]Step2-BoardDetails'!$I$59</definedName>
    <definedName function="false" hidden="false" name="_tl_dqs2_st_ch2_cs1" vbProcedure="false">'[1]Step2-BoardDetails'!$J$59</definedName>
    <definedName function="false" hidden="false" name="_wrdqs_ratio2_ch2_cs0" vbProcedure="false">ROUND(((_t_dqss_brdskew_p2_ch2_cs0 + (_phy_invert_clk * 500000 / _ddr_pll_freq)) / _dll_res),0)</definedName>
    <definedName function="false" hidden="false" name="_t_dqss_brdskew_p2_ch2_cs0" vbProcedure="false">((_tl_clk_p2_mi_ch2_cs0*_prop_vel_microstrip) + (_tl_clk_p2_st_ch2_cs0*_prop_vel_stripline) - (_tl_dqs2_mi_ch2_cs0*_prop_vel_microstrip) - (_tl_dqs2_st_ch2_cs0*_prop_vel_stripline))/1000</definedName>
    <definedName function="false" hidden="false" name="_tl_clk_p2_mi_ch2_cs0" vbProcedure="false">'[1]Step2-BoardDetails'!$I$48</definedName>
    <definedName function="false" hidden="false" name="_tl_clk_p2_st_ch2_cs0" vbProcedure="false">'[1]Step2-BoardDetails'!$J$48</definedName>
    <definedName function="false" hidden="false" name="_tl_dqs2_mi_ch2_cs0" vbProcedure="false">'[1]Step2-BoardDetails'!$I$49</definedName>
    <definedName function="false" hidden="false" name="_tl_dqs2_st_ch2_cs0" vbProcedure="false">'[1]Step2-BoardDetails'!$J$49</definedName>
    <definedName function="false" hidden="false" name="_emif2_ext_phy_ctrl_12_val_vayu" vbProcedure="false">DEC2HEX(SUM(_wrdata_ratio0_ch2_cs1*2^16,_wrdata_ratio0_ch2_cs0),8)</definedName>
    <definedName function="false" hidden="false" name="_wrdata_ratio0_ch2_cs1" vbProcedure="false">_wrdqs_ratio0_ch2_cs1 + ROUND((250000 / _ddr_pll_freq / _dll_res),0)</definedName>
    <definedName function="false" hidden="false" name="_wrdata_ratio0_ch2_cs0" vbProcedure="false">_wrdqs_ratio0_ch2_cs0 + ROUND((250000 / _ddr_pll_freq / _dll_res),0)</definedName>
    <definedName function="false" hidden="false" name="_EMIF2_EXT_PHY_CTRL_13_VAL" vbProcedure="false">CHOOSE(MATCH(_soc_name,_soc_names,0),_emif2_ext_phy_ctrl_13_val_omap5,_emif2_ext_phy_ctrl_13_val_vayu,_emif2_ext_phy_ctrl_13_val_vayu,_emif2_ext_phy_ctrl_13_val_vayu)</definedName>
    <definedName function="false" hidden="false" name="_emif2_ext_phy_ctrl_13_val_omap5" vbProcedure="false">DEC2HEX(TRUNC(SUM(_wrdqs_ratio3_ch2_cs1*2^10,_wrdqs_ratio3_ch2_cs0)/2^4)-(TRUNC(SUM(_wrdqs_ratio3_ch2_cs1*2^10,_wrdqs_ratio3_ch2_cs0)/2^36)*2^32),8)</definedName>
    <definedName function="false" hidden="false" name="_emif2_ext_phy_ctrl_13_val_vayu" vbProcedure="false">DEC2HEX(SUM(_wrdata_ratio1_ch2_cs1*2^16,_wrdata_ratio1_ch2_cs0),8)</definedName>
    <definedName function="false" hidden="false" name="_wrdata_ratio1_ch2_cs1" vbProcedure="false">_wrdqs_ratio1_ch2_cs1 + ROUND((250000 / _ddr_pll_freq / _dll_res),0)</definedName>
    <definedName function="false" hidden="false" name="_wrdata_ratio1_ch2_cs0" vbProcedure="false">_wrdqs_ratio1_ch2_cs0 + ROUND((250000 / _ddr_pll_freq / _dll_res),0)</definedName>
    <definedName function="false" hidden="false" name="_EMIF2_EXT_PHY_CTRL_14_VAL" vbProcedure="false">CHOOSE(MATCH(_soc_name,_soc_names,0),_emif2_ext_phy_ctrl_14_val_omap5,_emif2_ext_phy_ctrl_14_val_vayu,_emif2_ext_phy_ctrl_14_val_vayu,_emif2_ext_phy_ctrl_14_val_vayu)</definedName>
    <definedName function="false" hidden="false" name="_emif2_ext_phy_ctrl_14_val_omap5" vbProcedure="false">DEC2HEX(SUM(_phy_rddqs_delay*2^24,_phy_fifowe_delay*2^12,_phy_ctrl_delay)-(TRUNC(SUM(_phy_rddqs_delay*2^24,_phy_fifowe_delay*2^12,_phy_ctrl_delay)/2^32)*2^32),8)</definedName>
    <definedName function="false" hidden="false" name="_emif2_ext_phy_ctrl_14_val_vayu" vbProcedure="false">DEC2HEX(SUM(_wrdata_ratio2_ch2_cs1*2^16,_wrdata_ratio2_ch2_cs0),8)</definedName>
    <definedName function="false" hidden="false" name="_wrdata_ratio2_ch2_cs1" vbProcedure="false">_wrdqs_ratio2_ch2_cs1 + ROUND((250000 / _ddr_pll_freq / _dll_res),0)</definedName>
    <definedName function="false" hidden="false" name="_wrdata_ratio2_ch2_cs0" vbProcedure="false">_wrdqs_ratio2_ch2_cs0 + ROUND((250000 / _ddr_pll_freq / _dll_res),0)</definedName>
    <definedName function="false" hidden="false" name="_EMIF2_EXT_PHY_CTRL_15_VAL" vbProcedure="false">CHOOSE(MATCH(_soc_name,_soc_names,0),_emif2_ext_phy_ctrl_15_val_omap5,_emif2_ext_phy_ctrl_15_val_vayu,_emif2_ext_phy_ctrl_15_val_vayu,_emif2_ext_phy_ctrl_15_val_vayu)</definedName>
    <definedName function="false" hidden="false" name="_emif2_ext_phy_ctrl_15_val_omap5" vbProcedure="false">DEC2HEX(TRUNC(SUM(_phy_wrdata_delay*2^24,_phy_wrdqs_delay*2^12,_phy_rddqs_delay)/2^8),8)</definedName>
    <definedName function="false" hidden="false" name="_emif2_ext_phy_ctrl_15_val_vayu" vbProcedure="false">DEC2HEX(SUM(_wrdata_ratio3_ch2_cs1*2^16,_wrdata_ratio3_ch2_cs0),8)</definedName>
    <definedName function="false" hidden="false" name="_EMIF2_EXT_PHY_CTRL_16_VAL" vbProcedure="false">CHOOSE(MATCH(_soc_name,_soc_names,0),_emif2_ext_phy_ctrl_16_val_omap5,_emif2_ext_phy_ctrl_16_val_vayu,_emif2_ext_phy_ctrl_16_val_vayu,_emif2_ext_phy_ctrl_16_val_vayu)</definedName>
    <definedName function="false" hidden="false" name="_emif2_ext_phy_ctrl_16_val_omap5" vbProcedure="false">DEC2HEX(SUM(_phy_dq_offset3*2^21,_phy_dq_offset2*2^14,_phy_dq_offset1*2^7,_phy_dq_offset0),8)</definedName>
    <definedName function="false" hidden="false" name="_emif2_ext_phy_ctrl_16_val_vayu" vbProcedure="false">DEC2HEX(SUM(_wrdata_ratio4_ch2_cs1*2^16,_wrdata_ratio4_ch2_cs0),8)</definedName>
    <definedName function="false" hidden="false" name="_wrdata_ratio4_ch2_cs1" vbProcedure="false">_wrdqs_ratio4_ch2_cs1 + ROUND((250000 / _ddr_pll_freq / _dll_res),0)</definedName>
    <definedName function="false" hidden="false" name="_wrdqs_ratio4_ch2_cs1" vbProcedure="false">ROUND(((_t_dqss_brdskew_p4_ch2_cs1 + (_phy_invert_clk * 500000 / _ddr_pll_freq)) / _dll_res),0)</definedName>
    <definedName function="false" hidden="false" name="_t_dqss_brdskew_p4_ch2_cs1" vbProcedure="false">((_tl_clk_p4_mi_ch2_cs1*_prop_vel_microstrip) + (_tl_clk_p4_st_ch2_cs1*_prop_vel_stripline) - (_tl_dqs4_mi_ch2_cs1*_prop_vel_microstrip) - (_tl_dqs4_st_ch2_cs1*_prop_vel_stripline))/1000</definedName>
    <definedName function="false" hidden="false" name="_tl_clk_p4_mi_ch2_cs1" vbProcedure="false">'[1]Step2-BoardDetails'!$M$58</definedName>
    <definedName function="false" hidden="false" name="_tl_clk_p4_st_ch2_cs1" vbProcedure="false">'[1]Step2-BoardDetails'!$N$58</definedName>
    <definedName function="false" hidden="false" name="_tl_dqs4_mi_ch2_cs1" vbProcedure="false">'[1]Step2-BoardDetails'!$M$59</definedName>
    <definedName function="false" hidden="false" name="_tl_dqs4_st_ch2_cs1" vbProcedure="false">'[1]Step2-BoardDetails'!$N$59</definedName>
    <definedName function="false" hidden="false" name="_wrdata_ratio4_ch2_cs0" vbProcedure="false">_wrdqs_ratio4_ch2_cs0 + ROUND((250000 / _ddr_pll_freq / _dll_res),0)</definedName>
    <definedName function="false" hidden="false" name="_wrdqs_ratio4_ch2_cs0" vbProcedure="false">ROUND(((_t_dqss_brdskew_p4_ch2_cs0 + (_phy_invert_clk * 500000 / _ddr_pll_freq)) / _dll_res),0)</definedName>
    <definedName function="false" hidden="false" name="_t_dqss_brdskew_p4_ch2_cs0" vbProcedure="false">((_tl_clk_p4_mi_ch2_cs0*_prop_vel_microstrip) + (_tl_clk_p4_st_ch2_cs0*_prop_vel_stripline) - (_tl_dqs4_mi_ch2_cs0*_prop_vel_microstrip) - (_tl_dqs4_st_ch2_cs0*_prop_vel_stripline))/1000</definedName>
    <definedName function="false" hidden="false" name="_tl_clk_p4_mi_ch2_cs0" vbProcedure="false">'[1]Step2-BoardDetails'!$M$48</definedName>
    <definedName function="false" hidden="false" name="_tl_clk_p4_st_ch2_cs0" vbProcedure="false">'[1]Step2-BoardDetails'!$N$48</definedName>
    <definedName function="false" hidden="false" name="_tl_dqs4_mi_ch2_cs0" vbProcedure="false">'[1]Step2-BoardDetails'!$M$49</definedName>
    <definedName function="false" hidden="false" name="_tl_dqs4_st_ch2_cs0" vbProcedure="false">'[1]Step2-BoardDetails'!$N$49</definedName>
    <definedName function="false" hidden="false" name="_EMIF2_EXT_PHY_CTRL_17_VAL" vbProcedure="false">CHOOSE(MATCH(_soc_name,_soc_names,0),_emif2_ext_phy_ctrl_17_val_omap5,_emif2_ext_phy_ctrl_17_val_vayu,_emif2_ext_phy_ctrl_17_val_vayu,_emif2_ext_phy_ctrl_17_val_vayu)</definedName>
    <definedName function="false" hidden="false" name="_emif2_ext_phy_ctrl_17_val_omap5" vbProcedure="false">DEC2HEX(SUM(_phy_gatelvl_init_mode*2^1,_phy_use_rank0_delays),8)</definedName>
    <definedName function="false" hidden="false" name="_emif2_ext_phy_ctrl_17_val_vayu" vbProcedure="false">DEC2HEX(SUM(_wrdqs_ratio0_ch2_cs1*2^16,_wrdqs_ratio0_ch2_cs0),8)</definedName>
    <definedName function="false" hidden="false" name="_EMIF2_EXT_PHY_CTRL_18_VAL" vbProcedure="false">CHOOSE(MATCH(_soc_name,_soc_names,0),_emif2_ext_phy_ctrl_18_val_omap5,_emif2_ext_phy_ctrl_18_val_vayu,_emif2_ext_phy_ctrl_18_val_vayu,_emif2_ext_phy_ctrl_18_val_vayu)</definedName>
    <definedName function="false" hidden="false" name="_emif2_ext_phy_ctrl_18_val_omap5" vbProcedure="false">DEC2HEX(SUM(_fifowe_init1_ch2_cs0*2^22,_fifowe_init0_ch2_cs1*2^11,_fifowe_init0_ch2_cs0)-(TRUNC(SUM(_fifowe_init1_ch2_cs0*2^22,_fifowe_init0_ch2_cs1*2^11,_fifowe_init0_ch2_cs0)/2^32)*2^32),8)</definedName>
    <definedName function="false" hidden="false" name="_fifowe_init1_ch2_cs0" vbProcedure="false">_fifowe_ratio1_ch2_cs0 - ROUND((125000 / _ddr_pll_freq / _dll_res),0)</definedName>
    <definedName function="false" hidden="false" name="_fifowe_ratio1_ch2_cs0" vbProcedure="false">ROUND(IF(_sdram_type="LPDDR2",4000/_dll_res,((_t_rdtrip_brddly_p1_ch2_cs0 + (333333 / _ddr_pll_freq) + (_phy_invert_clk * 500000 / _ddr_pll_freq)) / _dll_res)),0)</definedName>
    <definedName function="false" hidden="false" name="_t_rdtrip_brddly_p1_ch2_cs0" vbProcedure="false">((_tl_clk_p1_mi_ch2_cs0*_prop_vel_microstrip) + (_tl_clk_p1_st_ch2_cs0*_prop_vel_stripline) + (_tl_dqs1_mi_ch2_cs0*_prop_vel_microstrip) + (_tl_dqs1_st_ch2_cs0*_prop_vel_stripline))/1000</definedName>
    <definedName function="false" hidden="false" name="_fifowe_init0_ch2_cs1" vbProcedure="false">_fifowe_ratio0_ch2_cs1 - ROUND((125000 / _ddr_pll_freq / _dll_res),0)</definedName>
    <definedName function="false" hidden="false" name="_fifowe_ratio0_ch2_cs1" vbProcedure="false">ROUND(IF(_sdram_type="LPDDR2",4000/_dll_res,((_t_rdtrip_brddly_p0_ch2_cs1 + (333333 / _ddr_pll_freq) + (_phy_invert_clk * 500000 / _ddr_pll_freq)) / _dll_res)),0)</definedName>
    <definedName function="false" hidden="false" name="_t_rdtrip_brddly_p0_ch2_cs1" vbProcedure="false">((_tl_clk_p0_mi_ch2_cs1*_prop_vel_microstrip) + (_tl_clk_p0_st_ch2_cs1*_prop_vel_stripline) + (_tl_dqs0_mi_ch2_cs1*_prop_vel_microstrip) + (_tl_dqs0_st_ch2_cs1*_prop_vel_stripline))/1000</definedName>
    <definedName function="false" hidden="false" name="_fifowe_init0_ch2_cs0" vbProcedure="false">_fifowe_ratio0_ch2_cs0 - ROUND((125000 / _ddr_pll_freq / _dll_res),0)</definedName>
    <definedName function="false" hidden="false" name="_fifowe_ratio0_ch2_cs0" vbProcedure="false">ROUND(IF(_sdram_type="LPDDR2",4000/_dll_res,((_t_rdtrip_brddly_p0_ch2_cs0 + (333333 / _ddr_pll_freq) + (_phy_invert_clk * 500000 / _ddr_pll_freq)) / _dll_res)),0)</definedName>
    <definedName function="false" hidden="false" name="_t_rdtrip_brddly_p0_ch2_cs0" vbProcedure="false">((_tl_clk_p0_mi_ch2_cs0*_prop_vel_microstrip) + (_tl_clk_p0_st_ch2_cs0*_prop_vel_stripline) + (_tl_dqs0_mi_ch2_cs0*_prop_vel_microstrip) + (_tl_dqs0_st_ch2_cs0*_prop_vel_stripline))/1000</definedName>
    <definedName function="false" hidden="false" name="_emif2_ext_phy_ctrl_18_val_vayu" vbProcedure="false">DEC2HEX(SUM(_wrdqs_ratio1_ch2_cs1*2^16,_wrdqs_ratio1_ch2_cs0),8)</definedName>
    <definedName function="false" hidden="false" name="_EMIF2_EXT_PHY_CTRL_19_VAL" vbProcedure="false">CHOOSE(MATCH(_soc_name,_soc_names,0),_emif2_ext_phy_ctrl_19_val_omap5,_emif2_ext_phy_ctrl_19_val_vayu,_emif2_ext_phy_ctrl_19_val_vayu,_emif2_ext_phy_ctrl_19_val_vayu)</definedName>
    <definedName function="false" hidden="false" name="_emif2_ext_phy_ctrl_19_val_omap5" vbProcedure="false">DEC2HEX(TRUNC(SUM(_fifowe_init2_ch2_cs1*2^33,_fifowe_init2_ch2_cs0*2^22,_fifowe_init1_ch2_cs1*2^11,_fifowe_init1_ch2_cs0)/2^10)-(TRUNC(SUM(_fifowe_init2_ch2_cs1*2^33,_fifowe_init2_ch2_cs0*2^22,_fifowe_init1_ch2_cs1*2^11,_fifowe_init1_ch2_cs0)/2^42)*2^32),8)</definedName>
    <definedName function="false" hidden="false" name="_fifowe_init2_ch2_cs1" vbProcedure="false">_fifowe_ratio2_ch2_cs1 - ROUND((125000 / _ddr_pll_freq / _dll_res),0)</definedName>
    <definedName function="false" hidden="false" name="_fifowe_ratio2_ch2_cs1" vbProcedure="false">ROUND(IF(_sdram_type="LPDDR2",4000/_dll_res,((_t_rdtrip_brddly_p2_ch2_cs1 + (333333 / _ddr_pll_freq) + (_phy_invert_clk * 500000 / _ddr_pll_freq)) / _dll_res)),0)</definedName>
    <definedName function="false" hidden="false" name="_t_rdtrip_brddly_p2_ch2_cs1" vbProcedure="false">((_tl_clk_p2_mi_ch2_cs1*_prop_vel_microstrip) + (_tl_clk_p2_st_ch2_cs1*_prop_vel_stripline) + (_tl_dqs2_mi_ch2_cs1*_prop_vel_microstrip) + (_tl_dqs2_st_ch2_cs1*_prop_vel_stripline))/1000</definedName>
    <definedName function="false" hidden="false" name="_fifowe_init2_ch2_cs0" vbProcedure="false">_fifowe_ratio2_ch2_cs0 - ROUND((125000 / _ddr_pll_freq / _dll_res),0)</definedName>
    <definedName function="false" hidden="false" name="_fifowe_ratio2_ch2_cs0" vbProcedure="false">ROUND(IF(_sdram_type="LPDDR2",4000/_dll_res,((_t_rdtrip_brddly_p2_ch2_cs0 + (333333 / _ddr_pll_freq) + (_phy_invert_clk * 500000 / _ddr_pll_freq)) / _dll_res)),0)</definedName>
    <definedName function="false" hidden="false" name="_t_rdtrip_brddly_p2_ch2_cs0" vbProcedure="false">((_tl_clk_p2_mi_ch2_cs0*_prop_vel_microstrip) + (_tl_clk_p2_st_ch2_cs0*_prop_vel_stripline) + (_tl_dqs2_mi_ch2_cs0*_prop_vel_microstrip) + (_tl_dqs2_st_ch2_cs0*_prop_vel_stripline))/1000</definedName>
    <definedName function="false" hidden="false" name="_fifowe_init1_ch2_cs1" vbProcedure="false">_fifowe_ratio1_ch2_cs1 - ROUND((125000 / _ddr_pll_freq / _dll_res),0)</definedName>
    <definedName function="false" hidden="false" name="_fifowe_ratio1_ch2_cs1" vbProcedure="false">ROUND(IF(_sdram_type="LPDDR2",4000/_dll_res,((_t_rdtrip_brddly_p1_ch2_cs1 + (333333 / _ddr_pll_freq) + (_phy_invert_clk * 500000 / _ddr_pll_freq)) / _dll_res)),0)</definedName>
    <definedName function="false" hidden="false" name="_t_rdtrip_brddly_p1_ch2_cs1" vbProcedure="false">((_tl_clk_p1_mi_ch2_cs1*_prop_vel_microstrip) + (_tl_clk_p1_st_ch2_cs1*_prop_vel_stripline) + (_tl_dqs1_mi_ch2_cs1*_prop_vel_microstrip) + (_tl_dqs1_st_ch2_cs1*_prop_vel_stripline))/1000</definedName>
    <definedName function="false" hidden="false" name="_emif2_ext_phy_ctrl_19_val_vayu" vbProcedure="false">DEC2HEX(SUM(_wrdqs_ratio2_ch2_cs1*2^16,_wrdqs_ratio2_ch2_cs0),8)</definedName>
    <definedName function="false" hidden="false" name="_EMIF2_EXT_PHY_CTRL_1_VAL" vbProcedure="false">CHOOSE(MATCH(_soc_name,_soc_names,0),_emif2_ext_phy_ctrl_1_val_omap5,_emif2_ext_phy_ctrl_1_val_vayu,_emif2_ext_phy_ctrl_1_val_vayu,_emif2_ext_phy_ctrl_1_val_vayu)</definedName>
    <definedName function="false" hidden="false" name="_emif2_ext_phy_ctrl_1_val_omap5" vbProcedure="false">DEC2HEX(SUM(_ctrl_ratio2*2^20,_ctrl_ratio1*2^10,_ctrl_ratio0),8)</definedName>
    <definedName function="false" hidden="false" name="_emif2_ext_phy_ctrl_1_val_vayu" vbProcedure="false">DEC2HEX(SUM(_ctrl_ratio2*2^20,_ctrl_ratio1*2^10,_ctrl_ratio0),8)</definedName>
    <definedName function="false" hidden="false" name="_EMIF2_EXT_PHY_CTRL_20_VAL" vbProcedure="false">CHOOSE(MATCH(_soc_name,_soc_names,0),_emif2_ext_phy_ctrl_20_val_omap5,_emif2_ext_phy_ctrl_20_val_vayu,_emif2_ext_phy_ctrl_20_val_vayu,_emif2_ext_phy_ctrl_20_val_vayu)</definedName>
    <definedName function="false" hidden="false" name="_emif2_ext_phy_ctrl_20_val_omap5" vbProcedure="false">DEC2HEX(TRUNC(SUM(_fifowe_init3_ch2_cs1*2^22,_fifowe_init3_ch2_cs0*2^11,_fifowe_init2_ch2_cs1)/2^9)-(TRUNC(SUM(_fifowe_init3_ch2_cs1*2^22,_fifowe_init3_ch2_cs0*2^11,_fifowe_init2_ch2_cs1)/2^41)*2^32),8)</definedName>
    <definedName function="false" hidden="false" name="_fifowe_init3_ch2_cs1" vbProcedure="false">_fifowe_ratio3_ch2_cs1 - ROUND((125000 / _ddr_pll_freq / _dll_res),0)</definedName>
    <definedName function="false" hidden="false" name="_fifowe_ratio3_ch2_cs1" vbProcedure="false">ROUND(IF(_sdram_type="LPDDR2",4000/_dll_res,((_t_rdtrip_brddly_p3_ch2_cs1 + (333333 / _ddr_pll_freq) + (_phy_invert_clk * 500000 / _ddr_pll_freq)) / _dll_res)),0)</definedName>
    <definedName function="false" hidden="false" name="_t_rdtrip_brddly_p3_ch2_cs1" vbProcedure="false">((_tl_clk_p3_mi_ch2_cs1*_prop_vel_microstrip) + (_tl_clk_p3_st_ch2_cs1*_prop_vel_stripline) + (_tl_dqs3_mi_ch2_cs1*_prop_vel_microstrip) + (_tl_dqs3_st_ch2_cs1*_prop_vel_stripline))/1000</definedName>
    <definedName function="false" hidden="false" name="_fifowe_init3_ch2_cs0" vbProcedure="false">_fifowe_ratio3_ch2_cs0 - ROUND((125000 / _ddr_pll_freq / _dll_res),0)</definedName>
    <definedName function="false" hidden="false" name="_fifowe_ratio3_ch2_cs0" vbProcedure="false">ROUND(IF(_sdram_type="LPDDR2",4000/_dll_res,((_t_rdtrip_brddly_p3_ch2_cs0 + (333333 / _ddr_pll_freq) + (_phy_invert_clk * 500000 / _ddr_pll_freq)) / _dll_res)),0)</definedName>
    <definedName function="false" hidden="false" name="_t_rdtrip_brddly_p3_ch2_cs0" vbProcedure="false">((_tl_clk_p3_mi_ch2_cs0*_prop_vel_microstrip) + (_tl_clk_p3_st_ch2_cs0*_prop_vel_stripline) + (_tl_dqs3_mi_ch2_cs0*_prop_vel_microstrip) + (_tl_dqs3_st_ch2_cs0*_prop_vel_stripline))/1000</definedName>
    <definedName function="false" hidden="false" name="_emif2_ext_phy_ctrl_20_val_vayu" vbProcedure="false">DEC2HEX(SUM(_wrdqs_ratio3_ch2_cs1*2^16,_wrdqs_ratio3_ch2_cs0),8)</definedName>
    <definedName function="false" hidden="false" name="_EMIF2_EXT_PHY_CTRL_21_VAL" vbProcedure="false">CHOOSE(MATCH(_soc_name,_soc_names,0),_emif2_ext_phy_ctrl_21_val_omap5,_emif2_ext_phy_ctrl_21_val_vayu,_emif2_ext_phy_ctrl_21_val_vayu,_emif2_ext_phy_ctrl_21_val_vayu)</definedName>
    <definedName function="false" hidden="false" name="_emif2_ext_phy_ctrl_21_val_omap5" vbProcedure="false">DEC2HEX(SUM(_wrdqs_init1_ch2_cs1*2^30,_wrdqs_init1_ch2_cs0*2^20,_wrdqs_init0_ch2_cs1*2^10,_wrdqs_init0_ch2_cs0)-(TRUNC(SUM(_wrdqs_init1_ch2_cs1*2^30,_wrdqs_init1_ch2_cs0*2^20,_wrdqs_init0_ch2_cs1*2^10,_wrdqs_init0_ch2_cs0)/2^32)*2^32),8)</definedName>
    <definedName function="false" hidden="false" name="_wrdqs_init1_ch2_cs1" vbProcedure="false">MAX(_wrdqs_ratio1_ch2_cs1 - ROUND((125000 / _ddr_pll_freq / _dll_res),0),0)</definedName>
    <definedName function="false" hidden="false" name="_wrdqs_init1_ch2_cs0" vbProcedure="false">MAX(_wrdqs_ratio1_ch2_cs0 - ROUND((125000 / _ddr_pll_freq / _dll_res),0),0)</definedName>
    <definedName function="false" hidden="false" name="_wrdqs_init0_ch2_cs1" vbProcedure="false">MAX(_wrdqs_ratio0_ch2_cs1 - ROUND((125000 / _ddr_pll_freq / _dll_res),0),0)</definedName>
    <definedName function="false" hidden="false" name="_wrdqs_init0_ch2_cs0" vbProcedure="false">MAX(_wrdqs_ratio0_ch2_cs0 - ROUND((125000 / _ddr_pll_freq / _dll_res),0),0)</definedName>
    <definedName function="false" hidden="false" name="_emif2_ext_phy_ctrl_21_val_vayu" vbProcedure="false">DEC2HEX(SUM(_wrdqs_ratio4_ch2_cs1*2^16,_wrdqs_ratio4_ch2_cs0),8)</definedName>
    <definedName function="false" hidden="false" name="_EMIF2_EXT_PHY_CTRL_22_VAL" vbProcedure="false">CHOOSE(MATCH(_soc_name,_soc_names,0),_emif2_ext_phy_ctrl_22_val_omap5,_emif2_ext_phy_ctrl_22_val_vayu,_emif2_ext_phy_ctrl_22_val_vayu,_emif2_ext_phy_ctrl_22_val_vayu)</definedName>
    <definedName function="false" hidden="false" name="_emif2_ext_phy_ctrl_22_val_omap5" vbProcedure="false">DEC2HEX(TRUNC(SUM(_wrdqs_init3_ch2_cs0*2^30,_wrdqs_init2_ch2_cs1*2^20,_wrdqs_init2_ch2_cs0*2^10,_wrdqs_init1_ch2_cs1)/2^2)-(TRUNC(SUM(_wrdqs_init3_ch2_cs0*2^30,_wrdqs_init2_ch2_cs1*2^20,_wrdqs_init2_ch2_cs0*2^10,_wrdqs_init1_ch2_cs1)/2^34)*2^32),8)</definedName>
    <definedName function="false" hidden="false" name="_wrdqs_init3_ch2_cs0" vbProcedure="false">MAX(_wrdqs_ratio3_ch2_cs0 - ROUND((125000 / _ddr_pll_freq / _dll_res),0),0)</definedName>
    <definedName function="false" hidden="false" name="_wrdqs_init2_ch2_cs1" vbProcedure="false">MAX(_wrdqs_ratio2_ch2_cs1 - ROUND((125000 / _ddr_pll_freq / _dll_res),0),0)</definedName>
    <definedName function="false" hidden="false" name="_wrdqs_init2_ch2_cs0" vbProcedure="false">MAX(_wrdqs_ratio2_ch2_cs0 - ROUND((125000 / _ddr_pll_freq / _dll_res),0),0)</definedName>
    <definedName function="false" hidden="false" name="_emif2_ext_phy_ctrl_22_val_vayu" vbProcedure="false">DEC2HEX(SUM(_phy_fifowe_delay*2^16,_phy_ctrl_delay),8)</definedName>
    <definedName function="false" hidden="false" name="_EMIF2_EXT_PHY_CTRL_23_VAL" vbProcedure="false">CHOOSE(MATCH(_soc_name,_soc_names,0),_emif2_ext_phy_ctrl_23_val_omap5,_emif2_ext_phy_ctrl_23_val_vayu,_emif2_ext_phy_ctrl_23_val_vayu,_emif2_ext_phy_ctrl_23_val_vayu)</definedName>
    <definedName function="false" hidden="false" name="_emif2_ext_phy_ctrl_23_val_omap5" vbProcedure="false">DEC2HEX(TRUNC(SUM(_wrdqs_init3_ch2_cs1*2^10,_wrdqs_init3_ch2_cs0)/2^4)-(TRUNC(SUM(_wrdqs_init3_ch2_cs1*2^10,_wrdqs_init3_ch2_cs0)/2^36)*2^32),8)</definedName>
    <definedName function="false" hidden="false" name="_wrdqs_init3_ch2_cs1" vbProcedure="false">MAX(_wrdqs_ratio3_ch2_cs1 - ROUND((125000 / _ddr_pll_freq / _dll_res),0),0)</definedName>
    <definedName function="false" hidden="false" name="_emif2_ext_phy_ctrl_23_val_vayu" vbProcedure="false">DEC2HEX(SUM(_phy_wrdqs_delay*2^16,_phy_rddqs_delay),8)</definedName>
    <definedName function="false" hidden="false" name="_EMIF2_EXT_PHY_CTRL_24_VAL" vbProcedure="false">CHOOSE(MATCH(_soc_name,_soc_names,0),_emif2_ext_phy_ctrl_24_val_omap5,_emif2_ext_phy_ctrl_24_val_vayu,_emif2_ext_phy_ctrl_24_val_vayu,_emif2_ext_phy_ctrl_24_val_vayu)</definedName>
    <definedName function="false" hidden="false" name="_emif2_ext_phy_ctrl_24_val_omap5" vbProcedure="false">DEC2HEX(SUM(_phy_wrlvl_num_dq0*2^4,_phy_gatelvl_num_dq0),8)</definedName>
    <definedName function="false" hidden="false" name="_emif2_ext_phy_ctrl_24_val_vayu" vbProcedure="false">DEC2HEX(SUM(_phy_dq_offset4*2^24,_phy_gatelvl_init_mode*2^16,_phy_use_rank0_delays*2^12,_phy_wrdata_delay),8)</definedName>
    <definedName function="false" hidden="false" name="_EMIF2_EXT_PHY_CTRL_25_VAL" vbProcedure="false">DEC2HEX(SUM(_phy_dq_offset3*2^21,_phy_dq_offset2*2^14,_phy_dq_offset1*2^7,_phy_dq_offset0),8)</definedName>
    <definedName function="false" hidden="false" name="_EMIF2_EXT_PHY_CTRL_26_VAL" vbProcedure="false">DEC2HEX(SUM(_fifowe_init0_ch2_cs1*2^16,_fifowe_init0_ch2_cs0),8)</definedName>
    <definedName function="false" hidden="false" name="_EMIF2_EXT_PHY_CTRL_27_VAL" vbProcedure="false">DEC2HEX(SUM(_fifowe_init1_ch2_cs1*2^16,_fifowe_init1_ch2_cs0),8)</definedName>
    <definedName function="false" hidden="false" name="_EMIF2_EXT_PHY_CTRL_28_VAL" vbProcedure="false">DEC2HEX(SUM(_fifowe_init2_ch2_cs1*2^16,_fifowe_init2_ch2_cs0),8)</definedName>
    <definedName function="false" hidden="false" name="_EMIF2_EXT_PHY_CTRL_29_VAL" vbProcedure="false">DEC2HEX(SUM(_fifowe_init3_ch2_cs1*2^16,_fifowe_init3_ch2_cs0),8)</definedName>
    <definedName function="false" hidden="false" name="_EMIF2_EXT_PHY_CTRL_2_VAL" vbProcedure="false">CHOOSE(MATCH(_soc_name,_soc_names,0),_emif2_ext_phy_ctrl_2_val_omap5,_emif2_ext_phy_ctrl_2_val_vayu,_emif2_ext_phy_ctrl_2_val_vayu,_emif2_ext_phy_ctrl_2_val_vayu)</definedName>
    <definedName function="false" hidden="false" name="_emif2_ext_phy_ctrl_2_val_omap5" vbProcedure="false">DEC2HEX(SUM(_fifowe_ratio1_ch2_cs0*2^22,_fifowe_ratio0_ch2_cs1*2^11,_fifowe_ratio0_ch2_cs0)-(TRUNC(SUM(_fifowe_ratio1_ch2_cs0*2^22,_fifowe_ratio0_ch2_cs1*2^11,_fifowe_ratio0_ch2_cs0)/2^32)*2^32),8)</definedName>
    <definedName function="false" hidden="false" name="_emif2_ext_phy_ctrl_2_val_vayu" vbProcedure="false">DEC2HEX(SUM(_fifowe_ratio0_ch2_cs1*2^16,_fifowe_ratio0_ch2_cs0),8)</definedName>
    <definedName function="false" hidden="false" name="_EMIF2_EXT_PHY_CTRL_30_VAL" vbProcedure="false">DEC2HEX(SUM(_fifowe_init4_ch2_cs1*2^16,_fifowe_init4_ch2_cs0),8)</definedName>
    <definedName function="false" hidden="false" name="_fifowe_init4_ch2_cs1" vbProcedure="false">_fifowe_ratio4_ch2_cs1 - ROUND((125000 / _ddr_pll_freq / _dll_res),0)</definedName>
    <definedName function="false" hidden="false" name="_fifowe_ratio4_ch2_cs1" vbProcedure="false">ROUND(IF(_sdram_type="LPDDR2",4000/_dll_res,((_t_rdtrip_brddly_p4_ch2_cs1 + (333333 / _ddr_pll_freq) + (_phy_invert_clk * 500000 / _ddr_pll_freq)) / _dll_res)),0)</definedName>
    <definedName function="false" hidden="false" name="_t_rdtrip_brddly_p4_ch2_cs1" vbProcedure="false">((_tl_clk_p4_mi_ch2_cs1*_prop_vel_microstrip) + (_tl_clk_p4_st_ch2_cs1*_prop_vel_stripline) + (_tl_dqs4_mi_ch2_cs1*_prop_vel_microstrip) + (_tl_dqs4_st_ch2_cs1*_prop_vel_stripline))/1000</definedName>
    <definedName function="false" hidden="false" name="_fifowe_init4_ch2_cs0" vbProcedure="false">_fifowe_ratio4_ch2_cs0 - ROUND((125000 / _ddr_pll_freq / _dll_res),0)</definedName>
    <definedName function="false" hidden="false" name="_fifowe_ratio4_ch2_cs0" vbProcedure="false">ROUND(IF(_sdram_type="LPDDR2",4000/_dll_res,((_t_rdtrip_brddly_p4_ch2_cs0 + (333333 / _ddr_pll_freq) + (_phy_invert_clk * 500000 / _ddr_pll_freq)) / _dll_res)),0)</definedName>
    <definedName function="false" hidden="false" name="_t_rdtrip_brddly_p4_ch2_cs0" vbProcedure="false">((_tl_clk_p4_mi_ch2_cs0*_prop_vel_microstrip) + (_tl_clk_p4_st_ch2_cs0*_prop_vel_stripline) + (_tl_dqs4_mi_ch2_cs0*_prop_vel_microstrip) + (_tl_dqs4_st_ch2_cs0*_prop_vel_stripline))/1000</definedName>
    <definedName function="false" hidden="false" name="_EMIF2_EXT_PHY_CTRL_31_VAL" vbProcedure="false">DEC2HEX(SUM(_wrdqs_init0_ch2_cs1*2^16,_wrdqs_init0_ch2_cs0),8)</definedName>
    <definedName function="false" hidden="false" name="_EMIF2_EXT_PHY_CTRL_32_VAL" vbProcedure="false">DEC2HEX(SUM(_wrdqs_init1_ch2_cs1*2^16,_wrdqs_init1_ch2_cs0),8)</definedName>
    <definedName function="false" hidden="false" name="_EMIF2_EXT_PHY_CTRL_33_VAL" vbProcedure="false">DEC2HEX(SUM(_wrdqs_init2_ch2_cs1*2^16,_wrdqs_init2_ch2_cs0),8)</definedName>
    <definedName function="false" hidden="false" name="_EMIF2_EXT_PHY_CTRL_34_VAL" vbProcedure="false">DEC2HEX(SUM(_wrdqs_init3_ch2_cs1*2^16,_wrdqs_init3_ch2_cs0),8)</definedName>
    <definedName function="false" hidden="false" name="_EMIF2_EXT_PHY_CTRL_35_VAL" vbProcedure="false">DEC2HEX(SUM(_wrdqs_init4_ch2_cs1*2^16,_wrdqs_init4_ch2_cs0),8)</definedName>
    <definedName function="false" hidden="false" name="_wrdqs_init4_ch2_cs1" vbProcedure="false">MAX(_wrdqs_ratio4_ch2_cs1 - ROUND((125000 / _ddr_pll_freq / _dll_res),0),0)</definedName>
    <definedName function="false" hidden="false" name="_wrdqs_init4_ch2_cs0" vbProcedure="false">MAX(_wrdqs_ratio4_ch2_cs0 - ROUND((125000 / _ddr_pll_freq / _dll_res),0),0)</definedName>
    <definedName function="false" hidden="false" name="_EMIF2_EXT_PHY_CTRL_36_VAL" vbProcedure="false">DEC2HEX(SUM(_phy_wrlvl_num_dq0*2^4,_phy_gatelvl_num_dq0),8)</definedName>
    <definedName function="false" hidden="false" name="_EMIF2_EXT_PHY_CTRL_3_VAL" vbProcedure="false">CHOOSE(MATCH(_soc_name,_soc_names,0),_emif2_ext_phy_ctrl_3_val_omap5,_emif2_ext_phy_ctrl_3_val_vayu,_emif2_ext_phy_ctrl_3_val_vayu,_emif2_ext_phy_ctrl_3_val_vayu)</definedName>
    <definedName function="false" hidden="false" name="_emif2_ext_phy_ctrl_3_val_omap5" vbProcedure="false">DEC2HEX(TRUNC(SUM(_fifowe_ratio2_ch2_cs1*2^33,_fifowe_ratio2_ch2_cs0*2^22,_fifowe_ratio1_ch2_cs1*2^11,_fifowe_ratio1_ch2_cs0)/2^10)-(TRUNC(SUM(_fifowe_ratio2_ch2_cs1*2^33,_fifowe_ratio2_ch2_cs0*2^22,_fifowe_ratio1_ch2_cs1*2^11,_fifowe_ratio1_ch2_cs0)/2^42)*2^32),8)</definedName>
    <definedName function="false" hidden="false" name="_emif2_ext_phy_ctrl_3_val_vayu" vbProcedure="false">DEC2HEX(SUM(_fifowe_ratio1_ch2_cs1*2^16,_fifowe_ratio1_ch2_cs0),8)</definedName>
    <definedName function="false" hidden="false" name="_EMIF2_EXT_PHY_CTRL_4_VAL" vbProcedure="false">CHOOSE(MATCH(_soc_name,_soc_names,0),_emif2_ext_phy_ctrl_4_val_omap5,_emif2_ext_phy_ctrl_4_val_vayu,_emif2_ext_phy_ctrl_4_val_vayu,_emif2_ext_phy_ctrl_4_val_vayu)</definedName>
    <definedName function="false" hidden="false" name="_emif2_ext_phy_ctrl_4_val_omap5" vbProcedure="false">DEC2HEX(TRUNC(SUM(_fifowe_ratio3_ch2_cs1*2^22,_fifowe_ratio3_ch2_cs0*2^11,_fifowe_ratio2_ch2_cs1)/2^9)-(TRUNC(SUM(_fifowe_ratio3_ch2_cs1*2^22,_fifowe_ratio3_ch2_cs0*2^11,_fifowe_ratio2_ch2_cs1)/2^41)*2^32),8)</definedName>
    <definedName function="false" hidden="false" name="_emif2_ext_phy_ctrl_4_val_vayu" vbProcedure="false">DEC2HEX(SUM(_fifowe_ratio2_ch2_cs1*2^16,_fifowe_ratio2_ch2_cs0),8)</definedName>
    <definedName function="false" hidden="false" name="_EMIF2_EXT_PHY_CTRL_5_VAL" vbProcedure="false">CHOOSE(MATCH(_soc_name,_soc_names,0),_emif2_ext_phy_ctrl_5_val_omap5,_emif2_ext_phy_ctrl_5_val_vayu,_emif2_ext_phy_ctrl_5_val_vayu,_emif2_ext_phy_ctrl_5_val_vayu)</definedName>
    <definedName function="false" hidden="false" name="_emif2_ext_phy_ctrl_5_val_omap5" vbProcedure="false">DEC2HEX(SUM(_rddqs_ratio1*2^30,_rddqs_ratio1*2^20,_rddqs_ratio0*2^10,_rddqs_ratio0)-(TRUNC(SUM(_rddqs_ratio1*2^30,_rddqs_ratio1*2^20,_rddqs_ratio0*2^10,_rddqs_ratio0)/2^32)*2^32),8)</definedName>
    <definedName function="false" hidden="false" name="_emif2_ext_phy_ctrl_5_val_vayu" vbProcedure="false">DEC2HEX(SUM(_fifowe_ratio3_ch2_cs1*2^16,_fifowe_ratio3_ch2_cs0),8)</definedName>
    <definedName function="false" hidden="false" name="_EMIF2_EXT_PHY_CTRL_6_VAL" vbProcedure="false">CHOOSE(MATCH(_soc_name,_soc_names,0),_emif2_ext_phy_ctrl_6_val_omap5,_emif2_ext_phy_ctrl_6_val_vayu,_emif2_ext_phy_ctrl_6_val_vayu,_emif2_ext_phy_ctrl_6_val_vayu)</definedName>
    <definedName function="false" hidden="false" name="_emif2_ext_phy_ctrl_6_val_omap5" vbProcedure="false">DEC2HEX(TRUNC(SUM(_rddqs_ratio3*2^30,_rddqs_ratio2*2^20,_rddqs_ratio2*2^10,_rddqs_ratio1)/2^2)-(TRUNC(SUM(_rddqs_ratio3*2^30,_rddqs_ratio2*2^20,_rddqs_ratio2*2^10,_rddqs_ratio1)/2^34)*2^32),8)</definedName>
    <definedName function="false" hidden="false" name="_emif2_ext_phy_ctrl_6_val_vayu" vbProcedure="false">DEC2HEX(SUM(_fifowe_ratio4_ch2_cs1*2^16,_fifowe_ratio4_ch2_cs0),8)</definedName>
    <definedName function="false" hidden="false" name="_EMIF2_EXT_PHY_CTRL_7_VAL" vbProcedure="false">CHOOSE(MATCH(_soc_name,_soc_names,0),_emif2_ext_phy_ctrl_7_val_omap5,_emif2_ext_phy_ctrl_7_val_vayu,_emif2_ext_phy_ctrl_7_val_vayu,_emif2_ext_phy_ctrl_7_val_vayu)</definedName>
    <definedName function="false" hidden="false" name="_emif2_ext_phy_ctrl_7_val_omap5" vbProcedure="false">DEC2HEX(TRUNC(SUM(_rddqs_ratio3*2^10,_rddqs_ratio3)/2^4)-(TRUNC(SUM(_rddqs_ratio3*2^10,_rddqs_ratio3)/2^36)*2^32),8)</definedName>
    <definedName function="false" hidden="false" name="_emif2_ext_phy_ctrl_7_val_vayu" vbProcedure="false">DEC2HEX(SUM(_rddqs_ratio0*2^16,_rddqs_ratio0),8)</definedName>
    <definedName function="false" hidden="false" name="_EMIF2_EXT_PHY_CTRL_8_VAL" vbProcedure="false">CHOOSE(MATCH(_soc_name,_soc_names,0),_emif2_ext_phy_ctrl_8_val_omap5,_emif2_ext_phy_ctrl_8_val_vayu,_emif2_ext_phy_ctrl_8_val_vayu,_emif2_ext_phy_ctrl_8_val_vayu)</definedName>
    <definedName function="false" hidden="false" name="_emif2_ext_phy_ctrl_8_val_omap5" vbProcedure="false">DEC2HEX(SUM(_wrdata_ratio1_ch2_cs1*2^30,_wrdata_ratio1_ch2_cs0*2^20,_wrdata_ratio0_ch2_cs1*2^10,_wrdata_ratio0_ch2_cs0)-(TRUNC(SUM(_wrdata_ratio1_ch2_cs1*2^30,_wrdata_ratio1_ch2_cs0*2^20,_wrdata_ratio0_ch2_cs1*2^10,_wrdata_ratio0_ch2_cs0)/2^32)*2^32),8)</definedName>
    <definedName function="false" hidden="false" name="_emif2_ext_phy_ctrl_8_val_vayu" vbProcedure="false">DEC2HEX(SUM(_rddqs_ratio1*2^16,_rddqs_ratio1),8)</definedName>
    <definedName function="false" hidden="false" name="_EMIF2_EXT_PHY_CTRL_9_VAL" vbProcedure="false">CHOOSE(MATCH(_soc_name,_soc_names,0),_emif2_ext_phy_ctrl_9_val_omap5,_emif2_ext_phy_ctrl_9_val_vayu,_emif2_ext_phy_ctrl_9_val_vayu,_emif2_ext_phy_ctrl_9_val_vayu)</definedName>
    <definedName function="false" hidden="false" name="_emif2_ext_phy_ctrl_9_val_omap5" vbProcedure="false">DEC2HEX(TRUNC(SUM(_wrdata_ratio3_ch2_cs0*2^30,_wrdata_ratio2_ch2_cs1*2^20,_wrdata_ratio2_ch2_cs0*2^10,_wrdata_ratio1_ch2_cs1)/2^2)-(TRUNC(SUM(_wrdata_ratio3_ch2_cs0*2^30,_wrdata_ratio2_ch2_cs1*2^20,_wrdata_ratio2_ch2_cs0*2^10,_wrdata_ratio1_ch2_cs1)/2^34)*2^32),8)</definedName>
    <definedName function="false" hidden="false" name="_emif2_ext_phy_ctrl_9_val_vayu" vbProcedure="false">DEC2HEX(SUM(_rddqs_ratio2*2^16,_rddqs_ratio2),8)</definedName>
    <definedName function="false" hidden="false" name="_EMIF_DDR_PHY_CTRL_1_VAL" vbProcedure="false">DEC2HEX(SUM(_phy_rdlvl_mask*2^27,_phy_rdlvlgate_mask*2^26,_phy_wrlvl_mask*2^25,_phy_half_delay*2^21,_phy_clk_stall_level*2^20,_phy_dis_calib_rst*2^19,_phy_invert_clk*2^18,_phy_dll_lock_diff*2^10,_phy_fast_dll_lock*2^9,_phy_rd_rl_delay),8)</definedName>
    <definedName function="false" hidden="false" name="_phy_rdlvl_mask" vbProcedure="false">IF(_soc_name="j6eco",1,IF(_user_lvl_tech="H/W",0,1))</definedName>
    <definedName function="false" hidden="false" name="_user_lvl_tech" vbProcedure="false">'[1]Step1-SystemDetails'!$F$25</definedName>
    <definedName function="false" hidden="false" name="_phy_rdlvlgate_mask" vbProcedure="false">IF(_user_lvl_tech="H/W",0,1)</definedName>
    <definedName function="false" hidden="false" name="_phy_wrlvl_mask" vbProcedure="false">IF(_user_lvl_tech="H/W",0,1)</definedName>
    <definedName function="false" hidden="false" name="_phy_clk_stall_level" vbProcedure="false">0</definedName>
    <definedName function="false" hidden="false" name="_phy_dis_calib_rst" vbProcedure="false">0</definedName>
    <definedName function="false" hidden="false" name="_phy_dll_lock_diff" vbProcedure="false">16</definedName>
    <definedName function="false" hidden="false" name="_phy_fast_dll_lock" vbProcedure="false">0</definedName>
    <definedName function="false" hidden="false" name="_phy_rd_rl_delay" vbProcedure="false">MAX(MIN(IF(_ddr_pll_freq &gt; 533, _t_cl_user + 5, _t_cl_user + 4),2^5-1),0)</definedName>
    <definedName function="false" hidden="false" name="_t_cl_user" vbProcedure="false">MAX(MIN(_t_cl_ck_user,MAX(_sdram_sb_cl)),INDEX(_sdram_sb_cl,ROW(INDIRECT("1:1"))))</definedName>
    <definedName function="false" hidden="false" name="_t_cl_ck_user" vbProcedure="false">'[1]Step3-DDRTimings'!$F$25</definedName>
    <definedName function="false" hidden="false" localSheetId="0" name="_sdram_sb_cl" vbProcedure="false">IF(_sdram_type="DDR2",CHOOSE(_sdram_sb,_ddr2_sb_403_cl,_ddr2_sb_404_cl,_ddr2_sb_536_cl,_ddr2_sb_537_cl,_ddr2_sb_671_cl,_ddr2_sb_672_cl,_ddr2_sb_804_cl,_ddr2_sb_805_cl,_ddr2_sb_806_cl),IF(_sdram_type="DDR3/L",CHOOSE(_sdram_sb,_ddr3_sb_805_cl,_ddr3_sb_806_cl,_ddr3_sb_1072_cl,_ddr3_sb_1073_cl,_ddr3_sb_1074_cl,_ddr3_sb_1340_cl,_ddr3_sb_1341_cl,_ddr3_sb_1342_cl,_ddr3_sb_1343_cl,_ddr3_sb_1608_cl,_ddr3_sb_1609_cl,_ddr3_sb_1610_cl,_ddr3_sb_1611_cl,_ddr3_sb_1876_cl,_ddr3_sb_1877_cl,_ddr3_sb_1878_cl,_ddr3_sb_1879_cl,_ddr3_sb_2144_cl,_ddr3_sb_2145_cl,_ddr3_sb_2146_cl,_ddr3_sb_2147_cl),CHOOSE(_sdram_sb,_lpddr2_sb_336_cl,_lpddr2_sb_403_cl,_lpddr2_sb_537_cl,_lpddr2_sb_672_cl,_lpddr2_sb_806_cl,_lpddr2_sb_940_cl,_lpddr2_sb_1074_cl)))</definedName>
    <definedName function="false" hidden="false" localSheetId="0" name="_sdram_sb" vbProcedure="false">MATCH(_sdram_data_rate + _sdram_cl_max,_sdram_sb_lookup,0)</definedName>
    <definedName function="false" hidden="false" name="_sdram_data_rate" vbProcedure="false">'[1]Step1-SystemDetails'!$F$31</definedName>
    <definedName function="false" hidden="false" name="_sdram_cl_max" vbProcedure="false">'[1]Step1-SystemDetails'!$F$34</definedName>
    <definedName function="false" hidden="false" localSheetId="0" name="_sdram_sb_lookup" vbProcedure="false">IF(_sdram_type="DDR2",_ddr2_sb_lookup,IF(_sdram_type="DDR3/L",_ddr3_sb_lookup,_lpddr2_sb_lookup))</definedName>
    <definedName function="false" hidden="false" localSheetId="0" name="_ddr2_sb_lookup" vbProcedure="false">{403;404;536;537;671;672;804;805;806}</definedName>
    <definedName function="false" hidden="false" localSheetId="0" name="_ddr3_sb_lookup" vbProcedure="false">{805;806;1072;1073;1074;1340;1341;1342;1343;1608;1609;1610;1611;1876;1877;1878;1879;2144;2145;2146;2147}</definedName>
    <definedName function="false" hidden="false" localSheetId="0" name="_lpddr2_sb_lookup" vbProcedure="false">{336;403;537;672;806;940;1074}</definedName>
    <definedName function="false" hidden="false" localSheetId="0" name="_ddr2_sb_403_cl" vbProcedure="false">{3;4}</definedName>
    <definedName function="false" hidden="false" localSheetId="0" name="_ddr2_sb_404_cl" vbProcedure="false">{4}</definedName>
    <definedName function="false" hidden="false" localSheetId="0" name="_ddr2_sb_536_cl" vbProcedure="false">{3;4}</definedName>
    <definedName function="false" hidden="false" localSheetId="0" name="_ddr2_sb_537_cl" vbProcedure="false">{3;4}</definedName>
    <definedName function="false" hidden="false" localSheetId="0" name="_ddr2_sb_671_cl" vbProcedure="false">{4;5}</definedName>
    <definedName function="false" hidden="false" localSheetId="0" name="_ddr2_sb_672_cl" vbProcedure="false">{4;5}</definedName>
    <definedName function="false" hidden="false" localSheetId="0" name="_ddr2_sb_804_cl" vbProcedure="false">{4;5}</definedName>
    <definedName function="false" hidden="false" localSheetId="0" name="_ddr2_sb_805_cl" vbProcedure="false">{4;5}</definedName>
    <definedName function="false" hidden="false" localSheetId="0" name="_ddr2_sb_806_cl" vbProcedure="false">{4;5;6}</definedName>
    <definedName function="false" hidden="false" localSheetId="0" name="_ddr3_sb_805_cl" vbProcedure="false">{5;6}</definedName>
    <definedName function="false" hidden="false" localSheetId="0" name="_ddr3_sb_806_cl" vbProcedure="false">{5;6}</definedName>
    <definedName function="false" hidden="false" localSheetId="0" name="_ddr3_sb_1072_cl" vbProcedure="false">{5;6;6;7;8}</definedName>
    <definedName function="false" hidden="false" localSheetId="0" name="_ddr3_sb_1073_cl" vbProcedure="false">{5;6;7;8}</definedName>
    <definedName function="false" hidden="false" localSheetId="0" name="_ddr3_sb_1074_cl" vbProcedure="false">{5;6;8}</definedName>
    <definedName function="false" hidden="false" localSheetId="0" name="_ddr3_sb_1340_cl" vbProcedure="false">{5;6;6;7;7;8;8;9;10}</definedName>
    <definedName function="false" hidden="false" localSheetId="0" name="_ddr3_sb_1341_cl" vbProcedure="false">{5;6;7;8;8;9;10}</definedName>
    <definedName function="false" hidden="false" localSheetId="0" name="_ddr3_sb_1342_cl" vbProcedure="false">{5;6;7;8;9;10}</definedName>
    <definedName function="false" hidden="false" localSheetId="0" name="_ddr3_sb_1343_cl" vbProcedure="false">{5;6;8;10}</definedName>
    <definedName function="false" hidden="false" localSheetId="0" name="_ddr3_sb_1608_cl" vbProcedure="false">{5;6;6;7;7;8;8;8;9;9;10;10;11}</definedName>
    <definedName function="false" hidden="false" localSheetId="0" name="_ddr3_sb_1609_cl" vbProcedure="false">{5;6;6;7;8;8;9;9;10;10;11}</definedName>
    <definedName function="false" hidden="false" localSheetId="0" name="_ddr3_sb_1610_cl" vbProcedure="false">{5;6;7;8;9;10;10;11}</definedName>
    <definedName function="false" hidden="false" localSheetId="0" name="_ddr3_sb_1611_cl" vbProcedure="false">{5;6;7;8;9;10;11}</definedName>
    <definedName function="false" hidden="false" localSheetId="0" name="_ddr3_sb_1876_cl" vbProcedure="false">{1}</definedName>
    <definedName function="false" hidden="false" localSheetId="0" name="_ddr3_sb_1877_cl" vbProcedure="false">{1}</definedName>
    <definedName function="false" hidden="false" localSheetId="0" name="_ddr3_sb_1878_cl" vbProcedure="false">{1}</definedName>
    <definedName function="false" hidden="false" localSheetId="0" name="_ddr3_sb_1879_cl" vbProcedure="false">{1}</definedName>
    <definedName function="false" hidden="false" localSheetId="0" name="_ddr3_sb_2144_cl" vbProcedure="false">{1}</definedName>
    <definedName function="false" hidden="false" localSheetId="0" name="_ddr3_sb_2145_cl" vbProcedure="false">{1}</definedName>
    <definedName function="false" hidden="false" localSheetId="0" name="_ddr3_sb_2146_cl" vbProcedure="false">{1}</definedName>
    <definedName function="false" hidden="false" localSheetId="0" name="_ddr3_sb_2147_cl" vbProcedure="false">{1}</definedName>
    <definedName function="false" hidden="false" localSheetId="0" name="_lpddr2_sb_336_cl" vbProcedure="false">{3}</definedName>
    <definedName function="false" hidden="false" localSheetId="0" name="_lpddr2_sb_403_cl" vbProcedure="false">{3}</definedName>
    <definedName function="false" hidden="false" localSheetId="0" name="_lpddr2_sb_537_cl" vbProcedure="false">{4}</definedName>
    <definedName function="false" hidden="false" localSheetId="0" name="_lpddr2_sb_672_cl" vbProcedure="false">{5}</definedName>
    <definedName function="false" hidden="false" localSheetId="0" name="_lpddr2_sb_806_cl" vbProcedure="false">{6}</definedName>
    <definedName function="false" hidden="false" localSheetId="0" name="_lpddr2_sb_940_cl" vbProcedure="false">{7}</definedName>
    <definedName function="false" hidden="false" localSheetId="0" name="_lpddr2_sb_1074_cl" vbProcedure="false">{8}</definedName>
    <definedName function="false" hidden="false" name="_EMIF_DDR_PHY_CTRL_1_VAL_NOLVL" vbProcedure="false">DEC2HEX(SUM(1*2^27,1*2^26,1*2^25,_phy_half_delay*2^21,_phy_clk_stall_level*2^20,_phy_dis_calib_rst*2^19,_phy_invert_clk*2^18,_phy_dll_lock_diff*2^10,_phy_fast_dll_lock*2^9,_phy_rd_rl_delay),8)</definedName>
    <definedName function="false" hidden="false" name="_EMIF_DLL_CALIB_CTRL_VAL" vbProcedure="false">"00050000"</definedName>
    <definedName function="false" hidden="false" name="_emif_io_dr_acc_rec" vbProcedure="false">CHOOSE(MATCH(_soc_name,_soc_names,0),_soc_emif_io_dr_acc_vayu,_soc_emif_io_dr_acc_vayu,_soc_emif_io_dr_acc_j6eco,_soc_emif_io_dr_acc_adaslow)</definedName>
    <definedName function="false" hidden="false" name="_soc_emif_io_dr_acc_vayu" vbProcedure="false">34</definedName>
    <definedName function="false" hidden="false" name="_soc_emif_io_dr_acc_j6eco" vbProcedure="false">40</definedName>
    <definedName function="false" hidden="false" name="_soc_emif_io_dr_acc_adaslow" vbProcedure="false">IF(_sdram_type="DDR3/L",40,48)</definedName>
    <definedName function="false" hidden="false" name="_emif_io_dr_ds_rec" vbProcedure="false">CHOOSE(MATCH(_soc_name,_soc_names,0),_soc_emif_io_dr_ds_vayu,_soc_emif_io_dr_ds_vayu,_soc_emif_io_dr_ds_j6eco,_soc_emif_io_dr_ds_adaslow)</definedName>
    <definedName function="false" hidden="false" name="_soc_emif_io_dr_ds_vayu" vbProcedure="false">48</definedName>
    <definedName function="false" hidden="false" name="_soc_emif_io_dr_ds_j6eco" vbProcedure="false">48</definedName>
    <definedName function="false" hidden="false" name="_soc_emif_io_dr_ds_adaslow" vbProcedure="false">IF(_sdram_type="LPDDR2 - Discrete",60,48)</definedName>
    <definedName function="false" hidden="false" name="_emif_io_sr_acc_rec" vbProcedure="false">CHOOSE(MATCH(_soc_name,_soc_names,0),_soc_emif_io_sr_vayu,_soc_emif_io_sr_vayu,_soc_emif_io_sr_j6eco,_soc_emif_io_sr_acc_adaslow)</definedName>
    <definedName function="false" hidden="false" name="_soc_emif_io_sr_vayu" vbProcedure="false">"Fastest: SR[2:0] = 0b000"</definedName>
    <definedName function="false" hidden="false" name="_soc_emif_io_sr_j6eco" vbProcedure="false">"Fastest: SR[2:0] = 0b000"</definedName>
    <definedName function="false" hidden="false" name="_soc_emif_io_sr_acc_adaslow" vbProcedure="false">IF(_sdram_type="DDR3/L","Fastest: SR[2:0] = 0b000","SR[2:0] = 0b010")</definedName>
    <definedName function="false" hidden="false" name="_emif_io_sr_ds_rec" vbProcedure="false">CHOOSE(MATCH(_soc_name,_soc_names,0),_soc_emif_io_sr_vayu,_soc_emif_io_sr_vayu,_soc_emif_io_sr_j6eco,_soc_emif_io_sr_ds_adaslow)</definedName>
    <definedName function="false" hidden="false" name="_soc_emif_io_sr_ds_adaslow" vbProcedure="false">"SR[2:0] = 0b010"</definedName>
    <definedName function="false" hidden="false" name="_EMIF_RDWR_LVL_CTRL_VAL" vbProcedure="false">DEC2HEX(SUM(_phy_rdwrlvlfull_start*2^31),8)</definedName>
    <definedName function="false" hidden="false" name="_phy_rdwrlvlfull_start" vbProcedure="false">0</definedName>
    <definedName function="false" hidden="false" name="_EMIF_RDWR_LVL_RMP_CTRL_VAL" vbProcedure="false">DEC2HEX(SUM(_phy_rdwrlvl_en*2^31),8)</definedName>
    <definedName function="false" hidden="false" name="_phy_rdwrlvl_en" vbProcedure="false">IF(_user_lvl_tech="H/W",1,0)</definedName>
    <definedName function="false" hidden="false" name="_EMIF_RD_WR_EXEC_THRESH_VAL" vbProcedure="false">"00000305"</definedName>
    <definedName function="false" hidden="false" name="_EMIF_SDRAM_CONFIG_2_VAL" vbProcedure="false">DEC2HEX(SUM(_sdram_cs1nvmen*2^30,_sdram_ebank_pos*2^27,_sdram_rdbnum*2^4,_sdram_rdbsize),8)</definedName>
    <definedName function="false" hidden="false" name="_sdram_cs1nvmen" vbProcedure="false">0</definedName>
    <definedName function="false" hidden="false" name="_sdram_ebank_pos" vbProcedure="false">0</definedName>
    <definedName function="false" hidden="false" name="_sdram_rdbnum" vbProcedure="false">0</definedName>
    <definedName function="false" hidden="false" name="_sdram_rdbsize" vbProcedure="false">0</definedName>
    <definedName function="false" hidden="false" name="_EMIF_SDRAM_CONFIG_VAL" vbProcedure="false">DEC2HEX(SUM(_sdram_config_type*2^29,_sdram_config_ibank_pos*2^27,_sdram_config_rtt*2^24,_sdram_config_ddr2_dqs*2^23,_sdram_config_dyn_rtt*2^21,_sdram_config_dll_dis*2^20,_sdram_config_drive_imp*2^18,_sdram_cwl_val*2^16,_sdram_config_narrow_mode*2^14,_sdram_cl_val*2^10,_sdram_config_rowsize*2^7,_sdram_ibank_val*2^4,_sdram_config_ebank*2^3,_sdram_config_pagesize),8)</definedName>
    <definedName function="false" hidden="false" name="_sdram_config_type" vbProcedure="false">MAX(MIN(MATCH(_sdram_type,_sdram_types,0)-1,2^3-1),0)</definedName>
    <definedName function="false" hidden="false" name="_sdram_types" vbProcedure="false">{"DDR1";"LPDDR1";"DDR2";"DDR3/L";"LPDDR2"}</definedName>
    <definedName function="false" hidden="false" name="_sdram_config_ibank_pos" vbProcedure="false">0</definedName>
    <definedName function="false" hidden="false" name="_sdram_config_rtt" vbProcedure="false">MAX(MIN(IF(_sdram_type="DDR3/L",MATCH(_sdram_rtt,_ddr3_rtt,0)-1,IF(_sdram_type="DDR2",MATCH(_sdram_rtt,_ddr2_rtt,0)-1,0)),2^3-1),0)</definedName>
    <definedName function="false" hidden="false" name="_sdram_rtt" vbProcedure="false">'[1]Step1-SystemDetails'!$F$39</definedName>
    <definedName function="false" hidden="false" localSheetId="0" name="_ddr3_rtt" vbProcedure="false">{"Disabled";"RZQ/4";"RZQ/2";"RZQ/6";"RZQ/12";"RZQ/8"}</definedName>
    <definedName function="false" hidden="false" localSheetId="0" name="_ddr2_rtt" vbProcedure="false">{"Disabled";"75 Ohm";"150 Ohm";"50 Ohm"}</definedName>
    <definedName function="false" hidden="false" name="_sdram_config_ddr2_dqs" vbProcedure="false">1</definedName>
    <definedName function="false" hidden="false" name="_sdram_config_dyn_rtt" vbProcedure="false">MAX(MIN(IF(_sdram_type="DDR3/L",MATCH(_sdram_rttwr,_ddr3_rttwr,0)-1,0),2^2-1),0)</definedName>
    <definedName function="false" hidden="false" name="_sdram_rttwr" vbProcedure="false">'[1]Step1-SystemDetails'!$F$40</definedName>
    <definedName function="false" hidden="false" localSheetId="0" name="_ddr3_rttwr" vbProcedure="false">{"Disabled";"RZQ/4";"RZQ/2"}</definedName>
    <definedName function="false" hidden="false" name="_sdram_config_dll_dis" vbProcedure="false">0</definedName>
    <definedName function="false" hidden="false" name="_sdram_config_drive_imp" vbProcedure="false">MAX(MIN(IF(_sdram_type="DDR3/L",MATCH(_sdram_drive_imp,_ddr3_drive_imp,0)-1,IF(_sdram_type="DDR2",MATCH(_sdram_drive_imp,_ddr2_drive_imp,0)-1,0)),2^2-1),0)</definedName>
    <definedName function="false" hidden="false" name="_sdram_drive_imp" vbProcedure="false">'[1]Step1-SystemDetails'!$F$41</definedName>
    <definedName function="false" hidden="false" localSheetId="0" name="_ddr3_drive_imp" vbProcedure="false">{"RZQ/6";"RZQ/7"}</definedName>
    <definedName function="false" hidden="false" localSheetId="0" name="_ddr2_drive_imp" vbProcedure="false">{"Normal";"Weak"}</definedName>
    <definedName function="false" hidden="false" name="_sdram_cwl_val" vbProcedure="false">MAX(MIN(_t_cwl_user - 5,2^2-1),0)</definedName>
    <definedName function="false" hidden="false" name="_t_cwl_user" vbProcedure="false">MAX(MIN(_t_cwl_ck_user,8),5)</definedName>
    <definedName function="false" hidden="false" name="_t_cwl_ck_user" vbProcedure="false">'[1]Step3-DDRTimings'!$F$26</definedName>
    <definedName function="false" hidden="false" name="_sdram_cl_val" vbProcedure="false">MAX(MIN(IF(_sdram_type="DDR3/L",2 * (_t_cl_user - 4),_t_cl_user),2^4-1),0)</definedName>
    <definedName function="false" hidden="false" name="_sdram_config_rowsize" vbProcedure="false">MAX(MIN(_sdram_row_bits - 9,2^3-1),0)</definedName>
    <definedName function="false" hidden="false" name="_sdram_row_bits" vbProcedure="false">LOG(2^_sdram_density_mult/_sdram_width/_sdram_config_ibank/2^_sdram_col_bits,2)</definedName>
    <definedName function="false" hidden="false" name="_sdram_density_mult" vbProcedure="false">IF(_sdram_type="DDR2",MATCH(_sdram_density,_ddr2_densities,0)+27,IF(_sdram_type="DDR3/L",MATCH(_sdram_density,_ddr3_densities,0)+28,MATCH(_sdram_density,_lpddr2_densities,0)+27))</definedName>
    <definedName function="false" hidden="false" localSheetId="0" name="_ddr2_densities" vbProcedure="false">{0.25;0.5;1;2;4}</definedName>
    <definedName function="false" hidden="false" localSheetId="0" name="_ddr3_densities" vbProcedure="false">{0.5;1;2;4;8}</definedName>
    <definedName function="false" hidden="false" localSheetId="0" name="_lpddr2_densities" vbProcedure="false">{0.25;0.5;1;2;4;8}</definedName>
    <definedName function="false" hidden="false" localSheetId="0" name="_sdram_config_ibank" vbProcedure="false">IF(_sdram_type="DDR3/L",_sdram_config_ibank_ddr3,IF(_sdram_type="DDR2",_sdram_config_ibank_ddr2,_sdram_config_ibank_lpddr2))</definedName>
    <definedName function="false" hidden="false" name="_sdram_config_ibank_ddr3" vbProcedure="false">8</definedName>
    <definedName function="false" hidden="false" localSheetId="0" name="_sdram_config_ibank_ddr2" vbProcedure="false">IF(_sdram_density&lt;1,4,8)</definedName>
    <definedName function="false" hidden="false" localSheetId="0" name="_sdram_config_ibank_lpddr2" vbProcedure="false">IF(_sdram_density&lt;1,4,8)</definedName>
    <definedName function="false" hidden="false" localSheetId="0" name="_sdram_col_bits" vbProcedure="false">IF(_sdram_type="DDR3/L",_sdram_col_bits_ddr3,IF(_sdram_type="DDR2",_sdram_col_bits_ddr2,_sdram_col_bits_lpddr2))</definedName>
    <definedName function="false" hidden="false" localSheetId="0" name="_sdram_col_bits_ddr3" vbProcedure="false">IF(AND(_sdram_density=8,_sdram_width=4),12,IF(OR(AND(_sdram_density=8,_sdram_width=8),_sdram_width=4),11,10))</definedName>
    <definedName function="false" hidden="false" localSheetId="0" name="_sdram_col_bits_ddr2" vbProcedure="false">IF(_sdram_width=32,9,IF(AND(_sdram_density=0.25,_sdram_width=16),9,IF(_sdram_width=4,11,10)))</definedName>
    <definedName function="false" hidden="false" localSheetId="0" name="_sdram_col_bits_lpddr2" vbProcedure="false">IF(_sdram_density&lt;0.5,IF(_sdram_width=32,8,IF(_sdram_width=16,9,10)),IF(_sdram_density&gt;2,IF(_sdram_width=32,10,IF(_sdram_width=16,11,12)),IF(_sdram_width=32,9,IF(_sdram_width=16,10,11))))</definedName>
    <definedName function="false" hidden="false" name="_sdram_ibank_val" vbProcedure="false">MAX(MIN(LOG(_sdram_config_ibank,2),2^3-1),0)</definedName>
    <definedName function="false" hidden="false" name="_sdram_config_ebank" vbProcedure="false">MAX(MIN(_sdram_ebank-1,1),0)</definedName>
    <definedName function="false" hidden="false" name="_sdram_ebank" vbProcedure="false">'[1]Step1-SystemDetails'!$F$24</definedName>
    <definedName function="false" hidden="false" name="_sdram_config_pagesize" vbProcedure="false">MAX(MIN(_sdram_col_bits - 8,2^3-1),0)</definedName>
    <definedName function="false" hidden="false" name="_emif_sdram_config_val_avatar" vbProcedure="false">DEC2HEX(SUM(_sdram_config_type*2^29,_sdram_config_ibank_pos*2^27,_sdram_config_rtt*2^24,_sdram_config_ddr2_dqs*2^23,_sdram_config_dyn_rtt*2^21,_sdram_config_dll_dis*2^20,_sdram_config_drive_imp*2^18,_sdram_cwl_val*2^16,_sdram_config_narrow_mode*2^14,_sdram_cl_val*2^10,_sdram_config_rowsize*2^7,_sdram_ibank_val*2^4,_sdram_config_ebank*2^3,_sdram_config_pagesize),8)</definedName>
    <definedName function="false" hidden="false" name="_EMIF_SDRAM_REF_CTRL_INIT_VAL" vbProcedure="false">DEC2HEX(SUM(_sdram_initref_dis*2^31,_sdram_srt*2^29,_sdram_asr*2^28,_sdram_pasr*2^24,_t_refi_init),8)</definedName>
    <definedName function="false" hidden="false" name="_sdram_initref_dis" vbProcedure="false">0</definedName>
    <definedName function="false" hidden="false" name="_sdram_srt" vbProcedure="false">0</definedName>
    <definedName function="false" hidden="false" name="_sdram_asr" vbProcedure="false">0</definedName>
    <definedName function="false" hidden="false" name="_sdram_pasr" vbProcedure="false">0</definedName>
    <definedName function="false" hidden="false" name="_t_refi_init" vbProcedure="false">MAX(MIN(ROUNDUP( _t_refi_ns_init*_ddr_pll_freq/1000,0),2^16-1),6*_t_rfc_user)</definedName>
    <definedName function="false" hidden="false" name="_t_refi_ns_init" vbProcedure="false">IF(_sdram_type="DDR3/L",31250,12500)</definedName>
    <definedName function="false" hidden="false" name="_t_rfc_user" vbProcedure="false">MAX(MIN(ROUNDUP(MAX(_t_rfc_ck_user, _t_rfc_ns_user*_ddr_pll_freq/1000),0)-1,2^9-1),0)</definedName>
    <definedName function="false" hidden="false" name="_t_rfc_ck_user" vbProcedure="false">'[1]Step3-DDRTimings'!$F$41</definedName>
    <definedName function="false" hidden="false" name="_t_rfc_ns_user" vbProcedure="false">'[1]Step3-DDRTimings'!$G$41</definedName>
    <definedName function="false" hidden="false" name="_EMIF_SDRAM_REF_CTRL_VAL" vbProcedure="false">DEC2HEX(SUM(_sdram_initref_dis*2^31,_sdram_srt*2^29,_sdram_asr*2^28,_sdram_pasr*2^24,_t_refi),8)</definedName>
    <definedName function="false" hidden="false" name="_t_refi" vbProcedure="false">IF(_enable_jedec=1,_t_refi_jedec,_t_refi_user)</definedName>
    <definedName function="false" hidden="false" name="_enable_jedec" vbProcedure="false">0</definedName>
    <definedName function="false" hidden="false" localSheetId="0" name="_t_refi_jedec" vbProcedure="false">IFERROR(ROUNDDOWN(_t_refi_ns*_ddr_pll_freq/1000,0),0)</definedName>
    <definedName function="false" hidden="false" localSheetId="0" name="_t_refi_ns" vbProcedure="false">IF(_t_case=95,3900,7800)</definedName>
    <definedName function="false" hidden="false" name="_t_case" vbProcedure="false">85</definedName>
    <definedName function="false" hidden="false" name="_t_refi_user" vbProcedure="false">MAX(MIN(ROUNDDOWN( _t_refi_ns_user*_ddr_pll_freq/1000,0),2^16-1),6*_t_rfc_user)</definedName>
    <definedName function="false" hidden="false" name="_t_refi_ns_user" vbProcedure="false">'[1]Step3-DDRTimings'!$G$43</definedName>
    <definedName function="false" hidden="false" name="_EMIF_SDRAM_TIM_1_VAL" vbProcedure="false">DEC2HEX(SUM(_t_rtw_gel*2^29,_t_rp*2^25,_t_rcd*2^21,_t_wr*2^17,_t_ras*2^12,_t_rc*2^6,_t_rrd*2^3,_t_wtr),8)</definedName>
    <definedName function="false" hidden="false" name="_t_rtw_gel" vbProcedure="false">6</definedName>
    <definedName function="false" hidden="false" name="_t_rp" vbProcedure="false">IF(_enable_jedec=1,_t_rp_jedec,_t_rp_user)</definedName>
    <definedName function="false" hidden="false" localSheetId="0" name="_t_rp_jedec" vbProcedure="false">IFERROR(ROUNDUP(_t_rp_ns*_ddr_pll_freq/1000,0)-1,0)</definedName>
    <definedName function="false" hidden="false" localSheetId="0" name="_t_rp_ns" vbProcedure="false">IF(_sdram_type="LPDDR2",MAX(3*1000/_ddr_pll_freq,IF(_sdram_config_ibank=4,18,21)),IF(_sdram_type="DDR2",INDEX(_ddr2_sb_rp,_sdram_sb),INDEX(_ddr3_sb_rp,_sdram_sb)))</definedName>
    <definedName function="false" hidden="false" localSheetId="0" name="_ddr2_sb_rp" vbProcedure="false">{15;20;11.25;15;12;15;10;12.5;15}</definedName>
    <definedName function="false" hidden="false" localSheetId="0" name="_ddr3_sb_rp" vbProcedure="false">{12.5;15;11.25;13.125;15;10.5;12;13.5;15;10;11.25;12.5;13.75;10.7;11.77;12.84;13.91;10.285;11.22;12.155;13.09}</definedName>
    <definedName function="false" hidden="false" name="_t_rp_user" vbProcedure="false">MAX(MIN(ROUNDUP(MAX(_t_rp_ck_user, _t_rp_ns_user*_ddr_pll_freq/1000),0)-1,2^4-1),0)</definedName>
    <definedName function="false" hidden="false" name="_t_rp_ck_user" vbProcedure="false">'[1]Step3-DDRTimings'!$F$27</definedName>
    <definedName function="false" hidden="false" name="_t_rp_ns_user" vbProcedure="false">'[1]Step3-DDRTimings'!$G$27</definedName>
    <definedName function="false" hidden="false" name="_t_rcd" vbProcedure="false">IF(_enable_jedec=1,_t_rcd_jedec,_t_rcd_user)</definedName>
    <definedName function="false" hidden="false" localSheetId="0" name="_t_rcd_jedec" vbProcedure="false">IFERROR(ROUNDUP(_t_rcd_ns*_ddr_pll_freq/1000,0)-1,0)</definedName>
    <definedName function="false" hidden="false" localSheetId="0" name="_t_rcd_ns" vbProcedure="false">IF(_sdram_type="LPDDR2",MAX(3*1000/_ddr_pll_freq,18),IF(_sdram_type="DDR2",INDEX(_ddr2_sb_rcd,_sdram_sb),INDEX(_ddr3_sb_rcd,_sdram_sb)))</definedName>
    <definedName function="false" hidden="false" localSheetId="0" name="_ddr2_sb_rcd" vbProcedure="false">{15;20;11.25;15;12;15;10;12.5;15}</definedName>
    <definedName function="false" hidden="false" localSheetId="0" name="_ddr3_sb_rcd" vbProcedure="false">{12.5;15;11.25;13.125;15;10.5;12;13.5;15;10;11.25;12.5;13.75;10.7;11.77;12.84;13.91;10.285;11.22;12.155;13.09}</definedName>
    <definedName function="false" hidden="false" name="_t_rcd_user" vbProcedure="false">MAX(MIN(ROUNDUP(MAX(_t_rcd_ck_user, _t_rcd_ns_user*_ddr_pll_freq/1000),0)-1,2^4-1),0)</definedName>
    <definedName function="false" hidden="false" name="_t_rcd_ck_user" vbProcedure="false">'[1]Step3-DDRTimings'!$F$28</definedName>
    <definedName function="false" hidden="false" name="_t_rcd_ns_user" vbProcedure="false">'[1]Step3-DDRTimings'!$G$28</definedName>
    <definedName function="false" hidden="false" name="_t_wr" vbProcedure="false">IF(_enable_jedec=1,_t_wr_jedec,_t_wr_user)</definedName>
    <definedName function="false" hidden="false" localSheetId="0" name="_t_wr_jedec" vbProcedure="false">IFERROR(ROUNDUP(_t_wr_ns*_ddr_pll_freq/1000,0)-1,0)</definedName>
    <definedName function="false" hidden="false" localSheetId="0" name="_t_wr_ns" vbProcedure="false">IF(_sdram_type="LPDDR2",MAX(3*1000/_ddr_pll_freq,15),15)</definedName>
    <definedName function="false" hidden="false" name="_t_wr_user" vbProcedure="false">MAX(MIN(ROUNDUP(MAX(_t_wr_ck_user, _t_wr_ns_user*_ddr_pll_freq/1000),0)-1,2^4-1),0)</definedName>
    <definedName function="false" hidden="false" name="_t_wr_ck_user" vbProcedure="false">'[1]Step3-DDRTimings'!$F$29</definedName>
    <definedName function="false" hidden="false" name="_t_wr_ns_user" vbProcedure="false">'[1]Step3-DDRTimings'!$G$29</definedName>
    <definedName function="false" hidden="false" name="_t_ras" vbProcedure="false">IF(_enable_jedec=1,_t_ras_jedec,_t_ras_user)</definedName>
    <definedName function="false" hidden="false" localSheetId="0" name="_t_ras_jedec" vbProcedure="false">IFERROR(ROUNDUP(_t_ras_ns*_ddr_pll_freq/1000,0)-1,0)</definedName>
    <definedName function="false" hidden="false" localSheetId="0" name="_t_ras_ns" vbProcedure="false">IF(_sdram_type="LPDDR2",MAX(3*1000/_ddr_pll_freq,42),IF(_sdram_type="DDR2",INDEX(_ddr2_sb_ras_min,_sdram_sb),INDEX(_ddr3_sb_ras_min,_sdram_sb)))</definedName>
    <definedName function="false" hidden="false" localSheetId="0" name="_ddr2_sb_ras_min" vbProcedure="false">{40;45;45;45;45;45;45;45;45}</definedName>
    <definedName function="false" hidden="false" localSheetId="0" name="_ddr3_sb_ras_min" vbProcedure="false">{37.5;37.5;37.5;37.5;37.5;36;36;36;36;35;35;35;35;34;34;34;34;33;33;33;33}</definedName>
    <definedName function="false" hidden="false" name="_t_ras_user" vbProcedure="false">MAX(MIN(ROUNDUP(MAX(_t_ras_ck_user, _t_ras_ns_user*_ddr_pll_freq/1000),0)-1,2^5-1),_t_rcd_user)</definedName>
    <definedName function="false" hidden="false" name="_t_ras_ck_user" vbProcedure="false">'[1]Step3-DDRTimings'!$F$30</definedName>
    <definedName function="false" hidden="false" name="_t_ras_ns_user" vbProcedure="false">'[1]Step3-DDRTimings'!$G$30</definedName>
    <definedName function="false" hidden="false" name="_t_rc" vbProcedure="false">IF(_enable_jedec=1,_t_rc_jedec,_t_rc_user)</definedName>
    <definedName function="false" hidden="false" localSheetId="0" name="_t_rc_jedec" vbProcedure="false">IFERROR(ROUNDUP(_t_rc_ns*_ddr_pll_freq/1000,0)-1,0)</definedName>
    <definedName function="false" hidden="false" localSheetId="0" name="_t_rc_ns" vbProcedure="false">IF(_sdram_type="LPDDR2",_t_ras_ns+_t_rp_ns,IF(_sdram_type="DDR2",INDEX(_ddr2_sb_rc,_sdram_sb),INDEX(_ddr3_sb_rc,_sdram_sb)))</definedName>
    <definedName function="false" hidden="false" localSheetId="0" name="_ddr2_sb_rc" vbProcedure="false">{55;65;56.25;60;57;60;55;57.5;60}</definedName>
    <definedName function="false" hidden="false" localSheetId="0" name="_ddr3_sb_rc" vbProcedure="false">{50;52.5;48.75;50.625;52.5;46.5;48;49.5;51;45;46.25;47.5;48.75;44.7;45.77;46.84;47.91;43.285;44.22;45.155;46.09}</definedName>
    <definedName function="false" hidden="false" name="_t_rc_user" vbProcedure="false">MAX(MIN(ROUNDUP(MAX(_t_rc_ck_user, _t_rc_ns_user*_ddr_pll_freq/1000),0)-1,2^6-1),0)</definedName>
    <definedName function="false" hidden="false" name="_t_rc_ck_user" vbProcedure="false">'[1]Step3-DDRTimings'!$F$31</definedName>
    <definedName function="false" hidden="false" name="_t_rc_ns_user" vbProcedure="false">'[1]Step3-DDRTimings'!$G$31</definedName>
    <definedName function="false" hidden="false" name="_t_rrd" vbProcedure="false">IF(_enable_jedec=1,_t_rrd_jedec,_t_rrd_user)</definedName>
    <definedName function="false" hidden="false" localSheetId="0" name="_t_rrd_jedec" vbProcedure="false">IFERROR(ROUNDUP(_t_rrd_ns*_ddr_pll_freq/1000,0)-1,0)</definedName>
    <definedName function="false" hidden="false" localSheetId="0" name="_t_rrd_ns" vbProcedure="false">IF(_sdram_type="LPDDR2",MAX(2*1000/_ddr_pll_freq,10),IF(_sdram_type="DDR2",IF(_sdram_pagesize=2048,10,7.5),IF(_sdram_pagesize=2048,MAX(4*1000/_ddr_pll_freq,INDEX(_ddr3_sb_rrd_2k,_sdram_sb)),MAX(4*1000/_ddr_pll_freq,INDEX(_ddr3_sb_rrd_1k,_sdram_sb)))))</definedName>
    <definedName function="false" hidden="false" localSheetId="0" name="_sdram_pagesize" vbProcedure="false">2^_sdram_col_bits * _sdram_width / 8</definedName>
    <definedName function="false" hidden="false" localSheetId="0" name="_ddr3_sb_rrd_2k" vbProcedure="false">{10;10;10;10;10;7.5;7.5;7.5;7.5;7.5;7.5;7.5;7.5;6;6;6;6;6;6;6;6}</definedName>
    <definedName function="false" hidden="false" localSheetId="0" name="_ddr3_sb_rrd_1k" vbProcedure="false">{10;10;7.5;7.5;7.5;6;6;6;6;6;6;6;6;5;5;5;5;5;5;5;5}</definedName>
    <definedName function="false" hidden="false" name="_t_rrd_user" vbProcedure="false">MAX(MIN(MAX(_t_faw_user,ROUNDUP(IF(AND(_sdram_type="DDR2",_sdram_config_ibank=8),((4*MAX(_t_rrd_ck_user,_t_rrd_ns_user*_ddr_pll_freq/1000))+2)/4,MAX(_t_rrd_ck_user,_t_rrd_ns_user*_ddr_pll_freq/1000)),0)-1),2^3-1),0)</definedName>
    <definedName function="false" hidden="false" name="_t_faw_user" vbProcedure="false">ROUNDUP(MAX(_t_faw_ck_user, _t_faw_ns_user*_ddr_pll_freq/1000)/4,0)-1</definedName>
    <definedName function="false" hidden="false" name="_t_faw_ck_user" vbProcedure="false">'[1]Step3-DDRTimings'!$F$44</definedName>
    <definedName function="false" hidden="false" name="_t_faw_ns_user" vbProcedure="false">'[1]Step3-DDRTimings'!$G$44</definedName>
    <definedName function="false" hidden="false" name="_t_rrd_ck_user" vbProcedure="false">'[1]Step3-DDRTimings'!$F$32</definedName>
    <definedName function="false" hidden="false" name="_t_rrd_ns_user" vbProcedure="false">'[1]Step3-DDRTimings'!$G$32</definedName>
    <definedName function="false" hidden="false" name="_t_wtr" vbProcedure="false">IF(_enable_jedec=1,_t_wtr_jedec,_t_wtr_user)</definedName>
    <definedName function="false" hidden="false" localSheetId="0" name="_t_wtr_jedec" vbProcedure="false">IFERROR(ROUNDUP(_t_wtr_ns*_ddr_pll_freq/1000,0)-1,0)</definedName>
    <definedName function="false" hidden="false" localSheetId="0" name="_t_wtr_ns" vbProcedure="false">IF(_sdram_type="LPDDR2",MAX(2*1000/_ddr_pll_freq,INDEX(_lpddr2_sb_wtr,_sdram_sb)),IF(_sdram_type="DDR2",INDEX(_ddr2_sb_wtr,_sdram_sb),MAX(4*1000/_ddr_pll_freq,7.5)))</definedName>
    <definedName function="false" hidden="false" localSheetId="0" name="_lpddr2_sb_wtr" vbProcedure="false">{10;10;7.5;7.5;7.5;7.5;7.5}</definedName>
    <definedName function="false" hidden="false" localSheetId="0" name="_ddr2_sb_wtr" vbProcedure="false">{10;10;7.5;7.5;7.5;7.5;7.5;7.5;7.5}</definedName>
    <definedName function="false" hidden="false" name="_t_wtr_user" vbProcedure="false">MAX(MIN(ROUNDUP(MAX(_t_wtr_ck_user, _t_wtr_ns_user*_ddr_pll_freq/1000),0)-1,2^3-1),0)</definedName>
    <definedName function="false" hidden="false" name="_t_wtr_ck_user" vbProcedure="false">'[1]Step3-DDRTimings'!$F$33</definedName>
    <definedName function="false" hidden="false" name="_t_wtr_ns_user" vbProcedure="false">'[1]Step3-DDRTimings'!$G$33</definedName>
    <definedName function="false" hidden="false" name="_EMIF_SDRAM_TIM_2_VAL" vbProcedure="false">DEC2HEX(SUM(_t_xp*2^28,_t_xsnr*2^16,_t_xsrd*2^6,_t_rtp*2^3,_t_cke),8)</definedName>
    <definedName function="false" hidden="false" name="_t_xp" vbProcedure="false">IF(_enable_jedec=1,_t_xp_jedec,IF(_sdram_type="DDR2",MAX(_t_xp_user,_t_cke_user),_t_xp_user))</definedName>
    <definedName function="false" hidden="false" localSheetId="0" name="_t_xp_jedec" vbProcedure="false">IFERROR(ROUNDUP(_t_xp_ns*_ddr_pll_freq/1000,0)-1,0)</definedName>
    <definedName function="false" hidden="false" localSheetId="0" name="_t_xp_ns" vbProcedure="false">IF(_sdram_type="LPDDR2",MAX(2*1000/_ddr_pll_freq,7.5),IF(_sdram_type="DDR2",2*1000/_ddr_pll_freq,MAX(3*1000/_ddr_pll_freq,INDEX(_ddr3_sb_xp,_sdram_sb))))</definedName>
    <definedName function="false" hidden="false" localSheetId="0" name="_ddr3_sb_xp" vbProcedure="false">{7.5;7.5;7.5;7.5;7.5;6;6;6;6;6;6;6;6;6;6;6;6;6;6;6;6}</definedName>
    <definedName function="false" hidden="false" name="_t_xp_user" vbProcedure="false">MAX(MIN(ROUNDUP(MAX(_t_xp_ck_user, _t_xp_ns_user*_ddr_pll_freq/1000),0)-1,2^3-1),0)</definedName>
    <definedName function="false" hidden="false" name="_t_xp_ck_user" vbProcedure="false">'[1]Step3-DDRTimings'!$F$34</definedName>
    <definedName function="false" hidden="false" name="_t_xp_ns_user" vbProcedure="false">'[1]Step3-DDRTimings'!$G$34</definedName>
    <definedName function="false" hidden="false" name="_t_cke_user" vbProcedure="false">MAX(MIN(ROUNDUP(MAX(_t_cke_ck_user, _t_cke_ns_user*_ddr_pll_freq/1000),0)-1,2^3-1),0)</definedName>
    <definedName function="false" hidden="false" name="_t_cke_ck_user" vbProcedure="false">'[1]Step3-DDRTimings'!$F$38</definedName>
    <definedName function="false" hidden="false" name="_t_cke_ns_user" vbProcedure="false">'[1]Step3-DDRTimings'!$G$38</definedName>
    <definedName function="false" hidden="false" name="_t_xsnr" vbProcedure="false">IF(_enable_jedec=1,_t_xsnr_jedec,_t_xsnr_user)</definedName>
    <definedName function="false" hidden="false" localSheetId="0" name="_t_xsnr_jedec" vbProcedure="false">IFERROR(ROUNDUP(_t_xsnr_ns*_ddr_pll_freq/1000,0)-1,0)</definedName>
    <definedName function="false" hidden="false" localSheetId="0" name="_t_xsnr_ns" vbProcedure="false">IF(_sdram_type="LPDDR2",MAX(2*1000/_ddr_pll_freq,_t_rfc_ns+10),IF(_sdram_type="DDR2",_t_rfc_ns+10,MAX(5*1000/_ddr_pll_freq,_t_rfc_ns+10)))</definedName>
    <definedName function="false" hidden="false" localSheetId="0" name="_t_rfc_ns" vbProcedure="false">IF(_sdram_type="LPDDR2",INDEX(_t_rfc_lpddr2,MATCH(_sdram_density,_lpddr2_densities,0)),IF(_sdram_type="DDR2",INDEX(_t_rfc_ddr2,MATCH(_sdram_density,_ddr2_densities,0)),INDEX(_t_rfc_ddr3,MATCH(_sdram_density,_ddr3_densities,0))))</definedName>
    <definedName function="false" hidden="false" localSheetId="0" name="_t_rfc_lpddr2" vbProcedure="false">{90;90;130;130;130;210}</definedName>
    <definedName function="false" hidden="false" localSheetId="0" name="_t_rfc_ddr2" vbProcedure="false">{75;105;127.5;195;327.5}</definedName>
    <definedName function="false" hidden="false" localSheetId="0" name="_t_rfc_ddr3" vbProcedure="false">{90;110;160;260;350}</definedName>
    <definedName function="false" hidden="false" name="_t_xsnr_user" vbProcedure="false">MAX(MIN(ROUNDUP(MAX(_t_xsnr_ck_user, _t_xsnr_ns_user*_ddr_pll_freq/1000),0)-1,2^9-1),0)</definedName>
    <definedName function="false" hidden="false" name="_t_xsnr_ck_user" vbProcedure="false">'[1]Step3-DDRTimings'!$F$35</definedName>
    <definedName function="false" hidden="false" name="_t_xsnr_ns_user" vbProcedure="false">'[1]Step3-DDRTimings'!$G$35</definedName>
    <definedName function="false" hidden="false" name="_t_xsrd" vbProcedure="false">IF(_enable_jedec=1,_t_xsrd_jedec,_t_xsrd_user)</definedName>
    <definedName function="false" hidden="false" localSheetId="0" name="_t_xsrd_jedec" vbProcedure="false">IFERROR(ROUNDUP(_t_xsrd_ns*_ddr_pll_freq/1000,0)-1,0)</definedName>
    <definedName function="false" hidden="false" localSheetId="0" name="_t_xsrd_ns" vbProcedure="false">IF(_sdram_type="LPDDR2",_t_xsnr_ns,IF(_sdram_type="DDR2",200*1000/_ddr_pll_freq,_t_dllk_ns))</definedName>
    <definedName function="false" hidden="false" localSheetId="0" name="_t_dllk_ns" vbProcedure="false">512*1000/_ddr_pll_freq</definedName>
    <definedName function="false" hidden="false" name="_t_xsrd_user" vbProcedure="false">MAX(MIN(ROUNDUP(MAX(_t_xsrd_ck_user, _t_xsrd_ns_user*_ddr_pll_freq/1000),0)-1,2^10-1),0)</definedName>
    <definedName function="false" hidden="false" name="_t_xsrd_ck_user" vbProcedure="false">'[1]Step3-DDRTimings'!$F$36</definedName>
    <definedName function="false" hidden="false" name="_t_xsrd_ns_user" vbProcedure="false">'[1]Step3-DDRTimings'!$G$36</definedName>
    <definedName function="false" hidden="false" name="_t_rtp" vbProcedure="false">IF(_enable_jedec=1,_t_rtp_jedec,_t_rtp_user)</definedName>
    <definedName function="false" hidden="false" localSheetId="0" name="_t_rtp_jedec" vbProcedure="false">IFERROR(ROUNDUP(_t_rtp_ns*_ddr_pll_freq/1000,0)-1,0)</definedName>
    <definedName function="false" hidden="false" localSheetId="0" name="_t_rtp_ns" vbProcedure="false">IF(_sdram_type="LPDDR2",MAX(2*1000/_ddr_pll_freq,7.5),IF(_sdram_type="DDR2",7.5,MAX(4*1000/_ddr_pll_freq,7.5)))</definedName>
    <definedName function="false" hidden="false" name="_t_rtp_user" vbProcedure="false">MAX(MIN(ROUNDUP(MAX(_t_rtp_ck_user, _t_rtp_ns_user*_ddr_pll_freq/1000),0)-1,2^3-1),0)</definedName>
    <definedName function="false" hidden="false" name="_t_rtp_ck_user" vbProcedure="false">'[1]Step3-DDRTimings'!$F$37</definedName>
    <definedName function="false" hidden="false" name="_t_rtp_ns_user" vbProcedure="false">'[1]Step3-DDRTimings'!$G$37</definedName>
    <definedName function="false" hidden="false" name="_t_cke" vbProcedure="false">IF(_enable_jedec=1,_t_cke_jedec,_t_cke_user)</definedName>
    <definedName function="false" hidden="false" localSheetId="0" name="_t_cke_jedec" vbProcedure="false">IFERROR(ROUNDUP(_t_cke_ns*_ddr_pll_freq/1000,0)-1,0)</definedName>
    <definedName function="false" hidden="false" localSheetId="0" name="_t_cke_ns" vbProcedure="false">IF(_sdram_type="LPDDR2",3*1000/_ddr_pll_freq,IF(_sdram_type="DDR2",3*1000/_ddr_pll_freq,MAX(3*1000/_ddr_pll_freq,INDEX(_ddr3_sb_cke,_sdram_sb))))</definedName>
    <definedName function="false" hidden="false" localSheetId="0" name="_ddr3_sb_cke" vbProcedure="false">{7.5;7.5;5.625;5.625;5.625;5.625;5.625;5.625;5.625;5;5;5;5;5;5;5;5;5;5;5;5}</definedName>
    <definedName function="false" hidden="false" name="_EMIF_SDRAM_TIM_3_VAL" vbProcedure="false">DEC2HEX(SUM(_t_pdll_ul*2^28,_t_csta*2^24,_t_ckesr*2^21,_t_zqcs*2^15,_t_dqsck_max*2^13,_t_rfc*2^4,_t_ras_max),8)</definedName>
    <definedName function="false" hidden="false" name="_t_pdll_ul" vbProcedure="false">4</definedName>
    <definedName function="false" hidden="false" name="_t_csta" vbProcedure="false">IF(_sdram_config_ebank=1,6-1,0)</definedName>
    <definedName function="false" hidden="false" name="_t_ckesr" vbProcedure="false">IF(_enable_jedec=1,_t_ckesr_jedec,_t_ckesr_user)</definedName>
    <definedName function="false" hidden="false" localSheetId="0" name="_t_ckesr_jedec" vbProcedure="false">IF(_sdram_type="LPDDR2",IFERROR(ROUNDUP(_t_ckesr_ns*_ddr_pll_freq/1000,0)-1,0),_t_cke_jedec+1)</definedName>
    <definedName function="false" hidden="false" localSheetId="0" name="_t_ckesr_ns" vbProcedure="false">MAX(3*1000/_ddr_pll_freq,15)</definedName>
    <definedName function="false" hidden="false" name="_t_ckesr_user" vbProcedure="false">MAX(MIN(ROUNDUP(MAX(_t_ckesr_ck_user, _t_ckesr_ns_user*_ddr_pll_freq/1000),0)-1,2^3-1),0)</definedName>
    <definedName function="false" hidden="false" name="_t_ckesr_ck_user" vbProcedure="false">'[1]Step3-DDRTimings'!$F$39</definedName>
    <definedName function="false" hidden="false" name="_t_ckesr_ns_user" vbProcedure="false">'[1]Step3-DDRTimings'!$G$39</definedName>
    <definedName function="false" hidden="false" name="_t_zqcs" vbProcedure="false">IF(_enable_jedec=1,_t_zqcs_jedec,_t_zqcs_user)</definedName>
    <definedName function="false" hidden="false" localSheetId="0" name="_t_zqcs_jedec" vbProcedure="false">IFERROR(ROUNDUP(_t_zqcs_ns*_ddr_pll_freq/1000,0)-1,0)</definedName>
    <definedName function="false" hidden="false" localSheetId="0" name="_t_zqcs_ns" vbProcedure="false">IF(_sdram_type="LPDDR2",MAX(6*1000/_ddr_pll_freq,90),MAX(64*1000/_ddr_pll_freq,80))</definedName>
    <definedName function="false" hidden="false" name="_t_zqcs_user" vbProcedure="false">MAX(MIN(ROUNDUP(MAX(_t_zqcs_ck_user, _t_zqcs_ns_user*_ddr_pll_freq/1000),0)-1,2^6-1),0)</definedName>
    <definedName function="false" hidden="false" name="_t_zqcs_ck_user" vbProcedure="false">'[1]Step3-DDRTimings'!$F$40</definedName>
    <definedName function="false" hidden="false" name="_t_zqcs_ns_user" vbProcedure="false">'[1]Step3-DDRTimings'!$G$40</definedName>
    <definedName function="false" hidden="false" name="_t_dqsck_max" vbProcedure="false">IF(_sdram_type="LPDDR2",MAX(MIN(ROUNDUP(_t_dqsck_max_ps*_ddr_pll_freq/1000000,0)-1,2^2-1),0),0)</definedName>
    <definedName function="false" hidden="false" name="_t_dqsck_max_ps" vbProcedure="false">6000</definedName>
    <definedName function="false" hidden="false" name="_t_rfc" vbProcedure="false">IF(_enable_jedec=1,_t_rfc_jedec,_t_rfc_user)</definedName>
    <definedName function="false" hidden="false" localSheetId="0" name="_t_rfc_jedec" vbProcedure="false">IFERROR(ROUNDUP(_t_rfc_ns*_ddr_pll_freq/1000,0)-1,0)</definedName>
    <definedName function="false" hidden="false" name="_t_ras_max" vbProcedure="false">IF(_enable_jedec=1,_t_ras_max_jedec,_t_ras_max_user)</definedName>
    <definedName function="false" hidden="false" localSheetId="0" name="_t_ras_max_jedec" vbProcedure="false">IFERROR(ROUNDDOWN(_t_ras_max_ns/_t_refi_ns,0)-1,0)</definedName>
    <definedName function="false" hidden="false" localSheetId="0" name="_t_ras_max_ns" vbProcedure="false">IF(_sdram_type="LPDDR2",70000,IF(_sdram_type="DDR2",70000,9*_t_refi_ns))</definedName>
    <definedName function="false" hidden="false" name="_t_ras_max_user" vbProcedure="false">MAX(MIN(ROUNDDOWN(_t_ras_max_ns_user/_t_refi_ns_user,0)-1,2^4-1),0)</definedName>
    <definedName function="false" hidden="false" name="_t_ras_max_ns_user" vbProcedure="false">'[1]Step3-DDRTimings'!$G$42</definedName>
    <definedName function="false" hidden="false" name="_EMIF_TEMP_ALERT_CONFIG_VAL" vbProcedure="false">"00000000"</definedName>
    <definedName function="false" hidden="false" name="_EMIF_ZQ_CONFIG_VAL" vbProcedure="false">DEC2HEX(SUM(_zq_cs1en*2^31,_zq_cs0en*2^30,_zq_dualcalen*2^29,_zq_sfexiten*2^28,_zq_zqinit_mult*2^18,_zq_zqcl_mult*2^16,_zq_refinterval),8)</definedName>
    <definedName function="false" hidden="false" name="_zq_cs1en" vbProcedure="false">_sdram_ebank - 1</definedName>
    <definedName function="false" hidden="false" name="_zq_cs0en" vbProcedure="false">1</definedName>
    <definedName function="false" hidden="false" name="_zq_dualcalen" vbProcedure="false">0</definedName>
    <definedName function="false" hidden="false" name="_zq_sfexiten" vbProcedure="false">1</definedName>
    <definedName function="false" hidden="false" name="_zq_zqinit_mult" vbProcedure="false">1</definedName>
    <definedName function="false" hidden="false" name="_zq_zqcl_mult" vbProcedure="false">3</definedName>
    <definedName function="false" hidden="false" name="_zq_refinterval" vbProcedure="false">6411</definedName>
    <definedName function="false" hidden="false" name="_fifowe_init4_ch1_cs0" vbProcedure="false">_fifowe_ratio4_ch1_cs0 - ROUND((125000 / _ddr_pll_freq / _dll_res),0)</definedName>
    <definedName function="false" hidden="false" name="_fifowe_init4_ch1_cs1" vbProcedure="false">_fifowe_ratio4_ch1_cs1 - ROUND((125000 / _ddr_pll_freq / _dll_res),0)</definedName>
    <definedName function="false" hidden="false" name="_is_ma_present" vbProcedure="false">IF(_soc_name="adaslow",0,1)</definedName>
    <definedName function="false" hidden="false" name="_j6e_evm_rdtrip_delay_emif1" vbProcedure="false">0</definedName>
    <definedName function="false" hidden="false" name="_j6_evm_rdtrip_delay_emif1" vbProcedure="false">1000</definedName>
    <definedName function="false" hidden="false" name="_j6_evm_rdtrip_delay_emif2" vbProcedure="false">700</definedName>
    <definedName function="false" hidden="false" name="_lpddr2_cl" vbProcedure="false">{"NA"}</definedName>
    <definedName function="false" hidden="false" name="_lpddr2_sb_1074_ck" vbProcedure="false">{1.875}</definedName>
    <definedName function="false" hidden="false" name="_lpddr2_sb_1074_cl" vbProcedure="false">{8}</definedName>
    <definedName function="false" hidden="false" name="_lpddr2_sb_336_ck" vbProcedure="false">{6}</definedName>
    <definedName function="false" hidden="false" name="_lpddr2_sb_336_cl" vbProcedure="false">{3}</definedName>
    <definedName function="false" hidden="false" name="_lpddr2_sb_403_ck" vbProcedure="false">{5}</definedName>
    <definedName function="false" hidden="false" name="_lpddr2_sb_403_cl" vbProcedure="false">{3}</definedName>
    <definedName function="false" hidden="false" name="_lpddr2_sb_537_ck" vbProcedure="false">{3.75}</definedName>
    <definedName function="false" hidden="false" name="_lpddr2_sb_537_cl" vbProcedure="false">{4}</definedName>
    <definedName function="false" hidden="false" name="_lpddr2_sb_672_ck" vbProcedure="false">{3}</definedName>
    <definedName function="false" hidden="false" name="_lpddr2_sb_672_cl" vbProcedure="false">{5}</definedName>
    <definedName function="false" hidden="false" name="_lpddr2_sb_806_ck" vbProcedure="false">{2.5}</definedName>
    <definedName function="false" hidden="false" name="_lpddr2_sb_806_cl" vbProcedure="false">{6}</definedName>
    <definedName function="false" hidden="false" name="_lpddr2_sb_940_ck" vbProcedure="false">{2.14}</definedName>
    <definedName function="false" hidden="false" name="_lpddr2_sb_940_cl" vbProcedure="false">{7}</definedName>
    <definedName function="false" hidden="false" name="_lpddr2_sb_lookup" vbProcedure="false">{336;403;537;672;806;940;1074}</definedName>
    <definedName function="false" hidden="false" name="_lpddr2_sb_wtr" vbProcedure="false">{10;10;7.5;7.5;7.5;7.5;7.5}</definedName>
    <definedName function="false" hidden="false" name="_phy_fifowe_mis_clr" vbProcedure="false">0</definedName>
    <definedName function="false" hidden="false" name="_phy_mdll_unlock_clr" vbProcedure="false">0</definedName>
    <definedName function="false" hidden="false" name="_phy_rdc_fifo_rst_err_cnt_clr" vbProcedure="false">0</definedName>
    <definedName function="false" hidden="false" name="_phy_rdlvlgateinc_int" vbProcedure="false">0</definedName>
    <definedName function="false" hidden="false" name="_phy_rdlvlgateinc_rmp_int" vbProcedure="false">0</definedName>
    <definedName function="false" hidden="false" name="_phy_rdlvlinc_int" vbProcedure="false">0</definedName>
    <definedName function="false" hidden="false" name="_phy_rdlvlinc_rmp_int" vbProcedure="false">0</definedName>
    <definedName function="false" hidden="false" name="_phy_rdwrlvlinc_pre" vbProcedure="false">0</definedName>
    <definedName function="false" hidden="false" name="_phy_rdwrlvlinc_rmp_pre" vbProcedure="false">0</definedName>
    <definedName function="false" hidden="false" name="_phy_wrlvlinc_int" vbProcedure="false">0</definedName>
    <definedName function="false" hidden="false" name="_phy_wrlvlinc_rmp_int" vbProcedure="false">0</definedName>
    <definedName function="false" hidden="false" name="_sdram_cl" vbProcedure="false">INDEX(_sdram_sb_cl,SMALL(IF(1000/_ddr_pll_freq&gt;=_sdram_sb_ck,ROW(INDIRECT(CONCATENATE("1:",ROWS(_sdram_sb_ck)))),""),ROW(INDIRECT("1:1"))))</definedName>
    <definedName function="false" hidden="false" name="_sdram_sb_cl" vbProcedure="false">IF(_sdram_type="DDR2",CHOOSE(_sdram_sb,_ddr2_sb_403_cl,_ddr2_sb_404_cl,_ddr2_sb_536_cl,_ddr2_sb_537_cl,_ddr2_sb_671_cl,_ddr2_sb_672_cl,_ddr2_sb_804_cl,_ddr2_sb_805_cl,_ddr2_sb_806_cl),IF(_sdram_type="DDR3/L",CHOOSE(_sdram_sb,_ddr3_sb_805_cl,_ddr3_sb_806_cl,_ddr3_sb_1072_cl,_ddr3_sb_1073_cl,_ddr3_sb_1074_cl,_ddr3_sb_1340_cl,_ddr3_sb_1341_cl,_ddr3_sb_1342_cl,_ddr3_sb_1343_cl,_ddr3_sb_1608_cl,_ddr3_sb_1609_cl,_ddr3_sb_1610_cl,_ddr3_sb_1611_cl,_ddr3_sb_1876_cl,_ddr3_sb_1877_cl,_ddr3_sb_1878_cl,_ddr3_sb_1879_cl,_ddr3_sb_2144_cl,_ddr3_sb_2145_cl,_ddr3_sb_2146_cl,_ddr3_sb_2147_cl),CHOOSE(_sdram_sb,_lpddr2_sb_336_cl,_lpddr2_sb_403_cl,_lpddr2_sb_537_cl,_lpddr2_sb_672_cl,_lpddr2_sb_806_cl,_lpddr2_sb_940_cl,_lpddr2_sb_1074_cl)))</definedName>
    <definedName function="false" hidden="false" name="_sdram_sb" vbProcedure="false">MATCH(_sdram_data_rate + _sdram_cl_max,_sdram_sb_lookup,0)</definedName>
    <definedName function="false" hidden="false" name="_sdram_sb_lookup" vbProcedure="false">IF(_sdram_type="DDR2",_ddr2_sb_lookup,IF(_sdram_type="DDR3/L",_ddr3_sb_lookup,_lpddr2_sb_lookup))</definedName>
    <definedName function="false" hidden="false" name="_sdram_sb_ck" vbProcedure="false">IF(_sdram_type="DDR2",CHOOSE(_sdram_sb,_ddr2_sb_403_ck,_ddr2_sb_404_ck,_ddr2_sb_536_ck,_ddr2_sb_537_ck,_ddr2_sb_671_ck,_ddr2_sb_672_ck,_ddr2_sb_804_ck,_ddr2_sb_805_ck,_ddr2_sb_806_ck),IF(_sdram_type="DDR3/L",CHOOSE(_sdram_sb,_ddr3_sb_805_ck,_ddr3_sb_806_ck,_ddr3_sb_1072_ck,_ddr3_sb_1073_ck,_ddr3_sb_1074_ck,_ddr3_sb_1340_ck,_ddr3_sb_1341_ck,_ddr3_sb_1342_ck,_ddr3_sb_1343_ck,_ddr3_sb_1608_ck,_ddr3_sb_1609_ck,_ddr3_sb_1610_ck,_ddr3_sb_1611_ck,_ddr3_sb_1876_ck,_ddr3_sb_1877_ck,_ddr3_sb_1878_ck,_ddr3_sb_1879_ck,_ddr3_sb_2144_ck,_ddr3_sb_2145_ck,_ddr3_sb_2146_ck,_ddr3_sb_2147_ck),CHOOSE(_sdram_sb,_lpddr2_sb_336_ck,_lpddr2_sb_403_ck,_lpddr2_sb_537_ck,_lpddr2_sb_672_ck,_lpddr2_sb_806_ck,_lpddr2_sb_940_ck,_lpddr2_sb_1074_ck)))</definedName>
    <definedName function="false" hidden="false" name="_sdram_col_bits" vbProcedure="false">IF(_sdram_type="DDR3/L",_sdram_col_bits_ddr3,IF(_sdram_type="DDR2",_sdram_col_bits_ddr2,_sdram_col_bits_lpddr2))</definedName>
    <definedName function="false" hidden="false" name="_sdram_col_bits_ddr3" vbProcedure="false">IF(AND(_sdram_density=8,_sdram_width=4),12,IF(OR(AND(_sdram_density=8,_sdram_width=8),_sdram_width=4),11,10))</definedName>
    <definedName function="false" hidden="false" name="_sdram_col_bits_ddr2" vbProcedure="false">IF(_sdram_width=32,9,IF(AND(_sdram_density=0.25,_sdram_width=16),9,IF(_sdram_width=4,11,10)))</definedName>
    <definedName function="false" hidden="false" name="_sdram_col_bits_lpddr2" vbProcedure="false">IF(_sdram_density&lt;0.5,IF(_sdram_width=32,8,IF(_sdram_width=16,9,10)),IF(_sdram_density&gt;2,IF(_sdram_width=32,10,IF(_sdram_width=16,11,12)),IF(_sdram_width=32,9,IF(_sdram_width=16,10,11))))</definedName>
    <definedName function="false" hidden="false" name="_sdram_config_ibank" vbProcedure="false">IF(_sdram_type="DDR3/L",_sdram_config_ibank_ddr3,IF(_sdram_type="DDR2",_sdram_config_ibank_ddr2,_sdram_config_ibank_lpddr2))</definedName>
    <definedName function="false" hidden="false" name="_sdram_config_ibank_ddr2" vbProcedure="false">IF(_sdram_density&lt;1,4,8)</definedName>
    <definedName function="false" hidden="false" name="_sdram_config_ibank_lpddr2" vbProcedure="false">IF(_sdram_density&lt;1,4,8)</definedName>
    <definedName function="false" hidden="false" name="_sdram_cwl" vbProcedure="false">IF(_sdram_type="DDR3/L",INDEX(_sdram_sb_cwl,SMALL(IF(1000/_ddr_pll_freq&gt;=_sdram_sb_ck,ROW(INDIRECT(CONCATENATE("1:",ROWS(_sdram_sb_ck)))),""),ROW(INDIRECT("1:1")))),0)</definedName>
    <definedName function="false" hidden="false" name="_sdram_sb_cwl" vbProcedure="false">CHOOSE(_sdram_sb,_ddr3_sb_805_cwl,_ddr3_sb_806_cwl,_ddr3_sb_1072_cwl,_ddr3_sb_1073_cwl,_ddr3_sb_1074_cwl,_ddr3_sb_1340_cwl,_ddr3_sb_1341_cwl,_ddr3_sb_1342_cwl,_ddr3_sb_1343_cwl,_ddr3_sb_1608_cwl,_ddr3_sb_1609_cwl,_ddr3_sb_1610_cwl,_ddr3_sb_1611_cwl,_ddr3_sb_1876_cwl,_ddr3_sb_1877_cwl,_ddr3_sb_1878_cwl,_ddr3_sb_1879_cwl,_ddr3_sb_2144_cwl,_ddr3_sb_2145_cwl,_ddr3_sb_2146_cwl,_ddr3_sb_2147_cwl)</definedName>
    <definedName function="false" hidden="false" name="_sdram_pagesize" vbProcedure="false">2^_sdram_col_bits * _sdram_width / 8</definedName>
    <definedName function="false" hidden="false" name="_sdram_pagesize_list" vbProcedure="false">{256;512;1024;2048}</definedName>
    <definedName function="false" hidden="false" name="_sdram_sb_list" vbProcedure="false">IF(IF(_sdram_sb_lookup-_sdram_data_rate&gt;100,1,0)+IF(_sdram_sb_lookup-_sdram_data_rate&lt;0,1,0)=0,ROW(INDIRECT(CONCATENATE("1:",ROWS(_sdram_sb_lookup)))),"")</definedName>
    <definedName function="false" hidden="false" name="_sival_rdtrip_delay" vbProcedure="false">1000</definedName>
    <definedName function="false" hidden="false" name="_soc_io_i_part0_vayu" vbProcedure="false">4</definedName>
    <definedName function="false" hidden="false" name="_soc_register_name" vbProcedure="false">INDIRECT(ADDRESS(ROW(),COLUMN()+1))</definedName>
    <definedName function="false" hidden="false" name="_soc_register_name_ctrl_vayu" vbProcedure="false">{"CTRL_CORE_CONTROL_DDRCACH1_0_VAL";"CTRL_CORE_CONTROL_DDRCACH2_0_VAL";"CTRL_CORE_CONTROL_DDRCH1_0_VAL";"CTRL_CORE_CONTROL_DDRCH1_1_VAL";"CTRL_CORE_CONTROL_DDRCH2_0_VAL";"CTRL_CORE_CONTROL_DDRCH2_1_VAL";"CTRL_CORE_CONTROL_DDRCH1_2_VAL";"CTRL_WKUP_EMIF1_SDRAM_CONFIG_EXT";"CTRL_WKUP_EMIF2_SDRAM_CONFIG_EXT"}</definedName>
    <definedName function="false" hidden="false" name="_soc_register_name_ddrphy1" vbProcedure="false">IFERROR(CONCATENATE("// EMIF1_",INDEX(_soc_register_name_ddrphy_list,ROW()-ROW(_soc_register_name_ddrphy1_start)+1)),"")</definedName>
    <definedName function="false" hidden="false" name="_soc_register_name_ddrphy_list" vbProcedure="false">CHOOSE(MATCH(_soc_name,_soc_names,0),_soc_register_name_ddrphy_omap5_list,_soc_register_name_ddrphy_vayu_list,_soc_register_name_ddrphy_vayu_list,_soc_register_name_ddrphy_vayu_list)</definedName>
    <definedName function="false" hidden="false" name="_soc_register_name_ddrphy_omap5_list" vbProcedure="false">{"EXT_PHY_CTRL_1";"EXT_PHY_CTRL_2";"EXT_PHY_CTRL_3";"EXT_PHY_CTRL_4";"EXT_PHY_CTRL_5";"EXT_PHY_CTRL_6";"EXT_PHY_CTRL_7";"EXT_PHY_CTRL_8";"EXT_PHY_CTRL_9";"EXT_PHY_CTRL_10";"EXT_PHY_CTRL_11";"EXT_PHY_CTRL_12";"EXT_PHY_CTRL_13";"EXT_PHY_CTRL_14";"EXT_PHY_CTRL_15";"EXT_PHY_CTRL_16";"EXT_PHY_CTRL_17";"EXT_PHY_CTRL_18";"EXT_PHY_CTRL_19";"EXT_PHY_CTRL_20";"EXT_PHY_CTRL_21";"EXT_PHY_CTRL_22";"EXT_PHY_CTRL_23";"EXT_PHY_CTRL_24"}</definedName>
    <definedName function="false" hidden="false" name="_soc_register_name_ddrphy_vayu_list" vbProcedure="false">{"EXT_PHY_CTRL_1";"EXT_PHY_CTRL_2";"EXT_PHY_CTRL_3";"EXT_PHY_CTRL_4";"EXT_PHY_CTRL_5";"EXT_PHY_CTRL_6";"EXT_PHY_CTRL_7";"EXT_PHY_CTRL_8";"EXT_PHY_CTRL_9";"EXT_PHY_CTRL_10";"EXT_PHY_CTRL_11";"EXT_PHY_CTRL_12";"EXT_PHY_CTRL_13";"EXT_PHY_CTRL_14";"EXT_PHY_CTRL_15";"EXT_PHY_CTRL_16";"EXT_PHY_CTRL_17";"EXT_PHY_CTRL_18";"EXT_PHY_CTRL_19";"EXT_PHY_CTRL_20";"EXT_PHY_CTRL_21";"EXT_PHY_CTRL_22";"EXT_PHY_CTRL_23";"EXT_PHY_CTRL_24";"EXT_PHY_CTRL_25";"EXT_PHY_CTRL_26";"EXT_PHY_CTRL_27";"EXT_PHY_CTRL_28";"EXT_PHY_CTRL_29";"EXT_PHY_CTRL_30";"EXT_PHY_CTRL_31";"EXT_PHY_CTRL_32";"EXT_PHY_CTRL_33";"EXT_PHY_CTRL_34";"EXT_PHY_CTRL_35";"EXT_PHY_CTRL_36"}</definedName>
    <definedName function="false" hidden="false" name="_soc_register_name_ddrphy1_start" vbProcedure="false">'[1]Register Values'!$C$83</definedName>
    <definedName function="false" hidden="false" name="_soc_register_name_ddrphy2" vbProcedure="false">IFERROR(CONCATENATE("// EMIF2_",INDEX(_soc_register_name_ddrphy_list,ROW()-ROW(_soc_register_name_ddrphy2_start)+1)),"")</definedName>
    <definedName function="false" hidden="false" name="_soc_register_name_ddrphy2_start" vbProcedure="false">'[1]Register Values'!$C$122</definedName>
    <definedName function="false" hidden="false" name="_soc_register_name_dmm" vbProcedure="false">{"DMM_LISA_MAP_0_VAL";"DMM_LISA_MAP_1_VAL"}</definedName>
    <definedName function="false" hidden="false" name="_soc_register_name_emif" vbProcedure="false">{"EMIF_SDRAM_CONFIG_VAL";"EMIF_SDRAM_CONFIG_2_VAL";"EMIF_SDRAM_REF_CTRL_VAL";"EMIF_SDRAM_TIM_1_VAL";"EMIF_SDRAM_TIM_2_VAL";"EMIF_SDRAM_TIM_3_VAL";"EMIF_SDRAM_ZQ_CONFIG_VAL";"EMIF_RDWR_LVL_RMP_CTRL_VAL";"EMIF_RDWR_LVL_CTRL_VAL";"EMIF_DDR_PHY_CTRL_1_VAL"}</definedName>
    <definedName function="false" hidden="false" name="_soc_register_value" vbProcedure="false">IFERROR(CONCATENATE("0x",eval(CONCATENATE(REPLACE(_soc_register_name,1,3,"_"),"_VAL"))),"")</definedName>
    <definedName function="false" hidden="false" name="_tda3x_evm_rdtrip_delay_emif1" vbProcedure="false">0</definedName>
    <definedName function="false" hidden="false" name="_ti_supported_socs" vbProcedure="false">CONCATENATE([1]DynamicUserOptions!$V$6,[1]DynamicUserOptions!$V$7,[1]DynamicUserOptions!$V$8,[1]DynamicUserOptions!$V$9,[1]DynamicUserOptions!$V$10,[1]DynamicUserOptions!$V$11,[1]DynamicUserOptions!$V$12,[1]DynamicUserOptions!$V$13,[1]DynamicUserOptions!$V$14,[1]DynamicUserOptions!$V$15,[1]DynamicUserOptions!$V$16,[1]DynamicUserOptions!$V$17,[1]DynamicUserOptions!$V$18,[1]DynamicUserOptions!$V$19)</definedName>
    <definedName function="false" hidden="false" name="_t_ckesr_jedec" vbProcedure="false">IF(_sdram_type="LPDDR2",IFERROR(ROUNDUP(_t_ckesr_ns*_ddr_pll_freq/1000,0)-1,0),_t_cke_jedec+1)</definedName>
    <definedName function="false" hidden="false" name="_t_ckesr_ns" vbProcedure="false">MAX(3*1000/_ddr_pll_freq,15)</definedName>
    <definedName function="false" hidden="false" name="_t_cke_jedec" vbProcedure="false">IFERROR(ROUNDUP(_t_cke_ns*_ddr_pll_freq/1000,0)-1,0)</definedName>
    <definedName function="false" hidden="false" name="_t_cke_ns" vbProcedure="false">IF(_sdram_type="LPDDR2",3*1000/_ddr_pll_freq,IF(_sdram_type="DDR2",3*1000/_ddr_pll_freq,MAX(3*1000/_ddr_pll_freq,INDEX(_ddr3_sb_cke,_sdram_sb))))</definedName>
    <definedName function="false" hidden="false" name="_t_cl_user_max" vbProcedure="false">MAX(_sdram_sb_cl)</definedName>
    <definedName function="false" hidden="false" name="_t_cl_user_min" vbProcedure="false">MIN(_sdram_sb_cl)</definedName>
    <definedName function="false" hidden="false" name="_t_dllk_ns" vbProcedure="false">512*1000/_ddr_pll_freq</definedName>
    <definedName function="false" hidden="false" name="_t_faw_jedec" vbProcedure="false">IFERROR(ROUNDUP(_t_faw_ns*_ddr_pll_freq/4000,0)-1,0)</definedName>
    <definedName function="false" hidden="false" name="_t_faw_ns" vbProcedure="false">IF(_sdram_type="DDR2",IF(_sdram_pagesize=2048,INDEX(_ddr2_sb_faw_2k,_sdram_sb),INDEX(_ddr2_sb_faw_1k,_sdram_sb)),IF(_sdram_pagesize=2048,INDEX(_ddr3_sb_faw_2k,_sdram_sb),INDEX(_ddr3_sb_faw_1k,_sdram_sb)))</definedName>
    <definedName function="false" hidden="false" name="_t_odt" vbProcedure="false">0</definedName>
    <definedName function="false" hidden="false" name="_t_odt_jedec" vbProcedure="false">IFERROR(ROUNDUP(_t_odt_ns*_ddr_pll_freq/1000,0)-1,0)</definedName>
    <definedName function="false" hidden="false" name="_t_odt_ns" vbProcedure="false">IF(_sdram_type="DDR2",2000/_ddr_pll_freq,2)</definedName>
    <definedName function="false" hidden="false" name="_t_ras_jedec" vbProcedure="false">IFERROR(ROUNDUP(_t_ras_ns*_ddr_pll_freq/1000,0)-1,0)</definedName>
    <definedName function="false" hidden="false" name="_t_ras_ns" vbProcedure="false">IF(_sdram_type="LPDDR2",MAX(3*1000/_ddr_pll_freq,42),IF(_sdram_type="DDR2",INDEX(_ddr2_sb_ras_min,_sdram_sb),INDEX(_ddr3_sb_ras_min,_sdram_sb)))</definedName>
    <definedName function="false" hidden="false" name="_t_ras_max_jedec" vbProcedure="false">IFERROR(ROUNDDOWN(_t_ras_max_ns/_t_refi_ns,0)-1,0)</definedName>
    <definedName function="false" hidden="false" name="_t_ras_max_ns" vbProcedure="false">IF(_sdram_type="LPDDR2",70000,IF(_sdram_type="DDR2",70000,9*_t_refi_ns))</definedName>
    <definedName function="false" hidden="false" name="_t_refi_ns" vbProcedure="false">IF(_t_case=95,3900,7800)</definedName>
    <definedName function="false" hidden="false" name="_t_rcd_jedec" vbProcedure="false">IFERROR(ROUNDUP(_t_rcd_ns*_ddr_pll_freq/1000,0)-1,0)</definedName>
    <definedName function="false" hidden="false" name="_t_rcd_ns" vbProcedure="false">IF(_sdram_type="LPDDR2",MAX(3*1000/_ddr_pll_freq,18),IF(_sdram_type="DDR2",INDEX(_ddr2_sb_rcd,_sdram_sb),INDEX(_ddr3_sb_rcd,_sdram_sb)))</definedName>
    <definedName function="false" hidden="false" name="_t_rc_jedec" vbProcedure="false">IFERROR(ROUNDUP(_t_rc_ns*_ddr_pll_freq/1000,0)-1,0)</definedName>
    <definedName function="false" hidden="false" name="_t_rc_ns" vbProcedure="false">IF(_sdram_type="LPDDR2",_t_ras_ns+_t_rp_ns,IF(_sdram_type="DDR2",INDEX(_ddr2_sb_rc,_sdram_sb),INDEX(_ddr3_sb_rc,_sdram_sb)))</definedName>
    <definedName function="false" hidden="false" name="_t_rp_ns" vbProcedure="false">IF(_sdram_type="LPDDR2",MAX(3*1000/_ddr_pll_freq,IF(_sdram_config_ibank=4,18,21)),IF(_sdram_type="DDR2",INDEX(_ddr2_sb_rp,_sdram_sb),INDEX(_ddr3_sb_rp,_sdram_sb)))</definedName>
    <definedName function="false" hidden="false" name="_t_refi_jedec" vbProcedure="false">IFERROR(ROUNDDOWN(_t_refi_ns*_ddr_pll_freq/1000,0),0)</definedName>
    <definedName function="false" hidden="false" name="_t_rfc_ddr2" vbProcedure="false">{75;105;127.5;195;327.5}</definedName>
    <definedName function="false" hidden="false" name="_t_rfc_ddr3" vbProcedure="false">{90;110;160;260;350}</definedName>
    <definedName function="false" hidden="false" name="_t_rfc_jedec" vbProcedure="false">IFERROR(ROUNDUP(_t_rfc_ns*_ddr_pll_freq/1000,0)-1,0)</definedName>
    <definedName function="false" hidden="false" name="_t_rfc_ns" vbProcedure="false">IF(_sdram_type="LPDDR2",INDEX(_t_rfc_lpddr2,MATCH(_sdram_density,_lpddr2_densities,0)),IF(_sdram_type="DDR2",INDEX(_t_rfc_ddr2,MATCH(_sdram_density,_ddr2_densities,0)),INDEX(_t_rfc_ddr3,MATCH(_sdram_density,_ddr3_densities,0))))</definedName>
    <definedName function="false" hidden="false" name="_t_rfc_lpddr2" vbProcedure="false">{90;90;130;130;130;210}</definedName>
    <definedName function="false" hidden="false" name="_t_rp_jedec" vbProcedure="false">IFERROR(ROUNDUP(_t_rp_ns*_ddr_pll_freq/1000,0)-1,0)</definedName>
    <definedName function="false" hidden="false" name="_t_rrd_jedec" vbProcedure="false">IFERROR(ROUNDUP(_t_rrd_ns*_ddr_pll_freq/1000,0)-1,0)</definedName>
    <definedName function="false" hidden="false" name="_t_rrd_ns" vbProcedure="false">IF(_sdram_type="LPDDR2",MAX(2*1000/_ddr_pll_freq,10),IF(_sdram_type="DDR2",IF(_sdram_pagesize=2048,10,7.5),IF(_sdram_pagesize=2048,MAX(4*1000/_ddr_pll_freq,INDEX(_ddr3_sb_rrd_2k,_sdram_sb)),MAX(4*1000/_ddr_pll_freq,INDEX(_ddr3_sb_rrd_1k,_sdram_sb)))))</definedName>
    <definedName function="false" hidden="false" name="_t_rtp_jedec" vbProcedure="false">IFERROR(ROUNDUP(_t_rtp_ns*_ddr_pll_freq/1000,0)-1,0)</definedName>
    <definedName function="false" hidden="false" name="_t_rtp_ns" vbProcedure="false">IF(_sdram_type="LPDDR2",MAX(2*1000/_ddr_pll_freq,7.5),IF(_sdram_type="DDR2",7.5,MAX(4*1000/_ddr_pll_freq,7.5)))</definedName>
    <definedName function="false" hidden="false" name="_t_rtw" vbProcedure="false">ROUNDUP(((((MAX(_t_rdtrip_brddly_p0_ch1_cs0, _t_rdtrip_brddly_p0_ch1_cs1, _t_rdtrip_brddly_p0_ch2_cs0, _t_rdtrip_brddly_p0_ch2_cs1, _t_rdtrip_brddly_p1_ch1_cs0, _t_rdtrip_brddly_p1_ch1_cs1, _t_rdtrip_brddly_p1_ch2_cs0, _t_rdtrip_brddly_p1_ch2_cs1, _t_rdtrip_brddly_p2_ch1_cs0, _t_rdtrip_brddly_p2_ch1_cs1, _t_rdtrip_brddly_p2_ch2_cs0, _t_rdtrip_brddly_p2_ch2_cs1, _t_rdtrip_brddly_p3_ch1_cs0, _t_rdtrip_brddly_p3_ch1_cs1, _t_rdtrip_brddly_p3_ch2_cs0, _t_rdtrip_brddly_p3_ch2_cs1, _t_rdtrip_brddly_p4_ch1_cs0, _t_rdtrip_brddly_p4_ch1_cs1, _t_rdtrip_brddly_p4_ch2_cs0, _t_rdtrip_brddly_p4_ch2_cs1)+400)*_ddr_pll_freq)/1000000)+(_phy_invert_clk*0.5)),0)</definedName>
    <definedName function="false" hidden="false" name="_t_rtw_jedec" vbProcedure="false">0</definedName>
    <definedName function="false" hidden="false" name="_t_wr_jedec" vbProcedure="false">IFERROR(ROUNDUP(_t_wr_ns*_ddr_pll_freq/1000,0)-1,0)</definedName>
    <definedName function="false" hidden="false" name="_t_wr_ns" vbProcedure="false">IF(_sdram_type="LPDDR2",MAX(3*1000/_ddr_pll_freq,15),15)</definedName>
    <definedName function="false" hidden="false" name="_t_wtr_jedec" vbProcedure="false">IFERROR(ROUNDUP(_t_wtr_ns*_ddr_pll_freq/1000,0)-1,0)</definedName>
    <definedName function="false" hidden="false" name="_t_wtr_ns" vbProcedure="false">IF(_sdram_type="LPDDR2",MAX(2*1000/_ddr_pll_freq,INDEX(_lpddr2_sb_wtr,_sdram_sb)),IF(_sdram_type="DDR2",INDEX(_ddr2_sb_wtr,_sdram_sb),MAX(4*1000/_ddr_pll_freq,7.5)))</definedName>
    <definedName function="false" hidden="false" name="_t_xp_jedec" vbProcedure="false">IFERROR(ROUNDUP(_t_xp_ns*_ddr_pll_freq/1000,0)-1,0)</definedName>
    <definedName function="false" hidden="false" name="_t_xp_ns" vbProcedure="false">IF(_sdram_type="LPDDR2",MAX(2*1000/_ddr_pll_freq,7.5),IF(_sdram_type="DDR2",2*1000/_ddr_pll_freq,MAX(3*1000/_ddr_pll_freq,INDEX(_ddr3_sb_xp,_sdram_sb))))</definedName>
    <definedName function="false" hidden="false" name="_t_xsnr_jedec" vbProcedure="false">IFERROR(ROUNDUP(_t_xsnr_ns*_ddr_pll_freq/1000,0)-1,0)</definedName>
    <definedName function="false" hidden="false" name="_t_xsnr_ns" vbProcedure="false">IF(_sdram_type="LPDDR2",MAX(2*1000/_ddr_pll_freq,_t_rfc_ns+10),IF(_sdram_type="DDR2",_t_rfc_ns+10,MAX(5*1000/_ddr_pll_freq,_t_rfc_ns+10)))</definedName>
    <definedName function="false" hidden="false" name="_t_xsrd_jedec" vbProcedure="false">IFERROR(ROUNDUP(_t_xsrd_ns*_ddr_pll_freq/1000,0)-1,0)</definedName>
    <definedName function="false" hidden="false" name="_t_xsrd_ns" vbProcedure="false">IF(_sdram_type="LPDDR2",_t_xsnr_ns,IF(_sdram_type="DDR2",200*1000/_ddr_pll_freq,_t_dllk_ns))</definedName>
    <definedName function="false" hidden="false" name="_t_zqcs_jedec" vbProcedure="false">IFERROR(ROUNDUP(_t_zqcs_ns*_ddr_pll_freq/1000,0)-1,0)</definedName>
    <definedName function="false" hidden="false" name="_t_zqcs_ns" vbProcedure="false">IF(_sdram_type="LPDDR2",MAX(6*1000/_ddr_pll_freq,90),MAX(64*1000/_ddr_pll_freq,80))</definedName>
    <definedName function="false" hidden="false" name="_user_config" vbProcedure="false">'title-readme'!#ref!</definedName>
    <definedName function="false" hidden="false" name="_wrdqs_init4_ch1_cs0" vbProcedure="false">MAX(_wrdqs_ratio4_ch1_cs0 - ROUND((125000 / _ddr_pll_freq / _dll_res),0),0)</definedName>
    <definedName function="false" hidden="false" name="_wrdqs_init4_ch1_cs1" vbProcedure="false">MAX(_wrdqs_ratio4_ch1_cs1 - ROUND((125000 / _ddr_pll_freq / _dll_res),0),0)</definedName>
    <definedName function="false" hidden="false" localSheetId="0" name="_ddr2_ddr3_ecc" vbProcedure="false">{"Yes";"No"}</definedName>
    <definedName function="false" hidden="false" localSheetId="0" name="_ddr2_lvl" vbProcedure="false">{"S/W"}</definedName>
    <definedName function="false" hidden="false" localSheetId="0" name="_ddr2_rttwr" vbProcedure="false">{"NA"}</definedName>
    <definedName function="false" hidden="false" localSheetId="0" name="_ddr2_sb_403_ck" vbProcedure="false">{5;5}</definedName>
    <definedName function="false" hidden="false" localSheetId="0" name="_ddr2_sb_404_ck" vbProcedure="false">{5}</definedName>
    <definedName function="false" hidden="false" localSheetId="0" name="_ddr2_sb_536_ck" vbProcedure="false">{3.75;3.75}</definedName>
    <definedName function="false" hidden="false" localSheetId="0" name="_ddr2_sb_537_ck" vbProcedure="false">{5;3.75}</definedName>
    <definedName function="false" hidden="false" localSheetId="0" name="_ddr2_sb_671_ck" vbProcedure="false">{3;3}</definedName>
    <definedName function="false" hidden="false" localSheetId="0" name="_ddr2_sb_672_ck" vbProcedure="false">{3.75;3}</definedName>
    <definedName function="false" hidden="false" localSheetId="0" name="_ddr2_sb_804_ck" vbProcedure="false">{2.5;2.5}</definedName>
    <definedName function="false" hidden="false" localSheetId="0" name="_ddr2_sb_805_ck" vbProcedure="false">{3.75;2.5}</definedName>
    <definedName function="false" hidden="false" localSheetId="0" name="_ddr2_sb_806_ck" vbProcedure="false">{3.75;3;2.5}</definedName>
    <definedName function="false" hidden="false" localSheetId="0" name="_ddr2_sb_data" vbProcedure="false">{400;533;667;800}</definedName>
    <definedName function="false" hidden="false" localSheetId="0" name="_ddr2_sb_faw_1k" vbProcedure="false">{37.5;37.5;37.5;37.5;37.5;37.5;35;35;35}</definedName>
    <definedName function="false" hidden="false" localSheetId="0" name="_ddr2_sb_faw_2k" vbProcedure="false">{50;50;50;50;50;50;45;45;45}</definedName>
    <definedName function="false" hidden="false" localSheetId="0" name="_ddr3_lvl" vbProcedure="false">{"S/W","H/W"}</definedName>
    <definedName function="false" hidden="false" localSheetId="0" name="_ddr3_sb_1072_ck" vbProcedure="false">{2.5;2.5;1.875;1.875;1.875}</definedName>
    <definedName function="false" hidden="false" localSheetId="0" name="_ddr3_sb_1072_cwl" vbProcedure="false">{5;5;6;6;6}</definedName>
    <definedName function="false" hidden="false" localSheetId="0" name="_ddr3_sb_1073_ck" vbProcedure="false">{3;2.5;1.875;1.875}</definedName>
    <definedName function="false" hidden="false" localSheetId="0" name="_ddr3_sb_1073_cwl" vbProcedure="false">{5;5;6;6}</definedName>
    <definedName function="false" hidden="false" localSheetId="0" name="_ddr3_sb_1074_ck" vbProcedure="false">{3;2.5;1.875}</definedName>
    <definedName function="false" hidden="false" localSheetId="0" name="_ddr3_sb_1074_cwl" vbProcedure="false">{5;5;6}</definedName>
    <definedName function="false" hidden="false" localSheetId="0" name="_ddr3_sb_1340_ck" vbProcedure="false">{2.5;2.5;1.875;1.875;1.5;1.875;1.5;1.5;1.5}</definedName>
    <definedName function="false" hidden="false" localSheetId="0" name="_ddr3_sb_1340_cwl" vbProcedure="false">{5;5;6;6;7;6;7;7;7}</definedName>
    <definedName function="false" hidden="false" localSheetId="0" name="_ddr3_sb_1341_ck" vbProcedure="false">{2.5;2.5;1.875;1.875;1.5;1.5;1.5}</definedName>
    <definedName function="false" hidden="false" localSheetId="0" name="_ddr3_sb_1341_cwl" vbProcedure="false">{5;5;6;6;7;7;7}</definedName>
    <definedName function="false" hidden="false" localSheetId="0" name="_ddr3_sb_1342_ck" vbProcedure="false">{3;2.5;1.875;1.875;1.5;1.5}</definedName>
    <definedName function="false" hidden="false" localSheetId="0" name="_ddr3_sb_1342_cwl" vbProcedure="false">{5;5;6;6;7;7}</definedName>
    <definedName function="false" hidden="false" localSheetId="0" name="_ddr3_sb_1343_ck" vbProcedure="false">{3;2.5;1.875;1.5}</definedName>
    <definedName function="false" hidden="false" localSheetId="0" name="_ddr3_sb_1343_cwl" vbProcedure="false">{5;5;6;7}</definedName>
    <definedName function="false" hidden="false" localSheetId="0" name="_ddr3_sb_1608_ck" vbProcedure="false">{2.5;2.5;1.875;1.875;1.5;1.875;1.5;1.25;1.5;1.25;1.5;1.25;1.25}</definedName>
    <definedName function="false" hidden="false" localSheetId="0" name="_ddr3_sb_1608_cwl" vbProcedure="false">{5;5;6;6;7;6;7;8;7;8;7;8;8}</definedName>
    <definedName function="false" hidden="false" localSheetId="0" name="_ddr3_sb_1609_ck" vbProcedure="false">{2.5;2.5;1.875;1.875;1.875;1.5;1.5;1.25;1.5;1.25;1.25}</definedName>
    <definedName function="false" hidden="false" localSheetId="0" name="_ddr3_sb_1609_cwl" vbProcedure="false">{5;5;6;6;6;7;7;8;7;8;8}</definedName>
    <definedName function="false" hidden="false" localSheetId="0" name="_ddr3_sb_1610_ck" vbProcedure="false">{2.5;2.5;1.875;1.875;1.5;1.5;1.25;1.25}</definedName>
    <definedName function="false" hidden="false" localSheetId="0" name="_ddr3_sb_1610_cwl" vbProcedure="false">{5;5;6;6;7;7;8;8}</definedName>
    <definedName function="false" hidden="false" localSheetId="0" name="_ddr3_sb_1611_ck" vbProcedure="false">{3;2.5;1.875;1.875;1.5;1.5;1.25}</definedName>
    <definedName function="false" hidden="false" localSheetId="0" name="_ddr3_sb_1611_cwl" vbProcedure="false">{5;5;6;6;7;7;8}</definedName>
    <definedName function="false" hidden="false" localSheetId="0" name="_ddr3_sb_1876_ck" vbProcedure="false">{1.25}</definedName>
    <definedName function="false" hidden="false" localSheetId="0" name="_ddr3_sb_1876_cwl" vbProcedure="false">{1}</definedName>
    <definedName function="false" hidden="false" localSheetId="0" name="_ddr3_sb_1877_ck" vbProcedure="false">{1.25}</definedName>
    <definedName function="false" hidden="false" localSheetId="0" name="_ddr3_sb_1877_cwl" vbProcedure="false">{1}</definedName>
    <definedName function="false" hidden="false" localSheetId="0" name="_ddr3_sb_1878_ck" vbProcedure="false">{1.25}</definedName>
    <definedName function="false" hidden="false" localSheetId="0" name="_ddr3_sb_1878_cwl" vbProcedure="false">{1}</definedName>
    <definedName function="false" hidden="false" localSheetId="0" name="_ddr3_sb_1879_ck" vbProcedure="false">{1.25}</definedName>
    <definedName function="false" hidden="false" localSheetId="0" name="_ddr3_sb_1879_cwl" vbProcedure="false">{1}</definedName>
    <definedName function="false" hidden="false" localSheetId="0" name="_ddr3_sb_2144_ck" vbProcedure="false">{1.25}</definedName>
    <definedName function="false" hidden="false" localSheetId="0" name="_ddr3_sb_2144_cwl" vbProcedure="false">{1}</definedName>
    <definedName function="false" hidden="false" localSheetId="0" name="_ddr3_sb_2145_ck" vbProcedure="false">{1.25}</definedName>
    <definedName function="false" hidden="false" localSheetId="0" name="_ddr3_sb_2145_cwl" vbProcedure="false">{1}</definedName>
    <definedName function="false" hidden="false" localSheetId="0" name="_ddr3_sb_2146_ck" vbProcedure="false">{1.25}</definedName>
    <definedName function="false" hidden="false" localSheetId="0" name="_ddr3_sb_2146_cwl" vbProcedure="false">{1}</definedName>
    <definedName function="false" hidden="false" localSheetId="0" name="_ddr3_sb_2147_ck" vbProcedure="false">{1.25}</definedName>
    <definedName function="false" hidden="false" localSheetId="0" name="_ddr3_sb_2147_cwl" vbProcedure="false">{1}</definedName>
    <definedName function="false" hidden="false" localSheetId="0" name="_ddr3_sb_805_ck" vbProcedure="false">{2.5;2.5}</definedName>
    <definedName function="false" hidden="false" localSheetId="0" name="_ddr3_sb_805_cwl" vbProcedure="false">{5;5}</definedName>
    <definedName function="false" hidden="false" localSheetId="0" name="_ddr3_sb_806_ck" vbProcedure="false">{3;2.5}</definedName>
    <definedName function="false" hidden="false" localSheetId="0" name="_ddr3_sb_806_cwl" vbProcedure="false">{5;5}</definedName>
    <definedName function="false" hidden="false" localSheetId="0" name="_ddr3_sb_data" vbProcedure="false">{800;1066;1333;1600;1866;2133}</definedName>
    <definedName function="false" hidden="false" localSheetId="0" name="_ddr3_sb_faw_1k" vbProcedure="false">{40;40;37.5;37.5;37.5;30;30;30;30;30;30;30;30;27;27;27;27;25;25;25;25}</definedName>
    <definedName function="false" hidden="false" localSheetId="0" name="_ddr3_sb_faw_2k" vbProcedure="false">{50;50;50;50;50;45;45;45;45;40;40;40;40;35;35;35;35;35;35;35;35}</definedName>
    <definedName function="false" hidden="false" localSheetId="0" name="_dyn_user_cs_list" vbProcedure="false">IF(_soc_name="j6eco",_soc_cs_j6eco,_soc_cs_vayu)</definedName>
    <definedName function="false" hidden="false" localSheetId="0" name="_soc_cs_j6eco" vbProcedure="false">{1}</definedName>
    <definedName function="false" hidden="false" localSheetId="0" name="_soc_cs_vayu" vbProcedure="false">{1}</definedName>
    <definedName function="false" hidden="false" localSheetId="0" name="_dyn_user_ecc_list" vbProcedure="false">IF(_sdram_type="LPDDR2",_lpddr2_ecc,_ddr2_ddr3_ecc)</definedName>
    <definedName function="false" hidden="false" localSheetId="0" name="_lpddr2_ecc" vbProcedure="false">{"No"}</definedName>
    <definedName function="false" hidden="false" localSheetId="0" name="_dyn_user_memtype_list" vbProcedure="false">CHOOSE(MATCH(_soc_name,_soc_names,0),_soc_memtype_vayu,_soc_memtype_vayu,_soc_memtype_j6eco,_soc_memtype_adaslow)</definedName>
    <definedName function="false" hidden="false" localSheetId="0" name="_soc_memtype_vayu" vbProcedure="false">{"DDR2";"DDR3/L"}</definedName>
    <definedName function="false" hidden="false" localSheetId="0" name="_soc_memtype_j6eco" vbProcedure="false">{"DDR3/L"}</definedName>
    <definedName function="false" hidden="false" localSheetId="0" name="_soc_memtype_adaslow" vbProcedure="false">{"DDR3/L"}</definedName>
    <definedName function="false" hidden="false" localSheetId="0" name="_dyn_user_sdram_data_list" vbProcedure="false">IF(_sdram_type="LPDDR2",_lpddr2_sb_data,IF(_sdram_type="DDR2",_ddr2_sb_data,_ddr3_sb_data))</definedName>
    <definedName function="false" hidden="false" localSheetId="0" name="_lpddr2_sb_data" vbProcedure="false">{333;400;533;667;800;933;1066}</definedName>
    <definedName function="false" hidden="false" localSheetId="0" name="_dyn_user_sdram_density_list" vbProcedure="false">IF(_sdram_type="LPDDR2",_lpddr2_densities,IF(_sdram_type="DDR2",_ddr2_densities,_ddr3_densities))</definedName>
    <definedName function="false" hidden="false" localSheetId="0" name="_dyn_user_sdram_drivimp_list" vbProcedure="false">IF(_sdram_type="LPDDR2",_lpddr2_drive_imp,IF(_sdram_type="DDR2",_ddr2_drive_imp,_ddr3_drive_imp))</definedName>
    <definedName function="false" hidden="false" localSheetId="0" name="_lpddr2_drive_imp" vbProcedure="false">{34.3;40;48;60;68.6;80;120}</definedName>
    <definedName function="false" hidden="false" localSheetId="0" name="_dyn_user_sdram_lvl_list" vbProcedure="false">IF(OR(_sdram_type="DDR2",_sdram_type="LPDDR2"),_ddr2_lvl,_ddr3_lvl)</definedName>
    <definedName function="false" hidden="false" localSheetId="0" name="_dyn_user_sdram_rttwr_list" vbProcedure="false">IF(_sdram_type="LPDDR2",_lpddr2_rttwr,IF(_sdram_type="DDR2",_ddr2_rttwr,_ddr3_rttwr))</definedName>
    <definedName function="false" hidden="false" localSheetId="0" name="_lpddr2_rttwr" vbProcedure="false">{"NA"}</definedName>
    <definedName function="false" hidden="false" localSheetId="0" name="_dyn_user_sdram_rtt_list" vbProcedure="false">IF(_sdram_type="LPDDR2",_lpddr2_rtt,IF(_sdram_type="DDR2",_ddr2_rtt,_ddr3_rtt))</definedName>
    <definedName function="false" hidden="false" localSheetId="0" name="_lpddr2_rtt" vbProcedure="false">{"NA"}</definedName>
    <definedName function="false" hidden="false" localSheetId="0" name="_lpddr2_sb_1074_ck" vbProcedure="false">{1.875}</definedName>
    <definedName function="false" hidden="false" localSheetId="0" name="_lpddr2_sb_336_ck" vbProcedure="false">{6}</definedName>
    <definedName function="false" hidden="false" localSheetId="0" name="_lpddr2_sb_403_ck" vbProcedure="false">{5}</definedName>
    <definedName function="false" hidden="false" localSheetId="0" name="_lpddr2_sb_537_ck" vbProcedure="false">{3.75}</definedName>
    <definedName function="false" hidden="false" localSheetId="0" name="_lpddr2_sb_672_ck" vbProcedure="false">{3}</definedName>
    <definedName function="false" hidden="false" localSheetId="0" name="_lpddr2_sb_806_ck" vbProcedure="false">{2.5}</definedName>
    <definedName function="false" hidden="false" localSheetId="0" name="_lpddr2_sb_940_ck" vbProcedure="false">{2.14}</definedName>
    <definedName function="false" hidden="false" localSheetId="0" name="_sdram_cl" vbProcedure="false">INDEX(_sdram_sb_cl,SMALL(IF(1000/_ddr_pll_freq&gt;=_sdram_sb_ck,ROW(INDIRECT(CONCATENATE("1:",ROWS(_sdram_sb_ck)))),""),ROW(INDIRECT("1:1"))))</definedName>
    <definedName function="false" hidden="false" localSheetId="0" name="_sdram_sb_ck" vbProcedure="false">IF(_sdram_type="DDR2",CHOOSE(_sdram_sb,_ddr2_sb_403_ck,_ddr2_sb_404_ck,_ddr2_sb_536_ck,_ddr2_sb_537_ck,_ddr2_sb_671_ck,_ddr2_sb_672_ck,_ddr2_sb_804_ck,_ddr2_sb_805_ck,_ddr2_sb_806_ck),IF(_sdram_type="DDR3/L",CHOOSE(_sdram_sb,_ddr3_sb_805_ck,_ddr3_sb_806_ck,_ddr3_sb_1072_ck,_ddr3_sb_1073_ck,_ddr3_sb_1074_ck,_ddr3_sb_1340_ck,_ddr3_sb_1341_ck,_ddr3_sb_1342_ck,_ddr3_sb_1343_ck,_ddr3_sb_1608_ck,_ddr3_sb_1609_ck,_ddr3_sb_1610_ck,_ddr3_sb_1611_ck,_ddr3_sb_1876_ck,_ddr3_sb_1877_ck,_ddr3_sb_1878_ck,_ddr3_sb_1879_ck,_ddr3_sb_2144_ck,_ddr3_sb_2145_ck,_ddr3_sb_2146_ck,_ddr3_sb_2147_ck),CHOOSE(_sdram_sb,_lpddr2_sb_336_ck,_lpddr2_sb_403_ck,_lpddr2_sb_537_ck,_lpddr2_sb_672_ck,_lpddr2_sb_806_ck,_lpddr2_sb_940_ck,_lpddr2_sb_1074_ck)))</definedName>
    <definedName function="false" hidden="false" localSheetId="0" name="_sdram_cwl" vbProcedure="false">IF(_sdram_type="DDR3/L",INDEX(_sdram_sb_cwl,SMALL(IF(1000/_ddr_pll_freq&gt;=_sdram_sb_ck,ROW(INDIRECT(CONCATENATE("1:",ROWS(_sdram_sb_ck)))),""),ROW(INDIRECT("1:1")))),0)</definedName>
    <definedName function="false" hidden="false" localSheetId="0" name="_sdram_sb_cwl" vbProcedure="false">CHOOSE(_sdram_sb,_ddr3_sb_805_cwl,_ddr3_sb_806_cwl,_ddr3_sb_1072_cwl,_ddr3_sb_1073_cwl,_ddr3_sb_1074_cwl,_ddr3_sb_1340_cwl,_ddr3_sb_1341_cwl,_ddr3_sb_1342_cwl,_ddr3_sb_1343_cwl,_ddr3_sb_1608_cwl,_ddr3_sb_1609_cwl,_ddr3_sb_1610_cwl,_ddr3_sb_1611_cwl,_ddr3_sb_1876_cwl,_ddr3_sb_1877_cwl,_ddr3_sb_1878_cwl,_ddr3_sb_1879_cwl,_ddr3_sb_2144_cwl,_ddr3_sb_2145_cwl,_ddr3_sb_2146_cwl,_ddr3_sb_2147_cwl)</definedName>
    <definedName function="false" hidden="false" localSheetId="0" name="_t_faw_jedec" vbProcedure="false">IFERROR(ROUNDUP(_t_faw_ns*_ddr_pll_freq/4000,0)-1,0)</definedName>
    <definedName function="false" hidden="false" localSheetId="0" name="_t_faw_ns" vbProcedure="false">IF(_sdram_type="DDR2",IF(_sdram_pagesize=2048,INDEX(_ddr2_sb_faw_2k,_sdram_sb),INDEX(_ddr2_sb_faw_1k,_sdram_sb)),IF(_sdram_pagesize=2048,INDEX(_ddr3_sb_faw_2k,_sdram_sb),INDEX(_ddr3_sb_faw_1k,_sdram_sb)))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Frequency Range:
DDR3 - 303MHz to 400MHz
LPDDR2 - 133MHz to 266MHz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5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9*tREFI
</t>
        </r>
      </text>
    </comment>
    <comment ref="J241" authorId="0">
      <text>
        <r>
          <rPr>
            <sz val="10"/>
            <rFont val="Arial"/>
            <family val="0"/>
            <charset val="1"/>
          </rPr>
          <t xml:space="preserve">a0875190:
</t>
        </r>
        <r>
          <rPr>
            <sz val="9"/>
            <color rgb="FF000000"/>
            <rFont val="Tahoma"/>
            <family val="2"/>
            <charset val="1"/>
          </rPr>
          <t xml:space="preserve">Check with Ritesh regarding LPDDR2
</t>
        </r>
      </text>
    </comment>
  </commentList>
</comments>
</file>

<file path=xl/sharedStrings.xml><?xml version="1.0" encoding="utf-8"?>
<sst xmlns="http://schemas.openxmlformats.org/spreadsheetml/2006/main" count="841" uniqueCount="593">
  <si>
    <t xml:space="preserve">AM43xx EMIF Tool:  Register Configuration</t>
  </si>
  <si>
    <t xml:space="preserve">TEXAS INSTRUMENTS</t>
  </si>
  <si>
    <t xml:space="preserve">Date: Apri 18, 2019</t>
  </si>
  <si>
    <r>
      <rPr>
        <b val="true"/>
        <sz val="20"/>
        <rFont val="Times New Roman"/>
        <family val="1"/>
        <charset val="1"/>
      </rPr>
      <t xml:space="preserve">Revision:</t>
    </r>
    <r>
      <rPr>
        <sz val="20"/>
        <rFont val="Times New Roman"/>
        <family val="1"/>
        <charset val="1"/>
      </rPr>
      <t xml:space="preserve"> v21</t>
    </r>
  </si>
  <si>
    <t xml:space="preserve">Pre-defined Configurations</t>
  </si>
  <si>
    <t xml:space="preserve">Click push buttons to auto-populate worksheets per TI EVMs:</t>
  </si>
  <si>
    <r>
      <rPr>
        <b val="true"/>
        <u val="single"/>
        <sz val="10"/>
        <color rgb="FFFFFFFF"/>
        <rFont val="Times New Roman"/>
        <family val="1"/>
        <charset val="1"/>
      </rPr>
      <t xml:space="preserve">Workbook Supported Configurations</t>
    </r>
    <r>
      <rPr>
        <vertAlign val="superscript"/>
        <sz val="10"/>
        <color rgb="FFFFFFFF"/>
        <rFont val="Times New Roman"/>
        <family val="1"/>
        <charset val="1"/>
      </rPr>
      <t xml:space="preserve">1</t>
    </r>
  </si>
  <si>
    <t xml:space="preserve">TI Part Numbers:</t>
  </si>
  <si>
    <t xml:space="preserve">AM437x, AM438x</t>
  </si>
  <si>
    <t xml:space="preserve">DDR Types:</t>
  </si>
  <si>
    <t xml:space="preserve">DDR3, DDR3L, LPDDR2</t>
  </si>
  <si>
    <t xml:space="preserve">Workbook Usage Notes</t>
  </si>
  <si>
    <t xml:space="preserve">1)</t>
  </si>
  <si>
    <t xml:space="preserve">Fill in the required parameters listed in tab 'Step1-SystemDetails'.</t>
  </si>
  <si>
    <t xml:space="preserve">2)</t>
  </si>
  <si>
    <t xml:space="preserve">Fill in the required parameters listed in tab 'Step2-DDR Timings'.</t>
  </si>
  <si>
    <t xml:space="preserve">3)</t>
  </si>
  <si>
    <t xml:space="preserve">Fill in the required parameters listed in tab 'Step3-Board Details'.</t>
  </si>
  <si>
    <t xml:space="preserve">Workbook Limitations</t>
  </si>
  <si>
    <t xml:space="preserve">Non conventional memory configurations (as defined by JEDEC standards) may or may not be supportable by this tool.</t>
  </si>
  <si>
    <t xml:space="preserve">    1 - For further details on supported configurations of the TI processor, please review the corresponding datasheet of the TI part.</t>
  </si>
  <si>
    <t xml:space="preserve">Revision History</t>
  </si>
  <si>
    <t xml:space="preserve">Revision</t>
  </si>
  <si>
    <t xml:space="preserve">Description</t>
  </si>
  <si>
    <t xml:space="preserve">Initial Release</t>
  </si>
  <si>
    <t xml:space="preserve">v21</t>
  </si>
  <si>
    <t xml:space="preserve">https://jira/browse/AEGISAPPS-159 fixed data validation formulas due to incompatibility with Linux OfficeLibre, changed, 
https://jira/browse/AEGISAPPS-164 changed PHY_CTRL_36 to 0x77 for DDR3, 
https://jira/browse/AEGISAPPS-119 added 1 to formulas for READ_LAT </t>
  </si>
  <si>
    <t xml:space="preserve">AM43xx EMIF Tool: Register Configuration - Step 1, System Details</t>
  </si>
  <si>
    <t xml:space="preserve">Directions</t>
  </si>
  <si>
    <t xml:space="preserve">Enter in your specific system application details for all values. Recommended values are provided for steps 1C and 1D.</t>
  </si>
  <si>
    <r>
      <rPr>
        <b val="true"/>
        <u val="single"/>
        <sz val="10"/>
        <color rgb="FFFF0000"/>
        <rFont val="Times New Roman"/>
        <family val="1"/>
        <charset val="1"/>
      </rPr>
      <t xml:space="preserve">Note</t>
    </r>
    <r>
      <rPr>
        <b val="true"/>
        <sz val="10"/>
        <color rgb="FFFF0000"/>
        <rFont val="Times New Roman"/>
        <family val="1"/>
        <charset val="1"/>
      </rPr>
      <t xml:space="preserve">: Values shown in red must be changed!</t>
    </r>
  </si>
  <si>
    <t xml:space="preserve">1A) System application details:</t>
  </si>
  <si>
    <t xml:space="preserve">Detail</t>
  </si>
  <si>
    <t xml:space="preserve">Value</t>
  </si>
  <si>
    <t xml:space="preserve">Units</t>
  </si>
  <si>
    <t xml:space="preserve">DDR Memory Type</t>
  </si>
  <si>
    <t xml:space="preserve">DDR3</t>
  </si>
  <si>
    <t xml:space="preserve">-</t>
  </si>
  <si>
    <t xml:space="preserve">DDR Memory Frequency</t>
  </si>
  <si>
    <t xml:space="preserve">MHz</t>
  </si>
  <si>
    <t xml:space="preserve">DDR Data Bus Width Per EMIF</t>
  </si>
  <si>
    <t xml:space="preserve">Bits</t>
  </si>
  <si>
    <t xml:space="preserve">DDR DQS</t>
  </si>
  <si>
    <t xml:space="preserve">Differential</t>
  </si>
  <si>
    <t xml:space="preserve">DDR Rank</t>
  </si>
  <si>
    <t xml:space="preserve">Single Rank</t>
  </si>
  <si>
    <t xml:space="preserve">LPDDR2 Refresh Enable</t>
  </si>
  <si>
    <t xml:space="preserve">NA</t>
  </si>
  <si>
    <t xml:space="preserve">LPDDR2 Mode Register Address</t>
  </si>
  <si>
    <t xml:space="preserve">LPDDR2 Mode Register Data</t>
  </si>
  <si>
    <t xml:space="preserve">LPDDR2 NVM Row Buffer</t>
  </si>
  <si>
    <t xml:space="preserve">LPDDR2 NVM Row Buffer Size</t>
  </si>
  <si>
    <t xml:space="preserve">Bytes</t>
  </si>
  <si>
    <t xml:space="preserve">PHY_DLL_LOCK_DIFF</t>
  </si>
  <si>
    <t xml:space="preserve">Default</t>
  </si>
  <si>
    <t xml:space="preserve">PHY_DLL_LOCK_DIFF_VALUE</t>
  </si>
  <si>
    <t xml:space="preserve">1B) DDR memory specifications:</t>
  </si>
  <si>
    <r>
      <rPr>
        <b val="true"/>
        <u val="single"/>
        <sz val="8"/>
        <color rgb="FFFF0000"/>
        <rFont val="Times New Roman"/>
        <family val="1"/>
        <charset val="1"/>
      </rPr>
      <t xml:space="preserve">NOTE:</t>
    </r>
    <r>
      <rPr>
        <sz val="8"/>
        <color rgb="FFFF0000"/>
        <rFont val="Times New Roman"/>
        <family val="1"/>
        <charset val="1"/>
      </rPr>
      <t xml:space="preserve"> Detail 11 is only used to determine the "JEDEC" values defined in worksheet "Step2-DDR Timings". Detail 11 does not correspond to the actual CAS latency programmed to the EMIF. </t>
    </r>
  </si>
  <si>
    <t xml:space="preserve">Speed Bin: Data Rate</t>
  </si>
  <si>
    <t xml:space="preserve">MT/s</t>
  </si>
  <si>
    <t xml:space="preserve">Density</t>
  </si>
  <si>
    <t xml:space="preserve">Gb</t>
  </si>
  <si>
    <t xml:space="preserve">Number of Rows</t>
  </si>
  <si>
    <t xml:space="preserve">Number of Columns</t>
  </si>
  <si>
    <t xml:space="preserve">Number of Banks</t>
  </si>
  <si>
    <t xml:space="preserve">ntCK</t>
  </si>
  <si>
    <t xml:space="preserve">Width</t>
  </si>
  <si>
    <t xml:space="preserve">Average Periodic Refresh Interval</t>
  </si>
  <si>
    <t xml:space="preserve">ns</t>
  </si>
  <si>
    <t xml:space="preserve">1C) DDR memory I/O settings (termination / output driver impedance):</t>
  </si>
  <si>
    <t xml:space="preserve">TI Recommendation** </t>
  </si>
  <si>
    <t xml:space="preserve">                                  </t>
  </si>
  <si>
    <t xml:space="preserve">ODT / Rtt_Nom</t>
  </si>
  <si>
    <t xml:space="preserve">RZQ/4</t>
  </si>
  <si>
    <t xml:space="preserve">Ohms</t>
  </si>
  <si>
    <t xml:space="preserve">Dynamic ODT / Rtt_Wr</t>
  </si>
  <si>
    <t xml:space="preserve">Output Driver Impedance</t>
  </si>
  <si>
    <t xml:space="preserve">RZQ/6</t>
  </si>
  <si>
    <t xml:space="preserve">** NOTE: Users should check for recommendations provided by their DDR manufacturer.</t>
  </si>
  <si>
    <t xml:space="preserve">1D) ZQ Calibration settings:</t>
  </si>
  <si>
    <t xml:space="preserve">TI Recommendation**</t>
  </si>
  <si>
    <t xml:space="preserve">ZQCL on Self Refresh</t>
  </si>
  <si>
    <t xml:space="preserve">Temperature Sensitivity</t>
  </si>
  <si>
    <r>
      <rPr>
        <sz val="10"/>
        <rFont val="Arial"/>
        <family val="2"/>
        <charset val="1"/>
      </rPr>
      <t xml:space="preserve">%/</t>
    </r>
    <r>
      <rPr>
        <sz val="10"/>
        <rFont val="Calibri"/>
        <family val="2"/>
        <charset val="1"/>
      </rPr>
      <t xml:space="preserve">⁰</t>
    </r>
    <r>
      <rPr>
        <sz val="10"/>
        <rFont val="Arial"/>
        <family val="2"/>
        <charset val="1"/>
      </rPr>
      <t xml:space="preserve">C</t>
    </r>
  </si>
  <si>
    <t xml:space="preserve">Voltage Sensitivity</t>
  </si>
  <si>
    <t xml:space="preserve">%/mV</t>
  </si>
  <si>
    <t xml:space="preserve">Temperature Drift Rate</t>
  </si>
  <si>
    <t xml:space="preserve">⁰C/Sec</t>
  </si>
  <si>
    <t xml:space="preserve">0 to 1</t>
  </si>
  <si>
    <t xml:space="preserve">Voltage Drift Rate</t>
  </si>
  <si>
    <t xml:space="preserve">mV/Sec</t>
  </si>
  <si>
    <t xml:space="preserve">0 to 15</t>
  </si>
  <si>
    <t xml:space="preserve">1E) EMIF controller I/O settings (termination / output driver impedance / and slew rate):</t>
  </si>
  <si>
    <t xml:space="preserve">TI Recommendation</t>
  </si>
  <si>
    <t xml:space="preserve">ODT</t>
  </si>
  <si>
    <t xml:space="preserve">Full Thevenin</t>
  </si>
  <si>
    <t xml:space="preserve">Slew Rate: Addr/Ctrl/Clk</t>
  </si>
  <si>
    <t xml:space="preserve">Fastest: SR[4:3] = 0b00</t>
  </si>
  <si>
    <t xml:space="preserve">Slew Rate: Data/Strobe</t>
  </si>
  <si>
    <t xml:space="preserve">Output Driver Impedance: Addr/Ctrl/Clk</t>
  </si>
  <si>
    <t xml:space="preserve">Output Driver Impedance: Data/Strobe</t>
  </si>
  <si>
    <t xml:space="preserve">Disabled</t>
  </si>
  <si>
    <t xml:space="preserve">Half Thevenin</t>
  </si>
  <si>
    <t xml:space="preserve">Disable</t>
  </si>
  <si>
    <t xml:space="preserve">Normal</t>
  </si>
  <si>
    <t xml:space="preserve">User Config</t>
  </si>
  <si>
    <t xml:space="preserve">LPDDR2</t>
  </si>
  <si>
    <t xml:space="preserve">Fast: SR[4:3] = 0b10</t>
  </si>
  <si>
    <t xml:space="preserve">RZQ/2</t>
  </si>
  <si>
    <t xml:space="preserve">RZQ/7</t>
  </si>
  <si>
    <t xml:space="preserve">Slow: SR[4:3] = 0b01</t>
  </si>
  <si>
    <t xml:space="preserve">Slowest: SR[4:3] = 0b11</t>
  </si>
  <si>
    <t xml:space="preserve">RZQ/12</t>
  </si>
  <si>
    <t xml:space="preserve">RZQ/8</t>
  </si>
  <si>
    <t xml:space="preserve">Single Ended</t>
  </si>
  <si>
    <t xml:space="preserve">Dual Rank</t>
  </si>
  <si>
    <t xml:space="preserve">Not Applicable</t>
  </si>
  <si>
    <t xml:space="preserve">MR1</t>
  </si>
  <si>
    <t xml:space="preserve">MR2</t>
  </si>
  <si>
    <t xml:space="preserve">MR10</t>
  </si>
  <si>
    <t xml:space="preserve">AM43xx EMIF Tool: Register Configuration - Step 2, DDR Timings</t>
  </si>
  <si>
    <r>
      <rPr>
        <sz val="10"/>
        <color rgb="FFFFFFFF"/>
        <rFont val="Times New Roman"/>
        <family val="1"/>
        <charset val="1"/>
      </rPr>
      <t xml:space="preserve">Review the DDR datasheet and provide the "</t>
    </r>
    <r>
      <rPr>
        <i val="true"/>
        <sz val="10"/>
        <color rgb="FFFFFFFF"/>
        <rFont val="Times New Roman"/>
        <family val="1"/>
        <charset val="1"/>
      </rPr>
      <t xml:space="preserve">Datasheet Values</t>
    </r>
    <r>
      <rPr>
        <sz val="10"/>
        <color rgb="FFFFFFFF"/>
        <rFont val="Times New Roman"/>
        <family val="1"/>
        <charset val="1"/>
      </rPr>
      <t xml:space="preserve">" for the corresponding parameters listed in the table in Step 2A.</t>
    </r>
  </si>
  <si>
    <r>
      <rPr>
        <sz val="10"/>
        <color rgb="FFFFFFFF"/>
        <rFont val="Times New Roman"/>
        <family val="1"/>
        <charset val="1"/>
      </rPr>
      <t xml:space="preserve">Compare the "</t>
    </r>
    <r>
      <rPr>
        <i val="true"/>
        <sz val="10"/>
        <color rgb="FFFFFFFF"/>
        <rFont val="Times New Roman"/>
        <family val="1"/>
        <charset val="1"/>
      </rPr>
      <t xml:space="preserve">Final Bit Field Values</t>
    </r>
    <r>
      <rPr>
        <sz val="10"/>
        <color rgb="FFFFFFFF"/>
        <rFont val="Times New Roman"/>
        <family val="1"/>
        <charset val="1"/>
      </rPr>
      <t xml:space="preserve">" to the "</t>
    </r>
    <r>
      <rPr>
        <i val="true"/>
        <sz val="10"/>
        <color rgb="FFFFFFFF"/>
        <rFont val="Times New Roman"/>
        <family val="1"/>
        <charset val="1"/>
      </rPr>
      <t xml:space="preserve">JEDEC Bit Field Values</t>
    </r>
    <r>
      <rPr>
        <sz val="10"/>
        <color rgb="FFFFFFFF"/>
        <rFont val="Times New Roman"/>
        <family val="1"/>
        <charset val="1"/>
      </rPr>
      <t xml:space="preserve">". For more details, please review the notes listed below.</t>
    </r>
  </si>
  <si>
    <t xml:space="preserve">Notes:</t>
  </si>
  <si>
    <r>
      <rPr>
        <sz val="10"/>
        <color rgb="FFFF0000"/>
        <rFont val="Times New Roman"/>
        <family val="1"/>
        <charset val="1"/>
      </rPr>
      <t xml:space="preserve">The "</t>
    </r>
    <r>
      <rPr>
        <i val="true"/>
        <sz val="10"/>
        <color rgb="FFFF0000"/>
        <rFont val="Times New Roman"/>
        <family val="1"/>
        <charset val="1"/>
      </rPr>
      <t xml:space="preserve">Final Bit Field Values</t>
    </r>
    <r>
      <rPr>
        <sz val="10"/>
        <color rgb="FFFF0000"/>
        <rFont val="Times New Roman"/>
        <family val="1"/>
        <charset val="1"/>
      </rPr>
      <t xml:space="preserve">" are used to calculate the register values. These are auto-populated based off of the user provided "</t>
    </r>
    <r>
      <rPr>
        <i val="true"/>
        <sz val="10"/>
        <color rgb="FFFF0000"/>
        <rFont val="Times New Roman"/>
        <family val="1"/>
        <charset val="1"/>
      </rPr>
      <t xml:space="preserve">Datasheet Values</t>
    </r>
    <r>
      <rPr>
        <sz val="10"/>
        <color rgb="FFFF0000"/>
        <rFont val="Times New Roman"/>
        <family val="1"/>
        <charset val="1"/>
      </rPr>
      <t xml:space="preserve">"</t>
    </r>
  </si>
  <si>
    <r>
      <rPr>
        <sz val="10"/>
        <color rgb="FFFF0000"/>
        <rFont val="Times New Roman"/>
        <family val="1"/>
        <charset val="1"/>
      </rPr>
      <t xml:space="preserve">The "</t>
    </r>
    <r>
      <rPr>
        <i val="true"/>
        <sz val="10"/>
        <color rgb="FFFF0000"/>
        <rFont val="Times New Roman"/>
        <family val="1"/>
        <charset val="1"/>
      </rPr>
      <t xml:space="preserve">JEDEC Bit Field Values</t>
    </r>
    <r>
      <rPr>
        <sz val="10"/>
        <color rgb="FFFF0000"/>
        <rFont val="Times New Roman"/>
        <family val="1"/>
        <charset val="1"/>
      </rPr>
      <t xml:space="preserve">" are dynamically populated based off of the user provided DDR speed grade and frequency operation specified in worksheet '</t>
    </r>
    <r>
      <rPr>
        <i val="true"/>
        <sz val="10"/>
        <color rgb="FFFF0000"/>
        <rFont val="Times New Roman"/>
        <family val="1"/>
        <charset val="1"/>
      </rPr>
      <t xml:space="preserve">Step1-SystemDetails</t>
    </r>
    <r>
      <rPr>
        <sz val="10"/>
        <color rgb="FFFF0000"/>
        <rFont val="Times New Roman"/>
        <family val="1"/>
        <charset val="1"/>
      </rPr>
      <t xml:space="preserve">'.</t>
    </r>
  </si>
  <si>
    <r>
      <rPr>
        <sz val="10"/>
        <color rgb="FFFF0000"/>
        <rFont val="Times New Roman"/>
        <family val="1"/>
        <charset val="1"/>
      </rPr>
      <t xml:space="preserve">The "</t>
    </r>
    <r>
      <rPr>
        <i val="true"/>
        <sz val="10"/>
        <color rgb="FFFF0000"/>
        <rFont val="Times New Roman"/>
        <family val="1"/>
        <charset val="1"/>
      </rPr>
      <t xml:space="preserve">Final Bit Field Values</t>
    </r>
    <r>
      <rPr>
        <sz val="10"/>
        <color rgb="FFFF0000"/>
        <rFont val="Times New Roman"/>
        <family val="1"/>
        <charset val="1"/>
      </rPr>
      <t xml:space="preserve">" and "</t>
    </r>
    <r>
      <rPr>
        <i val="true"/>
        <sz val="10"/>
        <color rgb="FFFF0000"/>
        <rFont val="Times New Roman"/>
        <family val="1"/>
        <charset val="1"/>
      </rPr>
      <t xml:space="preserve">JEDEC Bit Field Values</t>
    </r>
    <r>
      <rPr>
        <sz val="10"/>
        <color rgb="FFFF0000"/>
        <rFont val="Times New Roman"/>
        <family val="1"/>
        <charset val="1"/>
      </rPr>
      <t xml:space="preserve">" are provided to allow the user to perform a quick sanity check (Example: check for data possibly entered incorrectly)</t>
    </r>
  </si>
  <si>
    <t xml:space="preserve">4)</t>
  </si>
  <si>
    <r>
      <rPr>
        <sz val="10"/>
        <color rgb="FFFF0000"/>
        <rFont val="Times New Roman"/>
        <family val="1"/>
        <charset val="1"/>
      </rPr>
      <t xml:space="preserve">The user is responsible to ensure that the "</t>
    </r>
    <r>
      <rPr>
        <i val="true"/>
        <sz val="10"/>
        <color rgb="FFFF0000"/>
        <rFont val="Times New Roman"/>
        <family val="1"/>
        <charset val="1"/>
      </rPr>
      <t xml:space="preserve">Datasheet Values</t>
    </r>
    <r>
      <rPr>
        <sz val="10"/>
        <color rgb="FFFF0000"/>
        <rFont val="Times New Roman"/>
        <family val="1"/>
        <charset val="1"/>
      </rPr>
      <t xml:space="preserve">" adhere to their DDR device datasheet.</t>
    </r>
  </si>
  <si>
    <t xml:space="preserve">2A)</t>
  </si>
  <si>
    <t xml:space="preserve">Enter the numerical values listed in your DDR datasheet into columns E and F for each timing entry.</t>
  </si>
  <si>
    <t xml:space="preserve">Enter Values Here!</t>
  </si>
  <si>
    <t xml:space="preserve">Parameter</t>
  </si>
  <si>
    <t xml:space="preserve">Datasheet Values</t>
  </si>
  <si>
    <t xml:space="preserve">Final Bit Field Values</t>
  </si>
  <si>
    <t xml:space="preserve">tCK</t>
  </si>
  <si>
    <t xml:space="preserve">CAS Latency</t>
  </si>
  <si>
    <t xml:space="preserve">Delay between internal READ command and data ready</t>
  </si>
  <si>
    <t xml:space="preserve">CWL Latency</t>
  </si>
  <si>
    <t xml:space="preserve">Delay between internal WRITE command and data ready</t>
  </si>
  <si>
    <t xml:space="preserve">tRTW</t>
  </si>
  <si>
    <t xml:space="preserve">Read to write</t>
  </si>
  <si>
    <t xml:space="preserve">tRP</t>
  </si>
  <si>
    <t xml:space="preserve">Precharge command period</t>
  </si>
  <si>
    <t xml:space="preserve">tRCD</t>
  </si>
  <si>
    <t xml:space="preserve">Active to read or write delay</t>
  </si>
  <si>
    <t xml:space="preserve">tWR</t>
  </si>
  <si>
    <t xml:space="preserve">Write recovery time</t>
  </si>
  <si>
    <t xml:space="preserve">tRAS</t>
  </si>
  <si>
    <t xml:space="preserve">Active to Precharge command period</t>
  </si>
  <si>
    <t xml:space="preserve">tRC</t>
  </si>
  <si>
    <t xml:space="preserve">Active to Active/Refresh command period</t>
  </si>
  <si>
    <t xml:space="preserve">tFAW</t>
  </si>
  <si>
    <t xml:space="preserve">Four Activate Window</t>
  </si>
  <si>
    <t xml:space="preserve">tRRD</t>
  </si>
  <si>
    <t xml:space="preserve">Active Bank to Active Bank command period</t>
  </si>
  <si>
    <t xml:space="preserve">tWTR</t>
  </si>
  <si>
    <t xml:space="preserve">Internal Write to Read command delay</t>
  </si>
  <si>
    <t xml:space="preserve">tXP</t>
  </si>
  <si>
    <t xml:space="preserve">Exit power down mode to first valid command</t>
  </si>
  <si>
    <t xml:space="preserve">tODT</t>
  </si>
  <si>
    <t xml:space="preserve">ODT enable to write data </t>
  </si>
  <si>
    <t xml:space="preserve">tXSNR/tXS</t>
  </si>
  <si>
    <t xml:space="preserve">Exit self refresh to commands not requiring a locked DLL</t>
  </si>
  <si>
    <t xml:space="preserve">tXSRD/tXSDLL</t>
  </si>
  <si>
    <t xml:space="preserve">Exit self refresh to commands requiring a locked DLL</t>
  </si>
  <si>
    <t xml:space="preserve">tRTP</t>
  </si>
  <si>
    <t xml:space="preserve">Internal Read to Precharge command delay</t>
  </si>
  <si>
    <t xml:space="preserve">tCKE</t>
  </si>
  <si>
    <t xml:space="preserve">CKE minimum pulse width</t>
  </si>
  <si>
    <t xml:space="preserve">tPDLL_UL</t>
  </si>
  <si>
    <t xml:space="preserve">tCSTA</t>
  </si>
  <si>
    <t xml:space="preserve">Turnaround time</t>
  </si>
  <si>
    <t xml:space="preserve">tCKESR</t>
  </si>
  <si>
    <t xml:space="preserve">Minimum CKE low width for Self Refresh entry to exit</t>
  </si>
  <si>
    <t xml:space="preserve">tZQCS</t>
  </si>
  <si>
    <t xml:space="preserve">ZQ short calibration time</t>
  </si>
  <si>
    <t xml:space="preserve">tDQSCKmax</t>
  </si>
  <si>
    <t xml:space="preserve">Maximum time interval between clock and DQS (For LPDDR2)</t>
  </si>
  <si>
    <t xml:space="preserve">tRFC</t>
  </si>
  <si>
    <t xml:space="preserve">Refresh to Active/Refresh command period</t>
  </si>
  <si>
    <t xml:space="preserve">tRAS (max)</t>
  </si>
  <si>
    <t xml:space="preserve">Active to Precharge command period (Max Value)</t>
  </si>
  <si>
    <t xml:space="preserve">tREFI intervals</t>
  </si>
  <si>
    <t xml:space="preserve">tREFI</t>
  </si>
  <si>
    <t xml:space="preserve">Average periodic refresh interval</t>
  </si>
  <si>
    <t xml:space="preserve">DDR3_L-2133</t>
  </si>
  <si>
    <t xml:space="preserve">DDR3_L-1866</t>
  </si>
  <si>
    <t xml:space="preserve">DDR3_L-1600</t>
  </si>
  <si>
    <t xml:space="preserve">DDR3_L-1333</t>
  </si>
  <si>
    <t xml:space="preserve">DDR3_L-1066</t>
  </si>
  <si>
    <t xml:space="preserve">DDR3_L-800</t>
  </si>
  <si>
    <t xml:space="preserve">LPDDR2_1066</t>
  </si>
  <si>
    <t xml:space="preserve">LPDDR2_933</t>
  </si>
  <si>
    <t xml:space="preserve">LPDDR2_800</t>
  </si>
  <si>
    <t xml:space="preserve">LPDDR2_667</t>
  </si>
  <si>
    <t xml:space="preserve">LPDDR2_533</t>
  </si>
  <si>
    <t xml:space="preserve">LPDDR2_CL</t>
  </si>
  <si>
    <t xml:space="preserve">AM43xx EMIF Tool: Register Configuration - Step 3, Board Details</t>
  </si>
  <si>
    <t xml:space="preserve">Fill in the board delay and trace lengths for the associated clock and data strobe signals for each appropriate EMIF channel / rank. Lengths should be measured in inches.</t>
  </si>
  <si>
    <t xml:space="preserve">Microstrip' refers to the trace length in inches routed on the outer PCB layers. 'Stripline' refers to the trace length in inches routed on the inner PCB layers between two planes.</t>
  </si>
  <si>
    <t xml:space="preserve">For each byte lane, the clock trace length should be equal to the routing length from the SOC to the DDR memory associated with the DQSn signal.</t>
  </si>
  <si>
    <t xml:space="preserve">3A)</t>
  </si>
  <si>
    <t xml:space="preserve">Enter the PCB delay per inch</t>
  </si>
  <si>
    <t xml:space="preserve">Delay</t>
  </si>
  <si>
    <t xml:space="preserve">Microstrip</t>
  </si>
  <si>
    <t xml:space="preserve">ps</t>
  </si>
  <si>
    <t xml:space="preserve">Stripline</t>
  </si>
  <si>
    <t xml:space="preserve">3B)</t>
  </si>
  <si>
    <t xml:space="preserve">Enter the trace lengths for the DDR signals </t>
  </si>
  <si>
    <t xml:space="preserve">DRAMs Connected to EMIF</t>
  </si>
  <si>
    <t xml:space="preserve">Signal</t>
  </si>
  <si>
    <t xml:space="preserve">PCB Trace Length in inches</t>
  </si>
  <si>
    <t xml:space="preserve">Byte 0</t>
  </si>
  <si>
    <t xml:space="preserve">Byte 1</t>
  </si>
  <si>
    <t xml:space="preserve">Byte 2</t>
  </si>
  <si>
    <t xml:space="preserve">Byte 3</t>
  </si>
  <si>
    <t xml:space="preserve">CLK</t>
  </si>
  <si>
    <t xml:space="preserve">DQSn</t>
  </si>
  <si>
    <t xml:space="preserve">Figure 1: DDR3 Clock Routing Topology (Ref: SPRS851B)</t>
  </si>
  <si>
    <t xml:space="preserve">Figure 2: DDR3 DQS Routing Topology (Ref: SPRS851B)</t>
  </si>
  <si>
    <t xml:space="preserve">DDR3 Data Rate</t>
  </si>
  <si>
    <t xml:space="preserve">Clock</t>
  </si>
  <si>
    <t xml:space="preserve">DDR3-800</t>
  </si>
  <si>
    <t xml:space="preserve">DDR3-1066</t>
  </si>
  <si>
    <t xml:space="preserve">DDR3-1333</t>
  </si>
  <si>
    <t xml:space="preserve">DDR3-1600</t>
  </si>
  <si>
    <t xml:space="preserve">AM43xx EMIF Tool: Register Configuration - Invert Clock Calculation</t>
  </si>
  <si>
    <t xml:space="preserve">Calculates the configuration and timing registers based on the user inputs in steps 1, 2 and 3.</t>
  </si>
  <si>
    <t xml:space="preserve">Calculates if invert clock (DDR3 only) is required or not based on the board details.</t>
  </si>
  <si>
    <t xml:space="preserve">Microstrip Delay per inch</t>
  </si>
  <si>
    <t xml:space="preserve">Stripline Delay per inch</t>
  </si>
  <si>
    <t xml:space="preserve">DDR Data Rate</t>
  </si>
  <si>
    <t xml:space="preserve">DDR Clock Frequency</t>
  </si>
  <si>
    <t xml:space="preserve">Clock Period</t>
  </si>
  <si>
    <t xml:space="preserve">Invert Clock</t>
  </si>
  <si>
    <t xml:space="preserve">Signal Name</t>
  </si>
  <si>
    <t xml:space="preserve">Board Length
(Inches)</t>
  </si>
  <si>
    <t xml:space="preserve">Board Delay (ps)</t>
  </si>
  <si>
    <t xml:space="preserve">tWLS Margin 
(ps)</t>
  </si>
  <si>
    <t xml:space="preserve">tWLH Margin (ps)</t>
  </si>
  <si>
    <t xml:space="preserve">DQS0</t>
  </si>
  <si>
    <t xml:space="preserve">CK_0 (A1+A2)</t>
  </si>
  <si>
    <t xml:space="preserve">DQS1</t>
  </si>
  <si>
    <t xml:space="preserve">CK_1 (A1+A2+A3)</t>
  </si>
  <si>
    <t xml:space="preserve">DQS2</t>
  </si>
  <si>
    <t xml:space="preserve">CK_2 (A1+A2+A3+A4)</t>
  </si>
  <si>
    <t xml:space="preserve">DQS3</t>
  </si>
  <si>
    <t xml:space="preserve">CK_3 (A1+A2+A3+A4+A3)</t>
  </si>
  <si>
    <t xml:space="preserve">Copyright (C) 2016 Texas Instruments Incorporated</t>
  </si>
  <si>
    <t xml:space="preserve">Figure 1: DDR3 Write Leveling DQS_dly Similar to CLK_dly</t>
  </si>
  <si>
    <t xml:space="preserve">Figure 3: DDR3 Timing Diagram of Write Level ling Sequence (Ref: JESD79-3F)</t>
  </si>
  <si>
    <t xml:space="preserve">Figure 2: DDR3 Write Leveling invert_clkout set to ‘1’</t>
  </si>
  <si>
    <t xml:space="preserve">tWLS</t>
  </si>
  <si>
    <t xml:space="preserve">tWLH</t>
  </si>
  <si>
    <t xml:space="preserve">Internal Clock Skew (ps)</t>
  </si>
  <si>
    <t xml:space="preserve">AM43xx EMIF Tool: Register Configuration - Configuration and Timing Registers</t>
  </si>
  <si>
    <t xml:space="preserve">EMIF4D_SDRAM_TIMING_1</t>
  </si>
  <si>
    <t xml:space="preserve">T_RTW[31:29]</t>
  </si>
  <si>
    <t xml:space="preserve">T_RP[28:25]</t>
  </si>
  <si>
    <t xml:space="preserve">T_RCD[24:21]</t>
  </si>
  <si>
    <t xml:space="preserve">T_WR[20:17]</t>
  </si>
  <si>
    <t xml:space="preserve">T_RAS[16:12]</t>
  </si>
  <si>
    <t xml:space="preserve">T_RC[11:6]</t>
  </si>
  <si>
    <t xml:space="preserve">T_RRD[5:3]</t>
  </si>
  <si>
    <t xml:space="preserve">T_WTR[2:0]</t>
  </si>
  <si>
    <t xml:space="preserve">Bit field values (hex)</t>
  </si>
  <si>
    <t xml:space="preserve">SDRAM_TIM_1 optimized</t>
  </si>
  <si>
    <t xml:space="preserve">SDRAM_TIM_1 relaxed</t>
  </si>
  <si>
    <t xml:space="preserve">Bit field values (binary)</t>
  </si>
  <si>
    <t xml:space="preserve">Register value (hex) optimized</t>
  </si>
  <si>
    <t xml:space="preserve">EMIF4D_SDRAM_TIMING_2</t>
  </si>
  <si>
    <t xml:space="preserve">Reserved[31]</t>
  </si>
  <si>
    <t xml:space="preserve">T_XP[30:28]</t>
  </si>
  <si>
    <t xml:space="preserve">T_ODT[27:25]</t>
  </si>
  <si>
    <t xml:space="preserve">T_XSNR[24:16]</t>
  </si>
  <si>
    <t xml:space="preserve">T_XSRD[15:6]</t>
  </si>
  <si>
    <t xml:space="preserve">T_RTP[5:3]</t>
  </si>
  <si>
    <t xml:space="preserve">T_CKE[2:0]</t>
  </si>
  <si>
    <t xml:space="preserve">SDRAM_TIM_2 optimized</t>
  </si>
  <si>
    <t xml:space="preserve">SDRAM_TIM_2 relaxed</t>
  </si>
  <si>
    <t xml:space="preserve">EMIF4D_SDRAM_TIMING_3</t>
  </si>
  <si>
    <t xml:space="preserve">T_PDLL_UL[31:28]</t>
  </si>
  <si>
    <t xml:space="preserve">T_CSTA[27:24]</t>
  </si>
  <si>
    <t xml:space="preserve">T_CKESR[23:21]</t>
  </si>
  <si>
    <t xml:space="preserve">ZQ_ZQCS[20:15]</t>
  </si>
  <si>
    <t xml:space="preserve">T_RFC[12:4]</t>
  </si>
  <si>
    <t xml:space="preserve">T_RAS_MAX[3:0]</t>
  </si>
  <si>
    <t xml:space="preserve">EMIF4D_SDRAM_CONFIG</t>
  </si>
  <si>
    <t xml:space="preserve">SDRAM_TYPE[31:29]</t>
  </si>
  <si>
    <t xml:space="preserve">IBANK_POS[28:27]</t>
  </si>
  <si>
    <t xml:space="preserve">DDR_TERM[26:24]</t>
  </si>
  <si>
    <t xml:space="preserve">LPDDR2_DDQS[23]</t>
  </si>
  <si>
    <t xml:space="preserve">DYN_ODT[22:21]</t>
  </si>
  <si>
    <t xml:space="preserve">DDR_DISABLE_DLL[20]</t>
  </si>
  <si>
    <t xml:space="preserve">SDRAM_DRIVE[19:18]</t>
  </si>
  <si>
    <t xml:space="preserve">CWL[17:16]</t>
  </si>
  <si>
    <t xml:space="preserve">NARROW_MODE[15:14]</t>
  </si>
  <si>
    <t xml:space="preserve">CL[13:10]</t>
  </si>
  <si>
    <t xml:space="preserve">ROWSIZE[9:7]</t>
  </si>
  <si>
    <t xml:space="preserve">IBANK[6:4]</t>
  </si>
  <si>
    <t xml:space="preserve">EBANK[3]</t>
  </si>
  <si>
    <t xml:space="preserve">PAGESIZE[2:0]</t>
  </si>
  <si>
    <t xml:space="preserve">SDRAM_TIM_3 optimized</t>
  </si>
  <si>
    <t xml:space="preserve">SDRAM_TIM_3 relaxed</t>
  </si>
  <si>
    <t xml:space="preserve">EMIF4D_SDRAM_CONFIG_2</t>
  </si>
  <si>
    <t xml:space="preserve">RESERVED[31]</t>
  </si>
  <si>
    <t xml:space="preserve">CS1NVMEN[30]</t>
  </si>
  <si>
    <t xml:space="preserve">RESERVED[29:28]</t>
  </si>
  <si>
    <t xml:space="preserve">EBANK_POS[27]</t>
  </si>
  <si>
    <t xml:space="preserve">RESERVED[26:17]</t>
  </si>
  <si>
    <t xml:space="preserve">RESERVED[16:7]</t>
  </si>
  <si>
    <t xml:space="preserve">RESERVED[6]</t>
  </si>
  <si>
    <t xml:space="preserve">RDBNUM[5:4]</t>
  </si>
  <si>
    <t xml:space="preserve">RESERVED[3]</t>
  </si>
  <si>
    <t xml:space="preserve">RDBSIZE[2:0]</t>
  </si>
  <si>
    <t xml:space="preserve">EMIF4D_SDRAM_REFRESH_CTRL</t>
  </si>
  <si>
    <t xml:space="preserve">INITREF_DIS[31]</t>
  </si>
  <si>
    <t xml:space="preserve">RESERVED[30]</t>
  </si>
  <si>
    <t xml:space="preserve">SRT[29]</t>
  </si>
  <si>
    <t xml:space="preserve">ASR[28]</t>
  </si>
  <si>
    <t xml:space="preserve">RESERVED[27]</t>
  </si>
  <si>
    <t xml:space="preserve">PASR[26:24]</t>
  </si>
  <si>
    <t xml:space="preserve">RESERVED[23:16]</t>
  </si>
  <si>
    <t xml:space="preserve">REFRESH_RATE [15:8]</t>
  </si>
  <si>
    <t xml:space="preserve">REFRESH_RATE [7:0]</t>
  </si>
  <si>
    <t xml:space="preserve">SDRAM_CONFIG optimized</t>
  </si>
  <si>
    <t xml:space="preserve">EMIF4D_LPDDR2_MODE_REG_CONFIG</t>
  </si>
  <si>
    <t xml:space="preserve">CS[31]</t>
  </si>
  <si>
    <t xml:space="preserve">REFRESH_EN[30]</t>
  </si>
  <si>
    <t xml:space="preserve">Reserved[29:20]</t>
  </si>
  <si>
    <t xml:space="preserve">Reserved[19:10]</t>
  </si>
  <si>
    <t xml:space="preserve">Reserved[9:8]</t>
  </si>
  <si>
    <t xml:space="preserve">ADDR[7:0]</t>
  </si>
  <si>
    <t xml:space="preserve">CTRL_DDR_ADDRCTRL_IOCTRL</t>
  </si>
  <si>
    <t xml:space="preserve">SDRAM_CONFIG_2 optimized</t>
  </si>
  <si>
    <t xml:space="preserve">Reserved[31:22]</t>
  </si>
  <si>
    <t xml:space="preserve">Reserved[21:12]</t>
  </si>
  <si>
    <t xml:space="preserve">Reserved[11:10]</t>
  </si>
  <si>
    <t xml:space="preserve">IO_CONFIG_SR_CLK [9:8]</t>
  </si>
  <si>
    <t xml:space="preserve">IO_CONFIG_I_CLK [7:5]</t>
  </si>
  <si>
    <t xml:space="preserve">IO_CONFIG_SR[4:3]</t>
  </si>
  <si>
    <t xml:space="preserve">IO_CONFIG_I [2:0]</t>
  </si>
  <si>
    <t xml:space="preserve">CTRL_DDR_DATAx_IOCTRL</t>
  </si>
  <si>
    <t xml:space="preserve">Reserved[31:30]</t>
  </si>
  <si>
    <t xml:space="preserve">IO_CONFIG_WD1_DQS [29]</t>
  </si>
  <si>
    <t xml:space="preserve">IO_CONFIG_WD1_DM[28]</t>
  </si>
  <si>
    <t xml:space="preserve">IO_CONFIG_WD1_DQ [27:20]</t>
  </si>
  <si>
    <t xml:space="preserve">IO_CONFIG_WD0_DQS[19]</t>
  </si>
  <si>
    <t xml:space="preserve">IO_CONFIG_WD0_DM [18]</t>
  </si>
  <si>
    <t xml:space="preserve">IO_CONFIG_WD0_DQ[17:10]</t>
  </si>
  <si>
    <t xml:space="preserve">IO_CONFIG_SR_CLK[9:8]</t>
  </si>
  <si>
    <t xml:space="preserve">IO_CONFIG_SR [4:3]</t>
  </si>
  <si>
    <t xml:space="preserve">IO_CONFIG_I[2:0]</t>
  </si>
  <si>
    <t xml:space="preserve">REF_CTRL optimized</t>
  </si>
  <si>
    <t xml:space="preserve">EMIF4D_DDR_PHY_CTRL_1</t>
  </si>
  <si>
    <t xml:space="preserve">Reserved[31:28]</t>
  </si>
  <si>
    <t xml:space="preserve">RDLVL_MASK[27]</t>
  </si>
  <si>
    <t xml:space="preserve">RDLVLGATE_MASK [26]</t>
  </si>
  <si>
    <t xml:space="preserve">WRLVL_MASK [25]</t>
  </si>
  <si>
    <t xml:space="preserve">Reserved[24:22]</t>
  </si>
  <si>
    <t xml:space="preserve">PHY_HALF_DELAYS [21]</t>
  </si>
  <si>
    <t xml:space="preserve">PHY_CLK_STALL_LEVEL[20]</t>
  </si>
  <si>
    <t xml:space="preserve">PHY_DIS_CALIB_RST [19]</t>
  </si>
  <si>
    <t xml:space="preserve">PHY_INVERT_CLKOUT[18]</t>
  </si>
  <si>
    <t xml:space="preserve">PHY_DLL_LOCK_DIFF[17:10]</t>
  </si>
  <si>
    <t xml:space="preserve">PHY_FAST_DLL_LOCK [9]</t>
  </si>
  <si>
    <t xml:space="preserve">RESERVED[8:5]</t>
  </si>
  <si>
    <t xml:space="preserve">READ_LAT[4:0]</t>
  </si>
  <si>
    <t xml:space="preserve">EMIF4D_SDRAM_OUTPUT_IMPEDANCE_CALIBRATION_CONFIG</t>
  </si>
  <si>
    <t xml:space="preserve">ZQCS1EN[31]</t>
  </si>
  <si>
    <t xml:space="preserve">ZQCS0EN[30]</t>
  </si>
  <si>
    <t xml:space="preserve">ZQ_DUALCALEN[29]</t>
  </si>
  <si>
    <t xml:space="preserve">ZQ_SFEXITEN[28]</t>
  </si>
  <si>
    <t xml:space="preserve">Reserved[27:20]</t>
  </si>
  <si>
    <t xml:space="preserve">ZQ_ZQINIT_MULT[19:18]</t>
  </si>
  <si>
    <t xml:space="preserve">ZQ_ZQCL_MULT[17:16]</t>
  </si>
  <si>
    <t xml:space="preserve">ZQ_REFINTERVAL[15:8]</t>
  </si>
  <si>
    <t xml:space="preserve">ZQ_REFINTERVAL[7:0]</t>
  </si>
  <si>
    <t xml:space="preserve">MODE_REG_CONFIG optimized</t>
  </si>
  <si>
    <t xml:space="preserve">ADDRCTRL_IOCTRL optimized</t>
  </si>
  <si>
    <t xml:space="preserve">DATAx_IOCTRL optimized </t>
  </si>
  <si>
    <t xml:space="preserve">PHY_CTRL optimized </t>
  </si>
  <si>
    <t xml:space="preserve">ZQ_CONFIG optimized </t>
  </si>
  <si>
    <t xml:space="preserve">AM43xx EMIF Tool: Register Configuration - Registers</t>
  </si>
  <si>
    <t xml:space="preserve">Gives the register values to be modified in gel file and uboot DDR configuration. Keep all other registers as default.</t>
  </si>
  <si>
    <t xml:space="preserve">EMIF Registers</t>
  </si>
  <si>
    <t xml:space="preserve">Register</t>
  </si>
  <si>
    <t xml:space="preserve">Address</t>
  </si>
  <si>
    <t xml:space="preserve">0x4C000018</t>
  </si>
  <si>
    <t xml:space="preserve">EMIF4D_SDRAM_TIMING_1_SHADOW</t>
  </si>
  <si>
    <t xml:space="preserve">0x4C00001C</t>
  </si>
  <si>
    <t xml:space="preserve">0x4C000020</t>
  </si>
  <si>
    <t xml:space="preserve">EMIF4D_SDRAM_TIMING_2_SHADOW</t>
  </si>
  <si>
    <t xml:space="preserve">0x4C000024</t>
  </si>
  <si>
    <t xml:space="preserve">0x4C000028</t>
  </si>
  <si>
    <t xml:space="preserve">EMIF4D_SDRAM_TIMING_3_SHADOW</t>
  </si>
  <si>
    <t xml:space="preserve">0x4C00002C</t>
  </si>
  <si>
    <t xml:space="preserve">0x4C000008</t>
  </si>
  <si>
    <t xml:space="preserve">0x4C00000C</t>
  </si>
  <si>
    <t xml:space="preserve">0x4C000010</t>
  </si>
  <si>
    <t xml:space="preserve">EMIF4D_SDRAM_REFRESH_CTRL_SHADOW</t>
  </si>
  <si>
    <t xml:space="preserve">0x4C000014</t>
  </si>
  <si>
    <t xml:space="preserve">0x4C0000C8</t>
  </si>
  <si>
    <t xml:space="preserve">0x4C000050</t>
  </si>
  <si>
    <t xml:space="preserve">EMIF4D_LPDDR2_MODE_REG_DATA</t>
  </si>
  <si>
    <t xml:space="preserve">0x4C000040</t>
  </si>
  <si>
    <t xml:space="preserve">EMIF4D_TEMPERATURE_ALERT_CONFIG</t>
  </si>
  <si>
    <t xml:space="preserve">0x4C0000CC</t>
  </si>
  <si>
    <t xml:space="preserve">0x00000000</t>
  </si>
  <si>
    <t xml:space="preserve">EMIF4D_READ_WRITE_LEVELING_RAMP_WINDOW</t>
  </si>
  <si>
    <t xml:space="preserve">0x4C0000D4</t>
  </si>
  <si>
    <t xml:space="preserve">EMIF4D_READ_WRITE_LEVELING_RAMP_CTRL</t>
  </si>
  <si>
    <t xml:space="preserve">0x4C0000D8</t>
  </si>
  <si>
    <t xml:space="preserve">EMIF4D_READ_WRITE_LEVELING_CTRL</t>
  </si>
  <si>
    <t xml:space="preserve">0x4C0000DC</t>
  </si>
  <si>
    <t xml:space="preserve">DDR PHY CTRL Register</t>
  </si>
  <si>
    <t xml:space="preserve">0x4C0000E4</t>
  </si>
  <si>
    <t xml:space="preserve">EMIF4D_DDR_PHY_CTRL_1_SHADOW</t>
  </si>
  <si>
    <t xml:space="preserve">0x4C0000E8</t>
  </si>
  <si>
    <t xml:space="preserve">EMIF4D_EXT_PHY_CTRL_1</t>
  </si>
  <si>
    <t xml:space="preserve">0x4C000200</t>
  </si>
  <si>
    <t xml:space="preserve">EMIF4D_EXT_PHY_CTRL_1_SHADOW</t>
  </si>
  <si>
    <t xml:space="preserve">0x4C000204</t>
  </si>
  <si>
    <t xml:space="preserve">EMIF4D_EXT_PHY_CTRL_2</t>
  </si>
  <si>
    <t xml:space="preserve">0x4C000208</t>
  </si>
  <si>
    <t xml:space="preserve">EMIF4D_EXT_PHY_CTRL_2_SHADOW</t>
  </si>
  <si>
    <t xml:space="preserve">0x4C00020C</t>
  </si>
  <si>
    <t xml:space="preserve">EMIF4D_EXT_PHY_CTRL_3</t>
  </si>
  <si>
    <t xml:space="preserve">0x4C000210</t>
  </si>
  <si>
    <t xml:space="preserve">EMIF4D_EXT_PHY_CTRL_3_SHADOW</t>
  </si>
  <si>
    <t xml:space="preserve">0x4C000214</t>
  </si>
  <si>
    <t xml:space="preserve">EMIF4D_EXT_PHY_CTRL_4</t>
  </si>
  <si>
    <t xml:space="preserve">0x4C000218</t>
  </si>
  <si>
    <t xml:space="preserve">EMIF4D_EXT_PHY_CTRL_4_SHADOW</t>
  </si>
  <si>
    <t xml:space="preserve">0x4C00021C</t>
  </si>
  <si>
    <t xml:space="preserve">EMIF4D_EXT_PHY_CTRL_5</t>
  </si>
  <si>
    <t xml:space="preserve">0x4C000220</t>
  </si>
  <si>
    <t xml:space="preserve">EMIF4D_EXT_PHY_CTRL_5_SHADOW</t>
  </si>
  <si>
    <t xml:space="preserve">0x4C000224</t>
  </si>
  <si>
    <t xml:space="preserve">EMIF4D_EXT_PHY_CTRL_6</t>
  </si>
  <si>
    <t xml:space="preserve">0x4C000228</t>
  </si>
  <si>
    <t xml:space="preserve">EMIF4D_EXT_PHY_CTRL_6_SHADOW</t>
  </si>
  <si>
    <t xml:space="preserve">0x4C00022C</t>
  </si>
  <si>
    <t xml:space="preserve">EMIF4D_EXT_PHY_CTRL_7</t>
  </si>
  <si>
    <t xml:space="preserve">0x4C000230</t>
  </si>
  <si>
    <t xml:space="preserve">EMIF4D_EXT_PHY_CTRL_7_SHADOW</t>
  </si>
  <si>
    <t xml:space="preserve">0x4C000234</t>
  </si>
  <si>
    <t xml:space="preserve">EMIF4D_EXT_PHY_CTRL_8</t>
  </si>
  <si>
    <t xml:space="preserve">0x4C000238</t>
  </si>
  <si>
    <t xml:space="preserve">EMIF4D_EXT_PHY_CTRL_8_SHADOW</t>
  </si>
  <si>
    <t xml:space="preserve">0x4C00023C</t>
  </si>
  <si>
    <t xml:space="preserve">EMIF4D_EXT_PHY_CTRL_9</t>
  </si>
  <si>
    <t xml:space="preserve">0x4C000240</t>
  </si>
  <si>
    <t xml:space="preserve">EMIF4D_EXT_PHY_CTRL_9_SHADOW</t>
  </si>
  <si>
    <t xml:space="preserve">0x4C000244</t>
  </si>
  <si>
    <t xml:space="preserve">EMIF4D_EXT_PHY_CTRL_10</t>
  </si>
  <si>
    <t xml:space="preserve">0x4C000248</t>
  </si>
  <si>
    <t xml:space="preserve">EMIF4D_EXT_PHY_CTRL_10_SHADOW</t>
  </si>
  <si>
    <t xml:space="preserve">0x4C00024C</t>
  </si>
  <si>
    <t xml:space="preserve">EMIF4D_EXT_PHY_CTRL_11</t>
  </si>
  <si>
    <t xml:space="preserve">0x4C000250</t>
  </si>
  <si>
    <t xml:space="preserve">EMIF4D_EXT_PHY_CTRL_11_SHADOW</t>
  </si>
  <si>
    <t xml:space="preserve">0x4C000254</t>
  </si>
  <si>
    <t xml:space="preserve">EMIF4D_EXT_PHY_CTRL_12</t>
  </si>
  <si>
    <t xml:space="preserve">0x4C000258</t>
  </si>
  <si>
    <t xml:space="preserve">EMIF4D_EXT_PHY_CTRL_12_SHADOW</t>
  </si>
  <si>
    <t xml:space="preserve">0x4C00025C</t>
  </si>
  <si>
    <t xml:space="preserve">EMIF4D_EXT_PHY_CTRL_13</t>
  </si>
  <si>
    <t xml:space="preserve">0x4C000260</t>
  </si>
  <si>
    <t xml:space="preserve">EMIF4D_EXT_PHY_CTRL_13_SHADOW</t>
  </si>
  <si>
    <t xml:space="preserve">0x4C000264</t>
  </si>
  <si>
    <t xml:space="preserve">EMIF4D_EXT_PHY_CTRL_14</t>
  </si>
  <si>
    <t xml:space="preserve">0x4C000268</t>
  </si>
  <si>
    <t xml:space="preserve">EMIF4D_EXT_PHY_CTRL_14_SHADOW</t>
  </si>
  <si>
    <t xml:space="preserve">0x4C00026C</t>
  </si>
  <si>
    <t xml:space="preserve">EMIF4D_EXT_PHY_CTRL_15</t>
  </si>
  <si>
    <t xml:space="preserve">0x4C000270</t>
  </si>
  <si>
    <t xml:space="preserve">EMIF4D_EXT_PHY_CTRL_15_SHADOW</t>
  </si>
  <si>
    <t xml:space="preserve">0x4C000274</t>
  </si>
  <si>
    <t xml:space="preserve">EMIF4D_EXT_PHY_CTRL_16</t>
  </si>
  <si>
    <t xml:space="preserve">0x4C000278</t>
  </si>
  <si>
    <t xml:space="preserve">EMIF4D_EXT_PHY_CTRL_16_SHADOW</t>
  </si>
  <si>
    <t xml:space="preserve">0x4C00027C</t>
  </si>
  <si>
    <t xml:space="preserve">EMIF4D_EXT_PHY_CTRL_17</t>
  </si>
  <si>
    <t xml:space="preserve">0x4C000280</t>
  </si>
  <si>
    <t xml:space="preserve">EMIF4D_EXT_PHY_CTRL_17_SHADOW</t>
  </si>
  <si>
    <t xml:space="preserve">0x4C000284</t>
  </si>
  <si>
    <t xml:space="preserve">EMIF4D_EXT_PHY_CTRL_18</t>
  </si>
  <si>
    <t xml:space="preserve">0x4C000288</t>
  </si>
  <si>
    <t xml:space="preserve">EMIF4D_EXT_PHY_CTRL_18_SHADOW</t>
  </si>
  <si>
    <t xml:space="preserve">0x4C00028C</t>
  </si>
  <si>
    <t xml:space="preserve">EMIF4D_EXT_PHY_CTRL_19</t>
  </si>
  <si>
    <t xml:space="preserve">0x4C000290</t>
  </si>
  <si>
    <t xml:space="preserve">EMIF4D_EXT_PHY_CTRL_19_SHADOW</t>
  </si>
  <si>
    <t xml:space="preserve">0x4C000294</t>
  </si>
  <si>
    <t xml:space="preserve">EMIF4D_EXT_PHY_CTRL_20</t>
  </si>
  <si>
    <t xml:space="preserve">0x4C000298</t>
  </si>
  <si>
    <t xml:space="preserve">EMIF4D_EXT_PHY_CTRL_20_SHADOW</t>
  </si>
  <si>
    <t xml:space="preserve">0x4C00029C</t>
  </si>
  <si>
    <t xml:space="preserve">EMIF4D_EXT_PHY_CTRL_21</t>
  </si>
  <si>
    <t xml:space="preserve">0x4C0002A0</t>
  </si>
  <si>
    <t xml:space="preserve">EMIF4D_EXT_PHY_CTRL_21_SHADOW</t>
  </si>
  <si>
    <t xml:space="preserve">0x4C0002A4</t>
  </si>
  <si>
    <t xml:space="preserve">EMIF4D_EXT_PHY_CTRL_22</t>
  </si>
  <si>
    <t xml:space="preserve">0x4C0002A8</t>
  </si>
  <si>
    <t xml:space="preserve">EMIF4D_EXT_PHY_CTRL_22_SHADOW</t>
  </si>
  <si>
    <t xml:space="preserve">0x4C0002AC</t>
  </si>
  <si>
    <t xml:space="preserve">EMIF4D_EXT_PHY_CTRL_23</t>
  </si>
  <si>
    <t xml:space="preserve">0x4C0002B0</t>
  </si>
  <si>
    <t xml:space="preserve">EMIF4D_EXT_PHY_CTRL_23_SHADOW</t>
  </si>
  <si>
    <t xml:space="preserve">0x4C0002B4</t>
  </si>
  <si>
    <t xml:space="preserve">EMIF4D_EXT_PHY_CTRL_24</t>
  </si>
  <si>
    <t xml:space="preserve">0x4C0002B8</t>
  </si>
  <si>
    <t xml:space="preserve">EMIF4D_EXT_PHY_CTRL_24_SHADOW</t>
  </si>
  <si>
    <t xml:space="preserve">0x4C0002BC</t>
  </si>
  <si>
    <t xml:space="preserve">EMIF4D_EXT_PHY_CTRL_25</t>
  </si>
  <si>
    <t xml:space="preserve">0x4C0002C0</t>
  </si>
  <si>
    <t xml:space="preserve">EMIF4D_EXT_PHY_CTRL_25_SHADOW</t>
  </si>
  <si>
    <t xml:space="preserve">0x4C0002C4</t>
  </si>
  <si>
    <t xml:space="preserve">EMIF4D_EXT_PHY_CTRL_26</t>
  </si>
  <si>
    <t xml:space="preserve">0x4C0002C8</t>
  </si>
  <si>
    <t xml:space="preserve">EMIF4D_EXT_PHY_CTRL_26_SHADOW</t>
  </si>
  <si>
    <t xml:space="preserve">0x4C0002CC</t>
  </si>
  <si>
    <t xml:space="preserve">EMIF4D_EXT_PHY_CTRL_27</t>
  </si>
  <si>
    <t xml:space="preserve">0x4C0002D0</t>
  </si>
  <si>
    <t xml:space="preserve">EMIF4D_EXT_PHY_CTRL_27_SHADOW</t>
  </si>
  <si>
    <t xml:space="preserve">0x4C0002D4</t>
  </si>
  <si>
    <t xml:space="preserve">EMIF4D_EXT_PHY_CTRL_28</t>
  </si>
  <si>
    <t xml:space="preserve">0x4C0002D8</t>
  </si>
  <si>
    <t xml:space="preserve">EMIF4D_EXT_PHY_CTRL_28_SHADOW</t>
  </si>
  <si>
    <t xml:space="preserve">0x4C0002DC</t>
  </si>
  <si>
    <t xml:space="preserve">EMIF4D_EXT_PHY_CTRL_29</t>
  </si>
  <si>
    <t xml:space="preserve">0x4C0002E0</t>
  </si>
  <si>
    <t xml:space="preserve">EMIF4D_EXT_PHY_CTRL_29_SHADOW</t>
  </si>
  <si>
    <t xml:space="preserve">0x4C0002E4</t>
  </si>
  <si>
    <t xml:space="preserve">EMIF4D_EXT_PHY_CTRL_30</t>
  </si>
  <si>
    <t xml:space="preserve">0x4C0002E8</t>
  </si>
  <si>
    <t xml:space="preserve">EMIF4D_EXT_PHY_CTRL_30_SHADOW</t>
  </si>
  <si>
    <t xml:space="preserve">0x4C0002EC</t>
  </si>
  <si>
    <t xml:space="preserve">EMIF4D_EXT_PHY_CTRL_31</t>
  </si>
  <si>
    <t xml:space="preserve">0x4C0002F0</t>
  </si>
  <si>
    <t xml:space="preserve">EMIF4D_EXT_PHY_CTRL_31_SHADOW</t>
  </si>
  <si>
    <t xml:space="preserve">0x4C0002F4</t>
  </si>
  <si>
    <t xml:space="preserve">EMIF4D_EXT_PHY_CTRL_32</t>
  </si>
  <si>
    <t xml:space="preserve">0x4C0002F8</t>
  </si>
  <si>
    <t xml:space="preserve">EMIF4D_EXT_PHY_CTRL_32_SHADOW</t>
  </si>
  <si>
    <t xml:space="preserve">0x4C0002FC</t>
  </si>
  <si>
    <t xml:space="preserve">EMIF4D_EXT_PHY_CTRL_33</t>
  </si>
  <si>
    <t xml:space="preserve">0x4C000300</t>
  </si>
  <si>
    <t xml:space="preserve">EMIF4D_EXT_PHY_CTRL_33_SHADOW</t>
  </si>
  <si>
    <t xml:space="preserve">0x4C000304</t>
  </si>
  <si>
    <t xml:space="preserve">EMIF4D_EXT_PHY_CTRL_34</t>
  </si>
  <si>
    <t xml:space="preserve">0x4C000308</t>
  </si>
  <si>
    <t xml:space="preserve">EMIF4D_EXT_PHY_CTRL_34_SHADOW</t>
  </si>
  <si>
    <t xml:space="preserve">0x4C00030C</t>
  </si>
  <si>
    <t xml:space="preserve">EMIF4D_EXT_PHY_CTRL_35</t>
  </si>
  <si>
    <t xml:space="preserve">0x4C000310</t>
  </si>
  <si>
    <t xml:space="preserve">EMIF4D_EXT_PHY_CTRL_35_SHADOW</t>
  </si>
  <si>
    <t xml:space="preserve">0x4C000314</t>
  </si>
  <si>
    <t xml:space="preserve">EMIF4D_EXT_PHY_CTRL_36</t>
  </si>
  <si>
    <t xml:space="preserve">0x4C000318</t>
  </si>
  <si>
    <t xml:space="preserve">EMIF4D_EXT_PHY_CTRL_36_SHADOW</t>
  </si>
  <si>
    <t xml:space="preserve">0x4C00031C</t>
  </si>
  <si>
    <t xml:space="preserve">IO Control Registers</t>
  </si>
  <si>
    <t xml:space="preserve">CTRL_DDR_CKE</t>
  </si>
  <si>
    <t xml:space="preserve">0x44E1131C</t>
  </si>
  <si>
    <t xml:space="preserve">0x00000003</t>
  </si>
  <si>
    <t xml:space="preserve">0x44E11404</t>
  </si>
  <si>
    <t xml:space="preserve">CTRL_DDR_ADDRCTRL_WD0_IOCTRL</t>
  </si>
  <si>
    <t xml:space="preserve">0x44E11408</t>
  </si>
  <si>
    <t xml:space="preserve">CTRL_DDR_ADDRCTRL_WD1_IOCTRL</t>
  </si>
  <si>
    <t xml:space="preserve">0x44E1140C</t>
  </si>
  <si>
    <t xml:space="preserve">CTRL_DDR_DATA0_IOCTRL</t>
  </si>
  <si>
    <t xml:space="preserve">0x44E11440</t>
  </si>
  <si>
    <t xml:space="preserve">CTRL_DDR_DATA1_IOCTRL</t>
  </si>
  <si>
    <t xml:space="preserve">0x44E11444</t>
  </si>
  <si>
    <t xml:space="preserve">CTRL_DDR_DATA2_IOCTRL</t>
  </si>
  <si>
    <t xml:space="preserve">0x44E11448</t>
  </si>
  <si>
    <t xml:space="preserve">CTRL_DDR_DATA3_IOCTRL</t>
  </si>
  <si>
    <t xml:space="preserve">0x44E1144C</t>
  </si>
  <si>
    <t xml:space="preserve">CTRL_EMIF_SDRAM_CONFIG_EXT</t>
  </si>
  <si>
    <t xml:space="preserve">0x44E11460</t>
  </si>
  <si>
    <t xml:space="preserve">LPDDR2 Mode Registers</t>
  </si>
  <si>
    <t xml:space="preserve">0x0000000A</t>
  </si>
  <si>
    <r>
      <rPr>
        <b val="true"/>
        <sz val="10"/>
        <rFont val="Arial"/>
        <family val="2"/>
        <charset val="1"/>
      </rPr>
      <t xml:space="preserve">Note:</t>
    </r>
    <r>
      <rPr>
        <sz val="10"/>
        <rFont val="Arial"/>
        <family val="2"/>
        <charset val="1"/>
      </rPr>
      <t xml:space="preserve"> 1. LPDDR2 mode registers are only applicable for LPDDR2. 
       </t>
    </r>
  </si>
  <si>
    <t xml:space="preserve">0x00000056</t>
  </si>
  <si>
    <t xml:space="preserve">         2. Write the registers value sequentially. </t>
  </si>
  <si>
    <t xml:space="preserve">         3. For single rank device, skip the "Not Required" rows.</t>
  </si>
  <si>
    <t xml:space="preserve">0x00000001</t>
  </si>
  <si>
    <t xml:space="preserve">0x00000043</t>
  </si>
  <si>
    <t xml:space="preserve">0x00000002</t>
  </si>
  <si>
    <t xml:space="preserve">0x40000002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</si>
</sst>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General"/>
    <numFmt numFmtId="166" formatCode="0.0"/>
    <numFmt numFmtId="167" formatCode="0.00"/>
    <numFmt numFmtId="168" formatCode="0.000"/>
    <numFmt numFmtId="169" formatCode="0"/>
    <numFmt numFmtId="170" formatCode="0&quot;ps&quot;"/>
    <numFmt numFmtId="171" formatCode="0_);[RED]\(0\)"/>
  </numFmts>
  <fonts count="4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u val="single"/>
      <sz val="36"/>
      <name val="Times New Roman"/>
      <family val="1"/>
      <charset val="1"/>
    </font>
    <font>
      <b val="true"/>
      <sz val="20"/>
      <name val="Times New Roman"/>
      <family val="1"/>
      <charset val="1"/>
    </font>
    <font>
      <sz val="20"/>
      <name val="Times New Roman"/>
      <family val="1"/>
      <charset val="1"/>
    </font>
    <font>
      <b val="true"/>
      <sz val="20"/>
      <color rgb="FFFF0000"/>
      <name val="Times New Roman"/>
      <family val="1"/>
      <charset val="1"/>
    </font>
    <font>
      <b val="true"/>
      <u val="single"/>
      <sz val="10"/>
      <color rgb="FFFFFFFF"/>
      <name val="Times New Roman"/>
      <family val="1"/>
      <charset val="1"/>
    </font>
    <font>
      <b val="true"/>
      <u val="single"/>
      <sz val="10"/>
      <name val="Times New Roman"/>
      <family val="1"/>
      <charset val="1"/>
    </font>
    <font>
      <sz val="10"/>
      <name val="Times New Roman"/>
      <family val="1"/>
      <charset val="1"/>
    </font>
    <font>
      <vertAlign val="superscript"/>
      <sz val="10"/>
      <color rgb="FFFFFFFF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8"/>
      <name val="Times New Roman"/>
      <family val="1"/>
      <charset val="1"/>
    </font>
    <font>
      <b val="true"/>
      <u val="single"/>
      <sz val="20"/>
      <name val="Times New Roman"/>
      <family val="1"/>
      <charset val="1"/>
    </font>
    <font>
      <b val="true"/>
      <u val="single"/>
      <sz val="18"/>
      <color rgb="FFFFFFFF"/>
      <name val="Times New Roman"/>
      <family val="1"/>
      <charset val="1"/>
    </font>
    <font>
      <sz val="10"/>
      <color rgb="FFFFFFFF"/>
      <name val="Times New Roman"/>
      <family val="1"/>
      <charset val="1"/>
    </font>
    <font>
      <b val="true"/>
      <u val="single"/>
      <sz val="10"/>
      <color rgb="FFFF0000"/>
      <name val="Times New Roman"/>
      <family val="1"/>
      <charset val="1"/>
    </font>
    <font>
      <b val="true"/>
      <sz val="10"/>
      <color rgb="FFFF0000"/>
      <name val="Times New Roman"/>
      <family val="1"/>
      <charset val="1"/>
    </font>
    <font>
      <sz val="14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u val="single"/>
      <sz val="8"/>
      <color rgb="FFFF0000"/>
      <name val="Times New Roman"/>
      <family val="1"/>
      <charset val="1"/>
    </font>
    <font>
      <sz val="8"/>
      <color rgb="FFFF0000"/>
      <name val="Times New Roman"/>
      <family val="1"/>
      <charset val="1"/>
    </font>
    <font>
      <sz val="10"/>
      <color rgb="FFFF0000"/>
      <name val="Arial"/>
      <family val="2"/>
      <charset val="1"/>
    </font>
    <font>
      <sz val="10"/>
      <name val="Calibri"/>
      <family val="2"/>
      <charset val="1"/>
    </font>
    <font>
      <b val="true"/>
      <sz val="9"/>
      <color rgb="FF000000"/>
      <name val="Tahoma"/>
      <family val="2"/>
      <charset val="1"/>
    </font>
    <font>
      <i val="true"/>
      <sz val="10"/>
      <color rgb="FFFFFFFF"/>
      <name val="Times New Roman"/>
      <family val="1"/>
      <charset val="1"/>
    </font>
    <font>
      <b val="true"/>
      <sz val="16"/>
      <color rgb="FFFFFFFF"/>
      <name val="Times New Roman"/>
      <family val="1"/>
      <charset val="1"/>
    </font>
    <font>
      <sz val="10"/>
      <color rgb="FFFF0000"/>
      <name val="Times New Roman"/>
      <family val="1"/>
      <charset val="1"/>
    </font>
    <font>
      <u val="single"/>
      <sz val="10"/>
      <color rgb="FFFF0000"/>
      <name val="Times New Roman"/>
      <family val="1"/>
      <charset val="1"/>
    </font>
    <font>
      <i val="true"/>
      <sz val="10"/>
      <color rgb="FFFF0000"/>
      <name val="Times New Roman"/>
      <family val="1"/>
      <charset val="1"/>
    </font>
    <font>
      <b val="true"/>
      <u val="single"/>
      <sz val="10"/>
      <color rgb="FFFF000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20"/>
      <color rgb="FFFF00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2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FFFF99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2D050"/>
        <bgColor rgb="FFC0C0C0"/>
      </patternFill>
    </fill>
    <fill>
      <patternFill patternType="solid">
        <fgColor rgb="FFFAC090"/>
        <bgColor rgb="FFC0C0C0"/>
      </patternFill>
    </fill>
  </fills>
  <borders count="110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n"/>
      <top style="thick"/>
      <bottom/>
      <diagonal/>
    </border>
    <border diagonalUp="false" diagonalDown="false">
      <left style="thin"/>
      <right style="thick"/>
      <top style="thick"/>
      <bottom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 style="thin">
        <color rgb="FFFFFFFF"/>
      </right>
      <top style="thick"/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ck"/>
      <bottom style="thick"/>
      <diagonal/>
    </border>
    <border diagonalUp="false" diagonalDown="false">
      <left style="thin">
        <color rgb="FFFFFFFF"/>
      </left>
      <right style="thick"/>
      <top style="thick"/>
      <bottom style="thick"/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 style="thin"/>
      <diagonal/>
    </border>
    <border diagonalUp="false" diagonalDown="false">
      <left style="thick">
        <color rgb="FFFF0000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>
        <color rgb="FFFF0000"/>
      </right>
      <top style="thin"/>
      <bottom style="thin"/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 style="thick">
        <color rgb="FFFF0000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>
        <color rgb="FFFF0000"/>
      </right>
      <top style="thin"/>
      <bottom/>
      <diagonal/>
    </border>
    <border diagonalUp="false" diagonalDown="false">
      <left style="thick">
        <color rgb="FFFF0000"/>
      </left>
      <right style="thin"/>
      <top style="thin"/>
      <bottom style="thick">
        <color rgb="FFFF0000"/>
      </bottom>
      <diagonal/>
    </border>
    <border diagonalUp="false" diagonalDown="false">
      <left style="thin"/>
      <right style="thin"/>
      <top style="thin"/>
      <bottom style="thick">
        <color rgb="FFFF0000"/>
      </bottom>
      <diagonal/>
    </border>
    <border diagonalUp="false" diagonalDown="false">
      <left style="thin"/>
      <right style="thick">
        <color rgb="FFFF0000"/>
      </right>
      <top style="thin"/>
      <bottom style="thick">
        <color rgb="FFFF0000"/>
      </bottom>
      <diagonal/>
    </border>
    <border diagonalUp="false" diagonalDown="false">
      <left style="thin"/>
      <right style="thin"/>
      <top style="thick"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thin"/>
      <bottom/>
      <diagonal/>
    </border>
    <border diagonalUp="false" diagonalDown="false">
      <left style="thick"/>
      <right style="thin"/>
      <top/>
      <bottom style="thick"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>
        <color rgb="FFFF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ck">
        <color rgb="FFFF0000"/>
      </bottom>
      <diagonal/>
    </border>
    <border diagonalUp="false" diagonalDown="false">
      <left/>
      <right style="thin"/>
      <top style="thin"/>
      <bottom style="thick">
        <color rgb="FFFF0000"/>
      </bottom>
      <diagonal/>
    </border>
    <border diagonalUp="false" diagonalDown="false">
      <left style="thin">
        <color rgb="FFFFFFFF"/>
      </left>
      <right style="thick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ck">
        <color rgb="FFFFFFFF"/>
      </left>
      <right/>
      <top style="thick">
        <color rgb="FFFFFFFF"/>
      </top>
      <bottom style="thick"/>
      <diagonal/>
    </border>
    <border diagonalUp="false" diagonalDown="false">
      <left/>
      <right/>
      <top style="thick">
        <color rgb="FFFFFFFF"/>
      </top>
      <bottom/>
      <diagonal/>
    </border>
    <border diagonalUp="false" diagonalDown="false">
      <left/>
      <right style="thick">
        <color rgb="FFFFFFFF"/>
      </right>
      <top style="thick">
        <color rgb="FFFFFFFF"/>
      </top>
      <bottom/>
      <diagonal/>
    </border>
    <border diagonalUp="false" diagonalDown="false">
      <left/>
      <right style="thick">
        <color rgb="FFFFFFFF"/>
      </right>
      <top/>
      <bottom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thick">
        <color rgb="FFFFFFFF"/>
      </left>
      <right style="thick">
        <color rgb="FFFFFFFF"/>
      </right>
      <top style="thick">
        <color rgb="FFFFFFFF"/>
      </top>
      <bottom style="thick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 diagonalUp="false" diagonalDown="false">
      <left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thin"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2" borderId="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4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2" borderId="5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6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2" borderId="7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2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7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8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4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5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9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1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2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6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7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4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13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2" borderId="14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15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2" borderId="1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2" fillId="2" borderId="16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1" xfId="22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1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22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2" borderId="1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2" borderId="1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9" xfId="22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2" borderId="4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0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1" xfId="22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6" xfId="22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8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9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9" fillId="3" borderId="23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9" fillId="3" borderId="2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9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2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2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27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20" fillId="3" borderId="2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9" fillId="3" borderId="2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9" fillId="3" borderId="2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2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3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9" fillId="3" borderId="3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19" fillId="3" borderId="3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3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3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2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3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9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2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4" fontId="0" fillId="5" borderId="3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5" fillId="4" borderId="19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7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23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6" borderId="4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6" borderId="4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2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5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5" fillId="6" borderId="4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6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6" borderId="4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8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6" borderId="4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6" borderId="4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4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2" borderId="4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6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4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3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6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6" borderId="4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0" fillId="3" borderId="24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0" fillId="3" borderId="25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12" fillId="3" borderId="2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2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32" fillId="3" borderId="2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general" vertical="top" textRotation="0" wrapText="false" indent="0" shrinkToFit="false"/>
      <protection locked="true" hidden="true"/>
    </xf>
    <xf numFmtId="164" fontId="12" fillId="3" borderId="2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3" borderId="28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31" fillId="3" borderId="28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12" fillId="3" borderId="29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1" fillId="3" borderId="28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2" fillId="3" borderId="3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3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2" fillId="3" borderId="3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34" fillId="0" borderId="5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5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5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3" fillId="3" borderId="1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23" fillId="3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4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4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5" fillId="4" borderId="1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4" borderId="1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5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6" borderId="42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5" fillId="4" borderId="1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5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4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2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4" borderId="2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4" borderId="3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6" borderId="4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7" fillId="0" borderId="5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0" fillId="0" borderId="6" xfId="0" applyFont="fals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23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9" fillId="3" borderId="2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8" fillId="3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3" borderId="5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56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18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0" fillId="3" borderId="2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32" fillId="3" borderId="2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3" borderId="5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5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2" fillId="3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31" fillId="3" borderId="2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31" fillId="3" borderId="24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4" fontId="31" fillId="3" borderId="25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12" fillId="3" borderId="5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3" borderId="5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22" fillId="2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6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22" fillId="2" borderId="6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6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2" borderId="6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3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2" fillId="0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6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7" fillId="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5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5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5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5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5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5" fillId="5" borderId="2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6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6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7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7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7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7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7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6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7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2" borderId="4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7" fillId="0" borderId="48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8" fillId="3" borderId="76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19" fillId="3" borderId="24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4" fontId="19" fillId="3" borderId="5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5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2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5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9" fillId="3" borderId="58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5" fillId="2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4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5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2" borderId="5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5" fillId="7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8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8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5" fillId="0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5" fillId="2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3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5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39" fillId="2" borderId="0" xfId="2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2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2" fillId="2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0" fillId="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22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69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8" borderId="77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77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8" borderId="78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79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3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8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83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24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84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8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86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87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88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22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74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7" borderId="89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0" xfId="22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2" borderId="8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39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81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72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9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72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89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0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2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9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92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5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2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2" borderId="56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8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2" borderId="39" xfId="22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22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8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56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2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93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94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95" xfId="2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55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84" xfId="22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96" xfId="22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2" borderId="88" xfId="22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90" xfId="2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7" borderId="90" xfId="22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3" borderId="58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15" fillId="8" borderId="9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9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9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0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0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8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8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0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8" borderId="10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8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8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0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" borderId="2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10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2" xfId="21"/>
    <cellStyle name="Normal 3" xfId="22"/>
  </cellStyles>
  <dxfs count="3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00FFFFFF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 val="1"/>
        <i val="0"/>
        <color rgb="FFFF0000"/>
      </font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externalLink" Target="externalLinks/externalLink1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76320</xdr:colOff>
      <xdr:row>40</xdr:row>
      <xdr:rowOff>2160</xdr:rowOff>
    </xdr:from>
    <xdr:to>
      <xdr:col>9</xdr:col>
      <xdr:colOff>17640</xdr:colOff>
      <xdr:row>53</xdr:row>
      <xdr:rowOff>50400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49480" y="6132960"/>
          <a:ext cx="5238360" cy="2111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11</xdr:col>
      <xdr:colOff>162000</xdr:colOff>
      <xdr:row>39</xdr:row>
      <xdr:rowOff>85680</xdr:rowOff>
    </xdr:from>
    <xdr:to>
      <xdr:col>19</xdr:col>
      <xdr:colOff>104760</xdr:colOff>
      <xdr:row>54</xdr:row>
      <xdr:rowOff>12240</xdr:rowOff>
    </xdr:to>
    <xdr:pic>
      <xdr:nvPicPr>
        <xdr:cNvPr id="1" name="Picture 2" descr=""/>
        <xdr:cNvPicPr/>
      </xdr:nvPicPr>
      <xdr:blipFill>
        <a:blip r:embed="rId2"/>
        <a:stretch/>
      </xdr:blipFill>
      <xdr:spPr>
        <a:xfrm>
          <a:off x="6927840" y="6057720"/>
          <a:ext cx="5124240" cy="231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14</xdr:col>
      <xdr:colOff>47520</xdr:colOff>
      <xdr:row>35</xdr:row>
      <xdr:rowOff>38160</xdr:rowOff>
    </xdr:from>
    <xdr:to>
      <xdr:col>27</xdr:col>
      <xdr:colOff>380520</xdr:colOff>
      <xdr:row>61</xdr:row>
      <xdr:rowOff>63360</xdr:rowOff>
    </xdr:to>
    <xdr:pic>
      <xdr:nvPicPr>
        <xdr:cNvPr id="2" name="Picture 3" descr=""/>
        <xdr:cNvPicPr/>
      </xdr:nvPicPr>
      <xdr:blipFill>
        <a:blip r:embed="rId1"/>
        <a:stretch/>
      </xdr:blipFill>
      <xdr:spPr>
        <a:xfrm>
          <a:off x="7692120" y="4902120"/>
          <a:ext cx="8753040" cy="4171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76320</xdr:colOff>
      <xdr:row>35</xdr:row>
      <xdr:rowOff>95400</xdr:rowOff>
    </xdr:from>
    <xdr:to>
      <xdr:col>8</xdr:col>
      <xdr:colOff>999720</xdr:colOff>
      <xdr:row>49</xdr:row>
      <xdr:rowOff>88200</xdr:rowOff>
    </xdr:to>
    <xdr:pic>
      <xdr:nvPicPr>
        <xdr:cNvPr id="3" name="Picture 4" descr=""/>
        <xdr:cNvPicPr/>
      </xdr:nvPicPr>
      <xdr:blipFill>
        <a:blip r:embed="rId2"/>
        <a:stretch/>
      </xdr:blipFill>
      <xdr:spPr>
        <a:xfrm>
          <a:off x="275040" y="4959360"/>
          <a:ext cx="6606000" cy="2215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38160</xdr:colOff>
      <xdr:row>54</xdr:row>
      <xdr:rowOff>38160</xdr:rowOff>
    </xdr:from>
    <xdr:to>
      <xdr:col>8</xdr:col>
      <xdr:colOff>1009440</xdr:colOff>
      <xdr:row>68</xdr:row>
      <xdr:rowOff>123480</xdr:rowOff>
    </xdr:to>
    <xdr:pic>
      <xdr:nvPicPr>
        <xdr:cNvPr id="4" name="Picture 5" descr=""/>
        <xdr:cNvPicPr/>
      </xdr:nvPicPr>
      <xdr:blipFill>
        <a:blip r:embed="rId3"/>
        <a:stretch/>
      </xdr:blipFill>
      <xdr:spPr>
        <a:xfrm>
          <a:off x="236880" y="7931160"/>
          <a:ext cx="6653880" cy="23140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ti/AvatarEmifTools/docs/Avatar_EMIF_RegisterConfig.xlsm.bkup.xlsm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vision History"/>
      <sheetName val="Title-README"/>
      <sheetName val="Step1-SystemDetails"/>
      <sheetName val="Step2-BoardDetails"/>
      <sheetName val="Step3-DDRTimings"/>
      <sheetName val="Register Values"/>
      <sheetName val="EMIF_Configurations"/>
      <sheetName val="Register Values (GEL)"/>
      <sheetName val="DynamicUserOptions"/>
      <sheetName val="LOCK"/>
      <sheetName val="UserConfi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4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5" topLeftCell="A16" activePane="bottomLeft" state="frozen"/>
      <selection pane="topLeft" activeCell="A1" activeCellId="0" sqref="A1"/>
      <selection pane="bottomLeft" activeCell="B13" activeCellId="0" sqref="B13"/>
    </sheetView>
  </sheetViews>
  <sheetFormatPr defaultColWidth="9.19140625" defaultRowHeight="12.5" zeroHeight="false" outlineLevelRow="0" outlineLevelCol="0"/>
  <cols>
    <col collapsed="false" customWidth="false" hidden="false" outlineLevel="0" max="1024" min="1" style="1" width="9.18"/>
  </cols>
  <sheetData>
    <row r="1" customFormat="false" ht="12.75" hidden="false" customHeight="true" outlineLevel="0" collapsed="false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12.75" hidden="false" customHeight="true" outlineLevel="0" collapsed="false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customFormat="false" ht="12.75" hidden="false" customHeight="true" outlineLevel="0" collapsed="false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customFormat="false" ht="12.75" hidden="false" customHeight="true" outlineLevel="0" collapsed="false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customFormat="false" ht="12.75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customFormat="false" ht="12.75" hidden="false" customHeight="true" outlineLevel="0" collapsed="false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customFormat="false" ht="12.5" hidden="false" customHeight="false" outlineLevel="0" collapsed="false">
      <c r="B7" s="3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customFormat="false" ht="12.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customFormat="false" ht="12.5" hidden="false" customHeight="false" outlineLevel="0" collapsed="false">
      <c r="B9" s="3" t="s">
        <v>2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customFormat="false" ht="12.5" hidden="false" customHeight="false" outlineLevel="0" collapsed="false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customFormat="false" ht="12.5" hidden="false" customHeight="false" outlineLevel="0" collapsed="false"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customFormat="false" ht="12.5" hidden="false" customHeight="false" outlineLevel="0" collapsed="false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4" customFormat="false" ht="12.5" hidden="false" customHeight="false" outlineLevel="0" collapsed="false">
      <c r="B14" s="5" t="str">
        <f aca="false">IF(_auto_nda_config=0,"","TI Confidential - NDA Restrictions ECCN: 5E991")</f>
        <v/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customFormat="false" ht="12.5" hidden="false" customHeight="false" outlineLevel="0" collapsed="false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customFormat="false" ht="13" hidden="false" customHeight="false" outlineLevel="0" collapsed="false"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customFormat="false" ht="14" hidden="true" customHeight="false" outlineLevel="0" collapsed="false">
      <c r="C17" s="7"/>
      <c r="D17" s="8" t="s">
        <v>4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customFormat="false" ht="14" hidden="true" customHeight="false" outlineLevel="0" collapsed="false">
      <c r="C18" s="7"/>
      <c r="D18" s="10"/>
      <c r="E18" s="11" t="s">
        <v>5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3"/>
      <c r="Q18" s="9"/>
    </row>
    <row r="19" customFormat="false" ht="13.5" hidden="true" customHeight="true" outlineLevel="0" collapsed="false">
      <c r="C19" s="7"/>
      <c r="D19" s="14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9"/>
    </row>
    <row r="20" customFormat="false" ht="13.5" hidden="true" customHeight="true" outlineLevel="0" collapsed="false">
      <c r="C20" s="7"/>
      <c r="D20" s="14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9"/>
    </row>
    <row r="21" customFormat="false" ht="14" hidden="true" customHeight="false" outlineLevel="0" collapsed="false">
      <c r="C21" s="7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9"/>
    </row>
    <row r="22" customFormat="false" ht="16.5" hidden="false" customHeight="false" outlineLevel="0" collapsed="false">
      <c r="B22" s="17"/>
      <c r="C22" s="18"/>
      <c r="D22" s="19" t="s">
        <v>6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  <c r="R22" s="17"/>
    </row>
    <row r="23" customFormat="false" ht="13.5" hidden="false" customHeight="false" outlineLevel="0" collapsed="false">
      <c r="B23" s="17"/>
      <c r="C23" s="18"/>
      <c r="D23" s="21" t="s">
        <v>7</v>
      </c>
      <c r="E23" s="21"/>
      <c r="F23" s="21"/>
      <c r="G23" s="21"/>
      <c r="H23" s="22" t="s">
        <v>8</v>
      </c>
      <c r="I23" s="22"/>
      <c r="J23" s="22"/>
      <c r="K23" s="22"/>
      <c r="L23" s="22"/>
      <c r="M23" s="22"/>
      <c r="N23" s="22"/>
      <c r="O23" s="22"/>
      <c r="P23" s="22"/>
      <c r="Q23" s="20"/>
      <c r="R23" s="17"/>
    </row>
    <row r="24" customFormat="false" ht="13.5" hidden="false" customHeight="false" outlineLevel="0" collapsed="false">
      <c r="B24" s="23"/>
      <c r="C24" s="24"/>
      <c r="D24" s="25" t="s">
        <v>9</v>
      </c>
      <c r="E24" s="25"/>
      <c r="F24" s="25"/>
      <c r="G24" s="25"/>
      <c r="H24" s="26" t="s">
        <v>10</v>
      </c>
      <c r="I24" s="26"/>
      <c r="J24" s="26"/>
      <c r="K24" s="26"/>
      <c r="L24" s="26"/>
      <c r="M24" s="26"/>
      <c r="N24" s="26"/>
      <c r="O24" s="26"/>
      <c r="P24" s="26"/>
      <c r="Q24" s="27"/>
      <c r="R24" s="23"/>
    </row>
    <row r="25" customFormat="false" ht="14" hidden="false" customHeight="false" outlineLevel="0" collapsed="false">
      <c r="C25" s="28"/>
      <c r="D25" s="19" t="s">
        <v>11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9"/>
    </row>
    <row r="26" customFormat="false" ht="13.5" hidden="false" customHeight="false" outlineLevel="0" collapsed="false">
      <c r="C26" s="29"/>
      <c r="D26" s="30" t="s">
        <v>12</v>
      </c>
      <c r="E26" s="15" t="s">
        <v>13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9"/>
    </row>
    <row r="27" customFormat="false" ht="13" hidden="false" customHeight="false" outlineLevel="0" collapsed="false">
      <c r="C27" s="29"/>
      <c r="D27" s="30" t="s">
        <v>14</v>
      </c>
      <c r="E27" s="15" t="s">
        <v>15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9"/>
    </row>
    <row r="28" customFormat="false" ht="13.5" hidden="false" customHeight="false" outlineLevel="0" collapsed="false">
      <c r="C28" s="29"/>
      <c r="D28" s="30" t="s">
        <v>16</v>
      </c>
      <c r="E28" s="15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9"/>
    </row>
    <row r="29" customFormat="false" ht="14" hidden="false" customHeight="false" outlineLevel="0" collapsed="false">
      <c r="C29" s="31"/>
      <c r="D29" s="19" t="s">
        <v>18</v>
      </c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9"/>
    </row>
    <row r="30" customFormat="false" ht="14" hidden="false" customHeight="false" outlineLevel="0" collapsed="false">
      <c r="C30" s="7"/>
      <c r="D30" s="32" t="s">
        <v>12</v>
      </c>
      <c r="E30" s="33" t="s">
        <v>19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4"/>
      <c r="Q30" s="9"/>
    </row>
    <row r="31" customFormat="false" ht="13.5" hidden="false" customHeight="false" outlineLevel="0" collapsed="false">
      <c r="C31" s="35"/>
      <c r="D31" s="36" t="s">
        <v>20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customFormat="false" ht="12.5" hidden="false" customHeight="false" outlineLevel="0" collapsed="false">
      <c r="C32" s="29"/>
      <c r="D32" s="38"/>
    </row>
    <row r="33" customFormat="false" ht="13.5" hidden="false" customHeight="false" outlineLevel="0" collapsed="false">
      <c r="C33" s="39"/>
      <c r="D33" s="38"/>
    </row>
    <row r="34" customFormat="false" ht="13.5" hidden="false" customHeight="false" outlineLevel="0" collapsed="false">
      <c r="C34" s="40"/>
      <c r="D34" s="41" t="s">
        <v>21</v>
      </c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9"/>
    </row>
    <row r="35" customFormat="false" ht="13" hidden="false" customHeight="false" outlineLevel="0" collapsed="false">
      <c r="C35" s="42"/>
      <c r="D35" s="43" t="s">
        <v>22</v>
      </c>
      <c r="E35" s="43"/>
      <c r="F35" s="44" t="s">
        <v>23</v>
      </c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9"/>
    </row>
    <row r="36" customFormat="false" ht="12.5" hidden="false" customHeight="false" outlineLevel="0" collapsed="false">
      <c r="C36" s="42"/>
      <c r="D36" s="45" t="n">
        <v>1</v>
      </c>
      <c r="E36" s="45"/>
      <c r="F36" s="46" t="s">
        <v>24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9"/>
    </row>
    <row r="37" customFormat="false" ht="38.25" hidden="false" customHeight="true" outlineLevel="0" collapsed="false">
      <c r="C37" s="42"/>
      <c r="D37" s="47" t="s">
        <v>25</v>
      </c>
      <c r="E37" s="47"/>
      <c r="F37" s="48" t="s">
        <v>26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9"/>
    </row>
    <row r="38" customFormat="false" ht="12.5" hidden="false" customHeight="false" outlineLevel="0" collapsed="false">
      <c r="C38" s="42"/>
      <c r="D38" s="47"/>
      <c r="E38" s="47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9"/>
    </row>
    <row r="39" customFormat="false" ht="13" hidden="false" customHeight="false" outlineLevel="0" collapsed="false">
      <c r="C39" s="40"/>
      <c r="D39" s="47"/>
      <c r="E39" s="47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9"/>
    </row>
    <row r="40" customFormat="false" ht="12.5" hidden="false" customHeight="false" outlineLevel="0" collapsed="false">
      <c r="C40" s="49"/>
      <c r="D40" s="47"/>
      <c r="E40" s="47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9"/>
    </row>
    <row r="41" customFormat="false" ht="12.5" hidden="false" customHeight="false" outlineLevel="0" collapsed="false">
      <c r="C41" s="7"/>
      <c r="D41" s="47"/>
      <c r="E41" s="47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9"/>
    </row>
    <row r="42" customFormat="false" ht="12.75" hidden="false" customHeight="true" outlineLevel="0" collapsed="false">
      <c r="C42" s="7"/>
      <c r="D42" s="50"/>
      <c r="E42" s="50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9"/>
    </row>
    <row r="43" customFormat="false" ht="13" hidden="false" customHeight="false" outlineLevel="0" collapsed="false"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</row>
  </sheetData>
  <sheetProtection sheet="true" password="df21" objects="true" scenarios="true" selectLockedCells="true"/>
  <mergeCells count="30">
    <mergeCell ref="B1:R6"/>
    <mergeCell ref="B7:R8"/>
    <mergeCell ref="B9:R10"/>
    <mergeCell ref="B11:R12"/>
    <mergeCell ref="B14:R15"/>
    <mergeCell ref="D17:P17"/>
    <mergeCell ref="D22:P22"/>
    <mergeCell ref="D23:G23"/>
    <mergeCell ref="H23:P23"/>
    <mergeCell ref="D24:G24"/>
    <mergeCell ref="H24:P24"/>
    <mergeCell ref="D25:P25"/>
    <mergeCell ref="D29:P29"/>
    <mergeCell ref="D34:P34"/>
    <mergeCell ref="D35:E35"/>
    <mergeCell ref="F35:P35"/>
    <mergeCell ref="D36:E36"/>
    <mergeCell ref="F36:P36"/>
    <mergeCell ref="D37:E37"/>
    <mergeCell ref="F37:P37"/>
    <mergeCell ref="D38:E38"/>
    <mergeCell ref="F38:P38"/>
    <mergeCell ref="D39:E39"/>
    <mergeCell ref="F39:P39"/>
    <mergeCell ref="D40:E40"/>
    <mergeCell ref="F40:P40"/>
    <mergeCell ref="D41:E41"/>
    <mergeCell ref="F41:P41"/>
    <mergeCell ref="D42:E42"/>
    <mergeCell ref="F42:P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2" topLeftCell="A13" activePane="bottomLeft" state="frozen"/>
      <selection pane="topLeft" activeCell="A1" activeCellId="0" sqref="A1"/>
      <selection pane="bottomLeft" activeCell="G17" activeCellId="0" sqref="G17"/>
    </sheetView>
  </sheetViews>
  <sheetFormatPr defaultColWidth="9.19140625" defaultRowHeight="12.5" zeroHeight="false" outlineLevelRow="0" outlineLevelCol="0"/>
  <cols>
    <col collapsed="false" customWidth="true" hidden="false" outlineLevel="0" max="1" min="1" style="53" width="8.54"/>
    <col collapsed="false" customWidth="false" hidden="false" outlineLevel="0" max="3" min="2" style="53" width="9.18"/>
    <col collapsed="false" customWidth="true" hidden="false" outlineLevel="0" max="4" min="4" style="53" width="42.18"/>
    <col collapsed="false" customWidth="true" hidden="false" outlineLevel="0" max="5" min="5" style="53" width="22.45"/>
    <col collapsed="false" customWidth="true" hidden="false" outlineLevel="0" max="6" min="6" style="53" width="8.45"/>
    <col collapsed="false" customWidth="true" hidden="false" outlineLevel="0" max="7" min="7" style="53" width="33.45"/>
    <col collapsed="false" customWidth="false" hidden="false" outlineLevel="0" max="13" min="8" style="53" width="9.18"/>
    <col collapsed="false" customWidth="true" hidden="false" outlineLevel="0" max="14" min="14" style="53" width="20.72"/>
    <col collapsed="false" customWidth="true" hidden="false" outlineLevel="0" max="15" min="15" style="53" width="21.82"/>
    <col collapsed="false" customWidth="false" hidden="false" outlineLevel="0" max="1024" min="16" style="53" width="9.18"/>
  </cols>
  <sheetData>
    <row r="1" customFormat="false" ht="12.75" hidden="false" customHeight="true" outlineLevel="0" collapsed="false">
      <c r="A1" s="54"/>
      <c r="B1" s="55"/>
      <c r="C1" s="55"/>
      <c r="D1" s="55"/>
      <c r="E1" s="55"/>
      <c r="F1" s="55"/>
      <c r="G1" s="56"/>
      <c r="H1" s="56"/>
      <c r="I1" s="55"/>
      <c r="J1" s="55"/>
    </row>
    <row r="2" customFormat="false" ht="12.75" hidden="false" customHeight="true" outlineLevel="0" collapsed="false">
      <c r="A2" s="54"/>
      <c r="B2" s="57"/>
      <c r="C2" s="57"/>
      <c r="D2" s="57"/>
      <c r="E2" s="57"/>
      <c r="F2" s="57"/>
      <c r="G2" s="57"/>
      <c r="H2" s="57"/>
      <c r="I2" s="57"/>
      <c r="J2" s="55"/>
    </row>
    <row r="3" customFormat="false" ht="12.75" hidden="false" customHeight="true" outlineLevel="0" collapsed="false">
      <c r="A3" s="54"/>
      <c r="B3" s="57"/>
      <c r="C3" s="57"/>
      <c r="D3" s="57"/>
      <c r="E3" s="57"/>
      <c r="F3" s="57"/>
      <c r="G3" s="57"/>
      <c r="H3" s="57"/>
      <c r="I3" s="57"/>
      <c r="J3" s="55"/>
    </row>
    <row r="4" customFormat="false" ht="12.75" hidden="false" customHeight="true" outlineLevel="0" collapsed="false">
      <c r="A4" s="54"/>
      <c r="B4" s="58" t="s">
        <v>27</v>
      </c>
      <c r="C4" s="58"/>
      <c r="D4" s="58"/>
      <c r="E4" s="58"/>
      <c r="F4" s="58"/>
      <c r="G4" s="58"/>
      <c r="H4" s="58"/>
      <c r="I4" s="58"/>
      <c r="J4" s="59"/>
    </row>
    <row r="5" customFormat="false" ht="12.75" hidden="false" customHeight="true" outlineLevel="0" collapsed="false">
      <c r="A5" s="54"/>
      <c r="B5" s="58"/>
      <c r="C5" s="58"/>
      <c r="D5" s="58"/>
      <c r="E5" s="58"/>
      <c r="F5" s="58"/>
      <c r="G5" s="58"/>
      <c r="H5" s="58"/>
      <c r="I5" s="58"/>
      <c r="J5" s="59"/>
    </row>
    <row r="6" customFormat="false" ht="12.75" hidden="false" customHeight="true" outlineLevel="0" collapsed="false">
      <c r="A6" s="54"/>
      <c r="B6" s="58"/>
      <c r="C6" s="58"/>
      <c r="D6" s="58"/>
      <c r="E6" s="58"/>
      <c r="F6" s="58"/>
      <c r="G6" s="58"/>
      <c r="H6" s="58"/>
      <c r="I6" s="58"/>
      <c r="J6" s="59"/>
    </row>
    <row r="7" customFormat="false" ht="12.75" hidden="false" customHeight="true" outlineLevel="0" collapsed="false">
      <c r="A7" s="54"/>
      <c r="B7" s="60" t="s">
        <v>28</v>
      </c>
      <c r="C7" s="60"/>
      <c r="D7" s="60"/>
      <c r="E7" s="60"/>
      <c r="F7" s="60"/>
      <c r="G7" s="60"/>
      <c r="H7" s="60"/>
      <c r="I7" s="60"/>
      <c r="J7" s="61"/>
    </row>
    <row r="8" customFormat="false" ht="12.75" hidden="false" customHeight="true" outlineLevel="0" collapsed="false">
      <c r="A8" s="54"/>
      <c r="B8" s="60"/>
      <c r="C8" s="60"/>
      <c r="D8" s="60"/>
      <c r="E8" s="60"/>
      <c r="F8" s="60"/>
      <c r="G8" s="60"/>
      <c r="H8" s="60"/>
      <c r="I8" s="60"/>
      <c r="J8" s="61"/>
    </row>
    <row r="9" customFormat="false" ht="12.75" hidden="false" customHeight="true" outlineLevel="0" collapsed="false">
      <c r="A9" s="54"/>
      <c r="B9" s="62" t="s">
        <v>12</v>
      </c>
      <c r="C9" s="63" t="s">
        <v>29</v>
      </c>
      <c r="D9" s="63"/>
      <c r="E9" s="64"/>
      <c r="F9" s="64"/>
      <c r="G9" s="65"/>
      <c r="H9" s="65"/>
      <c r="I9" s="66"/>
      <c r="J9" s="67"/>
    </row>
    <row r="10" customFormat="false" ht="12.75" hidden="false" customHeight="true" outlineLevel="0" collapsed="false">
      <c r="A10" s="68"/>
      <c r="B10" s="69"/>
      <c r="C10" s="70" t="s">
        <v>30</v>
      </c>
      <c r="D10" s="71"/>
      <c r="E10" s="72"/>
      <c r="F10" s="72"/>
      <c r="G10" s="73"/>
      <c r="H10" s="73"/>
      <c r="I10" s="74"/>
      <c r="J10" s="67"/>
    </row>
    <row r="11" customFormat="false" ht="12.75" hidden="false" customHeight="true" outlineLevel="0" collapsed="false">
      <c r="A11" s="68"/>
      <c r="B11" s="75"/>
      <c r="C11" s="76"/>
      <c r="D11" s="77"/>
      <c r="E11" s="78"/>
      <c r="F11" s="78"/>
      <c r="G11" s="79"/>
      <c r="H11" s="79"/>
      <c r="I11" s="80"/>
      <c r="J11" s="67"/>
    </row>
    <row r="12" customFormat="false" ht="12.75" hidden="false" customHeight="true" outlineLevel="0" collapsed="false">
      <c r="A12" s="68"/>
      <c r="B12" s="81"/>
      <c r="C12" s="81"/>
      <c r="D12" s="81"/>
      <c r="E12" s="81"/>
      <c r="F12" s="81"/>
      <c r="G12" s="82"/>
      <c r="H12" s="82"/>
      <c r="I12" s="81"/>
      <c r="J12" s="55"/>
    </row>
    <row r="14" customFormat="false" ht="12.5" hidden="false" customHeight="false" outlineLevel="0" collapsed="false">
      <c r="B14" s="83" t="s">
        <v>31</v>
      </c>
      <c r="C14" s="83"/>
      <c r="D14" s="83"/>
      <c r="E14" s="83"/>
      <c r="F14" s="83"/>
      <c r="G14" s="83"/>
    </row>
    <row r="15" customFormat="false" ht="13" hidden="false" customHeight="false" outlineLevel="0" collapsed="false">
      <c r="B15" s="83"/>
      <c r="C15" s="83"/>
      <c r="D15" s="83"/>
      <c r="E15" s="83"/>
      <c r="F15" s="83"/>
      <c r="G15" s="83"/>
    </row>
    <row r="16" customFormat="false" ht="14" hidden="false" customHeight="false" outlineLevel="0" collapsed="false">
      <c r="B16" s="84"/>
      <c r="C16" s="85" t="s">
        <v>32</v>
      </c>
      <c r="D16" s="86" t="s">
        <v>23</v>
      </c>
      <c r="E16" s="86" t="s">
        <v>33</v>
      </c>
      <c r="F16" s="87" t="s">
        <v>34</v>
      </c>
      <c r="G16" s="88"/>
    </row>
    <row r="17" customFormat="false" ht="13" hidden="false" customHeight="false" outlineLevel="0" collapsed="false">
      <c r="C17" s="89" t="n">
        <v>1</v>
      </c>
      <c r="D17" s="90" t="s">
        <v>35</v>
      </c>
      <c r="E17" s="91" t="s">
        <v>36</v>
      </c>
      <c r="F17" s="92" t="s">
        <v>37</v>
      </c>
    </row>
    <row r="18" customFormat="false" ht="12.5" hidden="false" customHeight="false" outlineLevel="0" collapsed="false">
      <c r="C18" s="93" t="n">
        <v>2</v>
      </c>
      <c r="D18" s="94" t="s">
        <v>38</v>
      </c>
      <c r="E18" s="95" t="n">
        <v>400</v>
      </c>
      <c r="F18" s="96" t="s">
        <v>39</v>
      </c>
    </row>
    <row r="19" customFormat="false" ht="12.5" hidden="false" customHeight="false" outlineLevel="0" collapsed="false">
      <c r="C19" s="93" t="n">
        <v>3</v>
      </c>
      <c r="D19" s="94" t="s">
        <v>40</v>
      </c>
      <c r="E19" s="95" t="n">
        <v>16</v>
      </c>
      <c r="F19" s="96" t="s">
        <v>41</v>
      </c>
    </row>
    <row r="20" customFormat="false" ht="12.5" hidden="false" customHeight="false" outlineLevel="0" collapsed="false">
      <c r="C20" s="93" t="n">
        <v>4</v>
      </c>
      <c r="D20" s="94" t="s">
        <v>42</v>
      </c>
      <c r="E20" s="97" t="s">
        <v>43</v>
      </c>
      <c r="F20" s="96" t="s">
        <v>37</v>
      </c>
    </row>
    <row r="21" customFormat="false" ht="13" hidden="false" customHeight="false" outlineLevel="0" collapsed="false">
      <c r="C21" s="98" t="n">
        <v>5</v>
      </c>
      <c r="D21" s="99" t="s">
        <v>44</v>
      </c>
      <c r="E21" s="100" t="s">
        <v>45</v>
      </c>
      <c r="F21" s="101" t="s">
        <v>37</v>
      </c>
    </row>
    <row r="22" customFormat="false" ht="13" hidden="true" customHeight="false" outlineLevel="0" collapsed="false">
      <c r="C22" s="102" t="n">
        <v>6</v>
      </c>
      <c r="D22" s="103" t="s">
        <v>46</v>
      </c>
      <c r="E22" s="104" t="s">
        <v>47</v>
      </c>
      <c r="F22" s="105" t="s">
        <v>37</v>
      </c>
    </row>
    <row r="23" customFormat="false" ht="12.5" hidden="true" customHeight="false" outlineLevel="0" collapsed="false">
      <c r="C23" s="93" t="n">
        <v>7</v>
      </c>
      <c r="D23" s="94" t="s">
        <v>48</v>
      </c>
      <c r="E23" s="97" t="s">
        <v>47</v>
      </c>
      <c r="F23" s="96" t="s">
        <v>37</v>
      </c>
    </row>
    <row r="24" customFormat="false" ht="13" hidden="true" customHeight="false" outlineLevel="0" collapsed="false">
      <c r="C24" s="98" t="n">
        <v>8</v>
      </c>
      <c r="D24" s="99" t="s">
        <v>49</v>
      </c>
      <c r="E24" s="100" t="s">
        <v>47</v>
      </c>
      <c r="F24" s="101" t="s">
        <v>37</v>
      </c>
    </row>
    <row r="25" customFormat="false" ht="13" hidden="true" customHeight="false" outlineLevel="0" collapsed="false">
      <c r="C25" s="102" t="n">
        <v>6</v>
      </c>
      <c r="D25" s="103" t="s">
        <v>50</v>
      </c>
      <c r="E25" s="106" t="n">
        <v>1</v>
      </c>
      <c r="F25" s="105" t="s">
        <v>37</v>
      </c>
    </row>
    <row r="26" customFormat="false" ht="13" hidden="true" customHeight="false" outlineLevel="0" collapsed="false">
      <c r="C26" s="107" t="n">
        <v>7</v>
      </c>
      <c r="D26" s="108" t="s">
        <v>51</v>
      </c>
      <c r="E26" s="109" t="n">
        <v>32</v>
      </c>
      <c r="F26" s="110" t="s">
        <v>52</v>
      </c>
    </row>
    <row r="27" customFormat="false" ht="13" hidden="true" customHeight="false" outlineLevel="0" collapsed="false">
      <c r="C27" s="89" t="n">
        <v>6</v>
      </c>
      <c r="D27" s="90" t="s">
        <v>53</v>
      </c>
      <c r="E27" s="111" t="s">
        <v>54</v>
      </c>
      <c r="F27" s="92" t="s">
        <v>37</v>
      </c>
    </row>
    <row r="28" customFormat="false" ht="13" hidden="true" customHeight="false" outlineLevel="0" collapsed="false">
      <c r="C28" s="98" t="n">
        <v>7</v>
      </c>
      <c r="D28" s="99" t="s">
        <v>55</v>
      </c>
      <c r="E28" s="112" t="n">
        <v>10</v>
      </c>
      <c r="F28" s="101" t="s">
        <v>37</v>
      </c>
    </row>
    <row r="29" customFormat="false" ht="13" hidden="false" customHeight="false" outlineLevel="0" collapsed="false"/>
    <row r="30" customFormat="false" ht="12.5" hidden="false" customHeight="false" outlineLevel="0" collapsed="false">
      <c r="B30" s="83" t="s">
        <v>56</v>
      </c>
      <c r="C30" s="83"/>
      <c r="D30" s="83"/>
      <c r="E30" s="83"/>
      <c r="F30" s="83"/>
      <c r="G30" s="83"/>
    </row>
    <row r="31" customFormat="false" ht="13" hidden="false" customHeight="false" outlineLevel="0" collapsed="false">
      <c r="B31" s="83"/>
      <c r="C31" s="83"/>
      <c r="D31" s="83"/>
      <c r="E31" s="83"/>
      <c r="F31" s="83"/>
      <c r="G31" s="83"/>
    </row>
    <row r="32" customFormat="false" ht="14.5" hidden="false" customHeight="true" outlineLevel="0" collapsed="false">
      <c r="B32" s="84"/>
      <c r="C32" s="85" t="s">
        <v>32</v>
      </c>
      <c r="D32" s="86" t="s">
        <v>23</v>
      </c>
      <c r="E32" s="86" t="s">
        <v>33</v>
      </c>
      <c r="F32" s="87" t="s">
        <v>34</v>
      </c>
      <c r="G32" s="113" t="s">
        <v>57</v>
      </c>
    </row>
    <row r="33" customFormat="false" ht="12.8" hidden="false" customHeight="false" outlineLevel="0" collapsed="false">
      <c r="B33" s="84"/>
      <c r="C33" s="89" t="n">
        <v>6</v>
      </c>
      <c r="D33" s="90" t="s">
        <v>58</v>
      </c>
      <c r="E33" s="114" t="n">
        <v>1066</v>
      </c>
      <c r="F33" s="92" t="s">
        <v>59</v>
      </c>
      <c r="G33" s="113"/>
    </row>
    <row r="34" customFormat="false" ht="12.5" hidden="false" customHeight="false" outlineLevel="0" collapsed="false">
      <c r="B34" s="84"/>
      <c r="C34" s="93" t="n">
        <v>7</v>
      </c>
      <c r="D34" s="115" t="s">
        <v>60</v>
      </c>
      <c r="E34" s="95" t="n">
        <v>4</v>
      </c>
      <c r="F34" s="116" t="s">
        <v>61</v>
      </c>
      <c r="G34" s="113"/>
    </row>
    <row r="35" customFormat="false" ht="12.5" hidden="false" customHeight="false" outlineLevel="0" collapsed="false">
      <c r="B35" s="84"/>
      <c r="C35" s="93" t="n">
        <v>8</v>
      </c>
      <c r="D35" s="94" t="s">
        <v>62</v>
      </c>
      <c r="E35" s="95" t="n">
        <v>15</v>
      </c>
      <c r="F35" s="96" t="s">
        <v>37</v>
      </c>
      <c r="G35" s="113"/>
    </row>
    <row r="36" customFormat="false" ht="12.5" hidden="false" customHeight="false" outlineLevel="0" collapsed="false">
      <c r="B36" s="84"/>
      <c r="C36" s="93" t="n">
        <v>9</v>
      </c>
      <c r="D36" s="94" t="s">
        <v>63</v>
      </c>
      <c r="E36" s="95" t="n">
        <v>10</v>
      </c>
      <c r="F36" s="96" t="s">
        <v>37</v>
      </c>
      <c r="G36" s="113"/>
    </row>
    <row r="37" customFormat="false" ht="12.5" hidden="false" customHeight="false" outlineLevel="0" collapsed="false">
      <c r="B37" s="84"/>
      <c r="C37" s="93" t="n">
        <v>10</v>
      </c>
      <c r="D37" s="94" t="s">
        <v>64</v>
      </c>
      <c r="E37" s="95" t="n">
        <v>8</v>
      </c>
      <c r="F37" s="96" t="s">
        <v>37</v>
      </c>
    </row>
    <row r="38" customFormat="false" ht="12.8" hidden="false" customHeight="false" outlineLevel="0" collapsed="false">
      <c r="B38" s="84"/>
      <c r="C38" s="93" t="n">
        <v>11</v>
      </c>
      <c r="D38" s="94" t="str">
        <f aca="false">CONCATENATE("Speed Bin: CAS Latency @ ", E33, "MT/s data rate")</f>
        <v>Speed Bin: CAS Latency @ 1066MT/s data rate</v>
      </c>
      <c r="E38" s="95" t="n">
        <v>6</v>
      </c>
      <c r="F38" s="96" t="s">
        <v>65</v>
      </c>
    </row>
    <row r="39" customFormat="false" ht="12.5" hidden="false" customHeight="false" outlineLevel="0" collapsed="false">
      <c r="B39" s="84"/>
      <c r="C39" s="93" t="n">
        <v>12</v>
      </c>
      <c r="D39" s="94" t="s">
        <v>66</v>
      </c>
      <c r="E39" s="95" t="n">
        <v>16</v>
      </c>
      <c r="F39" s="96" t="s">
        <v>41</v>
      </c>
    </row>
    <row r="40" customFormat="false" ht="13" hidden="false" customHeight="false" outlineLevel="0" collapsed="false">
      <c r="B40" s="117"/>
      <c r="C40" s="98" t="n">
        <v>13</v>
      </c>
      <c r="D40" s="99" t="s">
        <v>67</v>
      </c>
      <c r="E40" s="118" t="n">
        <v>7800</v>
      </c>
      <c r="F40" s="101" t="s">
        <v>68</v>
      </c>
    </row>
    <row r="41" customFormat="false" ht="13" hidden="false" customHeight="false" outlineLevel="0" collapsed="false"/>
    <row r="42" customFormat="false" ht="12.5" hidden="false" customHeight="false" outlineLevel="0" collapsed="false">
      <c r="B42" s="83" t="s">
        <v>69</v>
      </c>
      <c r="C42" s="83"/>
      <c r="D42" s="83"/>
      <c r="E42" s="83"/>
      <c r="F42" s="83"/>
      <c r="G42" s="83"/>
    </row>
    <row r="43" customFormat="false" ht="13" hidden="false" customHeight="false" outlineLevel="0" collapsed="false">
      <c r="B43" s="83"/>
      <c r="C43" s="83"/>
      <c r="D43" s="83"/>
      <c r="E43" s="83"/>
      <c r="F43" s="83"/>
      <c r="G43" s="83"/>
    </row>
    <row r="44" customFormat="false" ht="14" hidden="false" customHeight="false" outlineLevel="0" collapsed="false">
      <c r="B44" s="84"/>
      <c r="C44" s="85" t="s">
        <v>32</v>
      </c>
      <c r="D44" s="86" t="s">
        <v>23</v>
      </c>
      <c r="E44" s="86" t="s">
        <v>33</v>
      </c>
      <c r="F44" s="87" t="s">
        <v>34</v>
      </c>
      <c r="G44" s="119" t="s">
        <v>70</v>
      </c>
      <c r="N44" s="53" t="s">
        <v>71</v>
      </c>
    </row>
    <row r="45" customFormat="false" ht="13" hidden="false" customHeight="false" outlineLevel="0" collapsed="false">
      <c r="B45" s="84"/>
      <c r="C45" s="89" t="n">
        <v>14</v>
      </c>
      <c r="D45" s="120" t="s">
        <v>72</v>
      </c>
      <c r="E45" s="121" t="s">
        <v>73</v>
      </c>
      <c r="F45" s="92" t="s">
        <v>74</v>
      </c>
      <c r="G45" s="122" t="str">
        <f aca="false">IF(E17="DDR3","RZQ/4","Disable")</f>
        <v>RZQ/4</v>
      </c>
    </row>
    <row r="46" customFormat="false" ht="12.5" hidden="false" customHeight="false" outlineLevel="0" collapsed="false">
      <c r="B46" s="84"/>
      <c r="C46" s="93" t="n">
        <v>15</v>
      </c>
      <c r="D46" s="123" t="s">
        <v>75</v>
      </c>
      <c r="E46" s="124" t="s">
        <v>73</v>
      </c>
      <c r="F46" s="96" t="s">
        <v>74</v>
      </c>
      <c r="G46" s="125" t="str">
        <f aca="false">IF(E17="DDR3","RZQ/4","NA")</f>
        <v>RZQ/4</v>
      </c>
    </row>
    <row r="47" customFormat="false" ht="13" hidden="false" customHeight="false" outlineLevel="0" collapsed="false">
      <c r="B47" s="84"/>
      <c r="C47" s="98" t="n">
        <v>16</v>
      </c>
      <c r="D47" s="126" t="s">
        <v>76</v>
      </c>
      <c r="E47" s="127" t="s">
        <v>77</v>
      </c>
      <c r="F47" s="101" t="s">
        <v>74</v>
      </c>
      <c r="G47" s="128" t="str">
        <f aca="false">IF(E17="DDR3","RZQ/6","Normal")</f>
        <v>RZQ/6</v>
      </c>
    </row>
    <row r="48" customFormat="false" ht="13" hidden="false" customHeight="false" outlineLevel="0" collapsed="false">
      <c r="B48" s="84"/>
      <c r="C48" s="129" t="s">
        <v>78</v>
      </c>
      <c r="D48" s="130"/>
      <c r="E48" s="130"/>
      <c r="F48" s="130"/>
      <c r="G48" s="130"/>
    </row>
    <row r="50" customFormat="false" ht="12.5" hidden="false" customHeight="false" outlineLevel="0" collapsed="false">
      <c r="B50" s="83" t="s">
        <v>79</v>
      </c>
      <c r="C50" s="83"/>
      <c r="D50" s="83"/>
      <c r="E50" s="83"/>
      <c r="F50" s="83"/>
      <c r="G50" s="83"/>
    </row>
    <row r="51" customFormat="false" ht="13" hidden="false" customHeight="false" outlineLevel="0" collapsed="false">
      <c r="B51" s="83"/>
      <c r="C51" s="83"/>
      <c r="D51" s="83"/>
      <c r="E51" s="83"/>
      <c r="F51" s="83"/>
      <c r="G51" s="83"/>
    </row>
    <row r="52" customFormat="false" ht="14" hidden="false" customHeight="false" outlineLevel="0" collapsed="false">
      <c r="B52" s="84"/>
      <c r="C52" s="85" t="s">
        <v>32</v>
      </c>
      <c r="D52" s="86" t="s">
        <v>23</v>
      </c>
      <c r="E52" s="86" t="s">
        <v>33</v>
      </c>
      <c r="F52" s="87" t="s">
        <v>34</v>
      </c>
      <c r="G52" s="131" t="s">
        <v>80</v>
      </c>
      <c r="N52" s="53" t="s">
        <v>71</v>
      </c>
    </row>
    <row r="53" customFormat="false" ht="13" hidden="false" customHeight="false" outlineLevel="0" collapsed="false">
      <c r="B53" s="84"/>
      <c r="C53" s="89" t="n">
        <v>17</v>
      </c>
      <c r="D53" s="120" t="s">
        <v>81</v>
      </c>
      <c r="E53" s="132" t="n">
        <v>1</v>
      </c>
      <c r="F53" s="92" t="s">
        <v>37</v>
      </c>
      <c r="G53" s="133" t="n">
        <v>1</v>
      </c>
    </row>
    <row r="54" customFormat="false" ht="13" hidden="false" customHeight="false" outlineLevel="0" collapsed="false">
      <c r="B54" s="84"/>
      <c r="C54" s="107" t="n">
        <v>18</v>
      </c>
      <c r="D54" s="123" t="s">
        <v>82</v>
      </c>
      <c r="E54" s="134" t="n">
        <v>0.5</v>
      </c>
      <c r="F54" s="96" t="s">
        <v>83</v>
      </c>
      <c r="G54" s="125" t="str">
        <f aca="false">IF(E17="DDR3","0 to 1.5","0 to 0.75")</f>
        <v>0 to 1.5</v>
      </c>
    </row>
    <row r="55" customFormat="false" ht="12.5" hidden="false" customHeight="false" outlineLevel="0" collapsed="false">
      <c r="B55" s="84"/>
      <c r="C55" s="107" t="n">
        <v>19</v>
      </c>
      <c r="D55" s="135" t="s">
        <v>84</v>
      </c>
      <c r="E55" s="134" t="n">
        <v>0.15</v>
      </c>
      <c r="F55" s="110" t="s">
        <v>85</v>
      </c>
      <c r="G55" s="136" t="str">
        <f aca="false">IF(E17="DDR3","0 to 0.15","0 to 0.2")</f>
        <v>0 to 0.15</v>
      </c>
    </row>
    <row r="56" customFormat="false" ht="12.5" hidden="false" customHeight="false" outlineLevel="0" collapsed="false">
      <c r="B56" s="84"/>
      <c r="C56" s="93" t="n">
        <v>20</v>
      </c>
      <c r="D56" s="135" t="s">
        <v>86</v>
      </c>
      <c r="E56" s="137" t="n">
        <v>1</v>
      </c>
      <c r="F56" s="110" t="s">
        <v>87</v>
      </c>
      <c r="G56" s="138" t="s">
        <v>88</v>
      </c>
    </row>
    <row r="57" customFormat="false" ht="13" hidden="false" customHeight="false" outlineLevel="0" collapsed="false">
      <c r="B57" s="84"/>
      <c r="C57" s="139" t="n">
        <v>21</v>
      </c>
      <c r="D57" s="126" t="s">
        <v>89</v>
      </c>
      <c r="E57" s="140" t="n">
        <v>10</v>
      </c>
      <c r="F57" s="101" t="s">
        <v>90</v>
      </c>
      <c r="G57" s="128" t="s">
        <v>91</v>
      </c>
    </row>
    <row r="58" customFormat="false" ht="13" hidden="false" customHeight="false" outlineLevel="0" collapsed="false">
      <c r="B58" s="141"/>
      <c r="C58" s="129" t="s">
        <v>78</v>
      </c>
      <c r="D58" s="142"/>
      <c r="E58" s="142"/>
      <c r="F58" s="142"/>
      <c r="G58" s="142"/>
    </row>
    <row r="59" customFormat="false" ht="12.5" hidden="false" customHeight="false" outlineLevel="0" collapsed="false">
      <c r="B59" s="143"/>
      <c r="C59" s="144"/>
      <c r="D59" s="145"/>
      <c r="E59" s="145"/>
      <c r="F59" s="145"/>
      <c r="G59" s="146"/>
    </row>
    <row r="60" customFormat="false" ht="12.5" hidden="false" customHeight="false" outlineLevel="0" collapsed="false">
      <c r="B60" s="143"/>
      <c r="C60" s="144"/>
      <c r="D60" s="145"/>
      <c r="E60" s="145"/>
      <c r="F60" s="145"/>
      <c r="G60" s="146"/>
    </row>
    <row r="61" customFormat="false" ht="12.5" hidden="false" customHeight="false" outlineLevel="0" collapsed="false">
      <c r="B61" s="147" t="s">
        <v>92</v>
      </c>
      <c r="C61" s="147"/>
      <c r="D61" s="147"/>
      <c r="E61" s="147"/>
      <c r="F61" s="147"/>
      <c r="G61" s="147"/>
    </row>
    <row r="62" customFormat="false" ht="13" hidden="false" customHeight="false" outlineLevel="0" collapsed="false">
      <c r="B62" s="147"/>
      <c r="C62" s="147"/>
      <c r="D62" s="147"/>
      <c r="E62" s="147"/>
      <c r="F62" s="147"/>
      <c r="G62" s="147"/>
    </row>
    <row r="63" customFormat="false" ht="14" hidden="false" customHeight="false" outlineLevel="0" collapsed="false">
      <c r="B63" s="148"/>
      <c r="C63" s="85" t="s">
        <v>32</v>
      </c>
      <c r="D63" s="86" t="s">
        <v>23</v>
      </c>
      <c r="E63" s="86" t="s">
        <v>33</v>
      </c>
      <c r="F63" s="86" t="s">
        <v>34</v>
      </c>
      <c r="G63" s="87" t="s">
        <v>93</v>
      </c>
    </row>
    <row r="64" customFormat="false" ht="13" hidden="false" customHeight="false" outlineLevel="0" collapsed="false">
      <c r="B64" s="148"/>
      <c r="C64" s="89" t="n">
        <v>22</v>
      </c>
      <c r="D64" s="149" t="s">
        <v>94</v>
      </c>
      <c r="E64" s="121" t="s">
        <v>95</v>
      </c>
      <c r="F64" s="92" t="s">
        <v>74</v>
      </c>
      <c r="G64" s="150" t="s">
        <v>95</v>
      </c>
    </row>
    <row r="65" customFormat="false" ht="12.5" hidden="false" customHeight="false" outlineLevel="0" collapsed="false">
      <c r="B65" s="148"/>
      <c r="C65" s="93" t="n">
        <v>23</v>
      </c>
      <c r="D65" s="123" t="s">
        <v>96</v>
      </c>
      <c r="E65" s="124" t="s">
        <v>97</v>
      </c>
      <c r="F65" s="96" t="s">
        <v>37</v>
      </c>
      <c r="G65" s="151" t="str">
        <f aca="false">IF(E17="DDR3","Fastest: SR[4:3] = 0b00","Fast: SR[4:3] = 0b10")</f>
        <v>Fastest: SR[4:3] = 0b00</v>
      </c>
    </row>
    <row r="66" customFormat="false" ht="12.5" hidden="false" customHeight="false" outlineLevel="0" collapsed="false">
      <c r="B66" s="148"/>
      <c r="C66" s="93" t="n">
        <v>24</v>
      </c>
      <c r="D66" s="123" t="s">
        <v>98</v>
      </c>
      <c r="E66" s="124" t="s">
        <v>97</v>
      </c>
      <c r="F66" s="96" t="s">
        <v>37</v>
      </c>
      <c r="G66" s="151" t="str">
        <f aca="false">IF(E17="DDR3","Fastest: SR[4:3] = 0b00","Fast: SR[4:3] = 0b10")</f>
        <v>Fastest: SR[4:3] = 0b00</v>
      </c>
    </row>
    <row r="67" customFormat="false" ht="12.5" hidden="false" customHeight="false" outlineLevel="0" collapsed="false">
      <c r="B67" s="148"/>
      <c r="C67" s="93" t="n">
        <v>25</v>
      </c>
      <c r="D67" s="123" t="s">
        <v>99</v>
      </c>
      <c r="E67" s="134" t="n">
        <v>44</v>
      </c>
      <c r="F67" s="96" t="s">
        <v>74</v>
      </c>
      <c r="G67" s="151" t="n">
        <v>44</v>
      </c>
    </row>
    <row r="68" customFormat="false" ht="13" hidden="false" customHeight="false" outlineLevel="0" collapsed="false">
      <c r="B68" s="148"/>
      <c r="C68" s="98" t="n">
        <v>26</v>
      </c>
      <c r="D68" s="126" t="s">
        <v>100</v>
      </c>
      <c r="E68" s="140" t="n">
        <v>44</v>
      </c>
      <c r="F68" s="101" t="s">
        <v>74</v>
      </c>
      <c r="G68" s="128" t="n">
        <v>44</v>
      </c>
    </row>
    <row r="69" customFormat="false" ht="13" hidden="false" customHeight="false" outlineLevel="0" collapsed="false"/>
    <row r="523" customFormat="false" ht="12.5" hidden="true" customHeight="false" outlineLevel="0" collapsed="false">
      <c r="K523" s="53" t="s">
        <v>101</v>
      </c>
      <c r="L523" s="53" t="n">
        <v>1</v>
      </c>
      <c r="M523" s="53" t="n">
        <v>8</v>
      </c>
      <c r="N523" s="53" t="n">
        <v>0.5</v>
      </c>
    </row>
    <row r="524" customFormat="false" ht="12.5" hidden="true" customHeight="false" outlineLevel="0" collapsed="false">
      <c r="K524" s="53" t="s">
        <v>95</v>
      </c>
      <c r="L524" s="53" t="n">
        <v>2</v>
      </c>
      <c r="M524" s="53" t="n">
        <v>9</v>
      </c>
      <c r="N524" s="53" t="n">
        <v>1</v>
      </c>
    </row>
    <row r="525" customFormat="false" ht="12.5" hidden="true" customHeight="false" outlineLevel="0" collapsed="false">
      <c r="K525" s="53" t="s">
        <v>102</v>
      </c>
      <c r="L525" s="53" t="n">
        <v>4</v>
      </c>
      <c r="M525" s="53" t="n">
        <v>10</v>
      </c>
      <c r="N525" s="53" t="n">
        <v>2</v>
      </c>
    </row>
    <row r="526" customFormat="false" ht="12.5" hidden="true" customHeight="false" outlineLevel="0" collapsed="false">
      <c r="L526" s="53" t="n">
        <v>8</v>
      </c>
      <c r="M526" s="53" t="n">
        <v>11</v>
      </c>
      <c r="N526" s="53" t="n">
        <v>4</v>
      </c>
    </row>
    <row r="527" customFormat="false" ht="12.5" hidden="true" customHeight="false" outlineLevel="0" collapsed="false">
      <c r="N527" s="53" t="n">
        <v>8</v>
      </c>
    </row>
    <row r="528" customFormat="false" ht="12.5" hidden="true" customHeight="false" outlineLevel="0" collapsed="false">
      <c r="C528" s="53" t="str">
        <f aca="false">IF(E17="DDR3","DDR3_L","LPDDR2")</f>
        <v>DDR3_L</v>
      </c>
    </row>
    <row r="529" customFormat="false" ht="12.5" hidden="true" customHeight="false" outlineLevel="0" collapsed="false"/>
    <row r="530" customFormat="false" ht="12.5" hidden="true" customHeight="false" outlineLevel="0" collapsed="false"/>
    <row r="531" customFormat="false" ht="12.5" hidden="true" customHeight="false" outlineLevel="0" collapsed="false"/>
    <row r="532" customFormat="false" ht="12.5" hidden="true" customHeight="false" outlineLevel="0" collapsed="false"/>
    <row r="533" customFormat="false" ht="12.5" hidden="true" customHeight="false" outlineLevel="0" collapsed="false">
      <c r="C533" s="53" t="n">
        <v>800</v>
      </c>
      <c r="G533" s="53" t="str">
        <f aca="false">IF(E17="DDR3","DDR3_DYN_ODT","LPDDR2_DYN_ODT")</f>
        <v>DDR3_DYN_ODT</v>
      </c>
    </row>
    <row r="534" customFormat="false" ht="12.5" hidden="true" customHeight="false" outlineLevel="0" collapsed="false">
      <c r="C534" s="53" t="n">
        <v>1066</v>
      </c>
      <c r="E534" s="152" t="str">
        <f aca="false">IF(E17="DDR3","DDR3_Width","LPDDR2_Width")</f>
        <v>DDR3_Width</v>
      </c>
      <c r="G534" s="153" t="s">
        <v>47</v>
      </c>
      <c r="H534" s="153" t="s">
        <v>103</v>
      </c>
      <c r="I534" s="153" t="s">
        <v>104</v>
      </c>
    </row>
    <row r="535" customFormat="false" ht="12.5" hidden="true" customHeight="false" outlineLevel="0" collapsed="false">
      <c r="A535" s="53" t="n">
        <v>16</v>
      </c>
      <c r="B535" s="153" t="s">
        <v>36</v>
      </c>
      <c r="C535" s="53" t="n">
        <v>1333</v>
      </c>
      <c r="D535" s="154" t="s">
        <v>97</v>
      </c>
      <c r="E535" s="53" t="n">
        <v>8</v>
      </c>
      <c r="F535" s="53" t="n">
        <v>9</v>
      </c>
      <c r="G535" s="53" t="s">
        <v>101</v>
      </c>
      <c r="H535" s="53" t="s">
        <v>73</v>
      </c>
      <c r="I535" s="53" t="s">
        <v>77</v>
      </c>
      <c r="J535" s="53" t="n">
        <v>80</v>
      </c>
      <c r="L535" s="153" t="s">
        <v>105</v>
      </c>
    </row>
    <row r="536" customFormat="false" ht="12.5" hidden="true" customHeight="false" outlineLevel="0" collapsed="false">
      <c r="A536" s="53" t="n">
        <v>32</v>
      </c>
      <c r="B536" s="153" t="s">
        <v>106</v>
      </c>
      <c r="C536" s="53" t="n">
        <v>1600</v>
      </c>
      <c r="D536" s="154" t="s">
        <v>107</v>
      </c>
      <c r="E536" s="53" t="n">
        <v>16</v>
      </c>
      <c r="F536" s="53" t="n">
        <v>10</v>
      </c>
      <c r="G536" s="53" t="s">
        <v>73</v>
      </c>
      <c r="H536" s="53" t="s">
        <v>108</v>
      </c>
      <c r="I536" s="53" t="s">
        <v>109</v>
      </c>
      <c r="J536" s="53" t="n">
        <v>67</v>
      </c>
      <c r="L536" s="153" t="s">
        <v>54</v>
      </c>
    </row>
    <row r="537" customFormat="false" ht="12.5" hidden="true" customHeight="false" outlineLevel="0" collapsed="false">
      <c r="C537" s="53" t="n">
        <v>1866</v>
      </c>
      <c r="D537" s="154" t="s">
        <v>110</v>
      </c>
      <c r="E537" s="53" t="n">
        <v>32</v>
      </c>
      <c r="F537" s="53" t="n">
        <v>11</v>
      </c>
      <c r="G537" s="53" t="s">
        <v>108</v>
      </c>
      <c r="H537" s="53" t="s">
        <v>77</v>
      </c>
      <c r="J537" s="53" t="n">
        <v>57</v>
      </c>
    </row>
    <row r="538" customFormat="false" ht="12.5" hidden="true" customHeight="false" outlineLevel="0" collapsed="false">
      <c r="C538" s="53" t="n">
        <v>2133</v>
      </c>
      <c r="D538" s="154" t="s">
        <v>111</v>
      </c>
      <c r="F538" s="53" t="n">
        <v>12</v>
      </c>
      <c r="H538" s="53" t="s">
        <v>112</v>
      </c>
      <c r="J538" s="53" t="n">
        <v>50</v>
      </c>
    </row>
    <row r="539" customFormat="false" ht="12.5" hidden="true" customHeight="false" outlineLevel="0" collapsed="false">
      <c r="F539" s="53" t="n">
        <v>13</v>
      </c>
      <c r="H539" s="53" t="s">
        <v>113</v>
      </c>
      <c r="J539" s="53" t="n">
        <v>44</v>
      </c>
    </row>
    <row r="540" customFormat="false" ht="12.5" hidden="true" customHeight="false" outlineLevel="0" collapsed="false">
      <c r="F540" s="53" t="n">
        <v>14</v>
      </c>
      <c r="J540" s="53" t="n">
        <v>40</v>
      </c>
      <c r="N540" s="155" t="str">
        <f aca="false">IF(E17="DDR3","DDR3_ZQ_Tsens_Min","LPDDR2_ZQ_Tsens_Min")</f>
        <v>DDR3_ZQ_Tsens_Min</v>
      </c>
      <c r="O540" s="155" t="str">
        <f aca="false">IF(E17="DDR3","DDR3_ZQ_Tsens_Max","LPDDR2_ZQ_Tsens_Max")</f>
        <v>DDR3_ZQ_Tsens_Max</v>
      </c>
      <c r="P540" s="53" t="n">
        <f aca="false">IF(AND(E17="LPDDR2",E54&gt;0.75),1,0)</f>
        <v>0</v>
      </c>
      <c r="Q540" s="53" t="n">
        <v>0</v>
      </c>
    </row>
    <row r="541" customFormat="false" ht="12.5" hidden="true" customHeight="false" outlineLevel="0" collapsed="false">
      <c r="B541" s="155" t="n">
        <v>533</v>
      </c>
      <c r="C541" s="53" t="str">
        <f aca="false">IF(E17="DDR3","DDR3_Min","LPDDR2_Min")</f>
        <v>DDR3_Min</v>
      </c>
      <c r="D541" s="152" t="str">
        <f aca="false">IF(E17="DDR3","DDR3_Max","LPDDR2_Max")</f>
        <v>DDR3_Max</v>
      </c>
      <c r="F541" s="53" t="n">
        <v>15</v>
      </c>
      <c r="J541" s="53" t="n">
        <v>36</v>
      </c>
      <c r="N541" s="155" t="n">
        <v>0</v>
      </c>
      <c r="O541" s="155" t="n">
        <v>1.5</v>
      </c>
      <c r="Q541" s="53" t="n">
        <v>1</v>
      </c>
    </row>
    <row r="542" customFormat="false" ht="12.5" hidden="true" customHeight="false" outlineLevel="0" collapsed="false">
      <c r="B542" s="155" t="n">
        <v>667</v>
      </c>
      <c r="C542" s="53" t="n">
        <v>303</v>
      </c>
      <c r="D542" s="53" t="n">
        <v>400</v>
      </c>
      <c r="F542" s="53" t="n">
        <v>16</v>
      </c>
      <c r="J542" s="53" t="n">
        <v>33</v>
      </c>
      <c r="N542" s="155" t="n">
        <v>0</v>
      </c>
      <c r="O542" s="155" t="n">
        <v>0.75</v>
      </c>
    </row>
    <row r="543" customFormat="false" ht="12.5" hidden="true" customHeight="false" outlineLevel="0" collapsed="false">
      <c r="B543" s="155" t="n">
        <v>800</v>
      </c>
      <c r="C543" s="53" t="n">
        <v>133</v>
      </c>
      <c r="D543" s="53" t="n">
        <v>266</v>
      </c>
      <c r="N543" s="155"/>
      <c r="O543" s="155"/>
    </row>
    <row r="544" customFormat="false" ht="12.5" hidden="true" customHeight="false" outlineLevel="0" collapsed="false">
      <c r="B544" s="155" t="n">
        <v>933</v>
      </c>
      <c r="N544" s="155"/>
      <c r="O544" s="155"/>
    </row>
    <row r="545" customFormat="false" ht="12.5" hidden="true" customHeight="false" outlineLevel="0" collapsed="false">
      <c r="B545" s="155" t="n">
        <v>1066</v>
      </c>
      <c r="C545" s="53" t="n">
        <f aca="false">IF(E17="DDR3",IF(AND(E18&gt;=303,E18&lt;=400),1,0),IF(AND(E18&gt;=133,E18&lt;=266),1,0))</f>
        <v>1</v>
      </c>
      <c r="D545" s="53" t="n">
        <f aca="false">IF(AND(E17="DDR3",E33=533),1,IF(AND(E17="DDR3",E33=667),1,IF(AND(E17="DDR3",E33=933),1,IF(AND(E17="LPDDR2",E33=1333),1,IF(AND(E17="LPDDR2",E33=1600),1,IF(AND(E17="LPDDR2",E33=1866),1,IF(AND(E17="LPDDR2",E33=2133),1,0)))))))</f>
        <v>0</v>
      </c>
      <c r="E545" s="53" t="n">
        <f aca="false">IF(AND(E17="DDR3",E20="Single Ended"),1,0)</f>
        <v>0</v>
      </c>
      <c r="F545" s="53" t="n">
        <f aca="false">IF(AND(E17="DDR3",E21="Dual Rank"),1,0)</f>
        <v>0</v>
      </c>
      <c r="G545" s="53" t="n">
        <f aca="false">IF(AND(E17="DDR3",E39=32),1,IF(AND(E17="LPDDR2",E39=8),1,0))</f>
        <v>0</v>
      </c>
      <c r="H545" s="53" t="n">
        <f aca="false">IF(AND(E17="DDR3",E25=1),1,IF(AND(E17="DDR3",E25=2),1,IF(AND(E17="DDR3",E25=4),1,IF(AND(E17="DDR3",E25=8),1,IF(AND(E17="LPDDR2",E25="NA"),1,0)))))</f>
        <v>1</v>
      </c>
      <c r="I545" s="53" t="n">
        <f aca="false">IF(AND(E17="DDR3",E26=32),1,IF(AND(E17="DDR3",E26=64),1,IF(AND(E17="DDR3",E26=128),1,IF(AND(E17="DDR3",E26=256),1,IF(AND(E17="DDR3",E26=512),1,IF(AND(E17="DDR3",E26=1024),1,IF(AND(E17="DDR3",E26=2048),1,IF(AND(E17="DDR3",E26=4096),1,IF(AND(E17="LPDDR2",E26="NA"),1,0)))))))))</f>
        <v>1</v>
      </c>
      <c r="J545" s="53" t="n">
        <f aca="false">IF(AND(E17="DDR3",E22=0),1,IF(AND(E17="DDR3",E22=1),1,IF(AND(E17="LPDDR2",E22="NA"),1,0)))</f>
        <v>0</v>
      </c>
      <c r="K545" s="53" t="n">
        <f aca="false">IF(AND(E17="DDR3",E23="MR1"),1,IF(AND(E17="DDR3",E23="MR2"),1,IF(AND(E17="DDR3",E23="MR10"),1,IF(AND(E17="LPDDR2",E23="NA"),1,0))))</f>
        <v>0</v>
      </c>
      <c r="L545" s="53" t="n">
        <f aca="false">IF(AND(E17="DDR3",E24=2),1,IF(AND(E17="DDR3",E24=67),1,IF(AND(E17="DDR3",E24=86),1,IF(AND(E17="LPDDR2",E24="NA"),1,0))))</f>
        <v>0</v>
      </c>
      <c r="N545" s="155" t="str">
        <f aca="false">IF(E17="DDR3","DDR3_ZQ_Vsens_Min","LPDDR2_ZQ_Vsens_Min")</f>
        <v>DDR3_ZQ_Vsens_Min</v>
      </c>
      <c r="O545" s="155" t="str">
        <f aca="false">IF(E17="DDR3","DDR3_ZQ_Vsens_Max","LPDDR2_ZQ_Vsens_Max")</f>
        <v>DDR3_ZQ_Vsens_Max</v>
      </c>
      <c r="P545" s="53" t="n">
        <f aca="false">IF(AND(E17="DDR3",E55&gt;0.15),1,0)</f>
        <v>0</v>
      </c>
    </row>
    <row r="546" customFormat="false" ht="12.5" hidden="true" customHeight="false" outlineLevel="0" collapsed="false">
      <c r="N546" s="155" t="n">
        <v>0</v>
      </c>
      <c r="O546" s="156" t="n">
        <v>0.15</v>
      </c>
    </row>
    <row r="547" customFormat="false" ht="12.5" hidden="true" customHeight="false" outlineLevel="0" collapsed="false">
      <c r="C547" s="53" t="str">
        <f aca="false">IF(E17="DDR3","DDR3_DQS","LPDDR2_DQS")</f>
        <v>DDR3_DQS</v>
      </c>
      <c r="D547" s="155" t="str">
        <f aca="false">IF(E17="DDR3","DDR3_CS","LPDDR2_CS")</f>
        <v>DDR3_CS</v>
      </c>
      <c r="E547" s="155" t="str">
        <f aca="false">IF(E17="DDR3","DDR3_NVM_RDB","LPDDR2_NVM_RDB")</f>
        <v>DDR3_NVM_RDB</v>
      </c>
      <c r="F547" s="53" t="str">
        <f aca="false">IF(E17="DDR3","DDR3_NVM_RDB_Size","LPDDR2_NVM_RDB_Size")</f>
        <v>DDR3_NVM_RDB_Size</v>
      </c>
      <c r="I547" s="53" t="n">
        <v>5</v>
      </c>
      <c r="N547" s="155" t="n">
        <v>0</v>
      </c>
      <c r="O547" s="155" t="n">
        <v>0.2</v>
      </c>
    </row>
    <row r="548" customFormat="false" ht="12.5" hidden="true" customHeight="false" outlineLevel="0" collapsed="false">
      <c r="C548" s="153" t="s">
        <v>43</v>
      </c>
      <c r="D548" s="156" t="s">
        <v>45</v>
      </c>
      <c r="E548" s="155" t="s">
        <v>47</v>
      </c>
      <c r="F548" s="152" t="s">
        <v>47</v>
      </c>
      <c r="I548" s="53" t="n">
        <v>6</v>
      </c>
      <c r="N548" s="155"/>
      <c r="O548" s="155"/>
    </row>
    <row r="549" customFormat="false" ht="12.5" hidden="true" customHeight="false" outlineLevel="0" collapsed="false">
      <c r="C549" s="153" t="s">
        <v>114</v>
      </c>
      <c r="D549" s="156" t="s">
        <v>45</v>
      </c>
      <c r="E549" s="155" t="n">
        <v>1</v>
      </c>
      <c r="F549" s="53" t="n">
        <v>32</v>
      </c>
      <c r="I549" s="53" t="n">
        <v>7</v>
      </c>
      <c r="N549" s="155"/>
      <c r="O549" s="155"/>
    </row>
    <row r="550" customFormat="false" ht="12.5" hidden="true" customHeight="false" outlineLevel="0" collapsed="false">
      <c r="C550" s="153" t="s">
        <v>43</v>
      </c>
      <c r="D550" s="156" t="s">
        <v>115</v>
      </c>
      <c r="E550" s="155" t="n">
        <v>2</v>
      </c>
      <c r="F550" s="53" t="n">
        <v>64</v>
      </c>
      <c r="I550" s="53" t="n">
        <v>8</v>
      </c>
      <c r="N550" s="155"/>
      <c r="O550" s="155"/>
    </row>
    <row r="551" customFormat="false" ht="12.5" hidden="true" customHeight="false" outlineLevel="0" collapsed="false">
      <c r="E551" s="155" t="n">
        <v>4</v>
      </c>
      <c r="F551" s="53" t="n">
        <v>128</v>
      </c>
      <c r="I551" s="53" t="n">
        <v>9</v>
      </c>
      <c r="N551" s="155"/>
      <c r="O551" s="155"/>
    </row>
    <row r="552" customFormat="false" ht="12.5" hidden="true" customHeight="false" outlineLevel="0" collapsed="false">
      <c r="E552" s="155" t="n">
        <v>8</v>
      </c>
      <c r="F552" s="53" t="n">
        <v>256</v>
      </c>
      <c r="I552" s="53" t="n">
        <v>10</v>
      </c>
      <c r="N552" s="155"/>
      <c r="O552" s="155"/>
    </row>
    <row r="553" customFormat="false" ht="12.5" hidden="true" customHeight="false" outlineLevel="0" collapsed="false">
      <c r="D553" s="155" t="str">
        <f aca="false">IF(E17="DDR3","DDR3_Refresh","LPDDR2_Refresh")</f>
        <v>DDR3_Refresh</v>
      </c>
      <c r="F553" s="53" t="n">
        <v>512</v>
      </c>
      <c r="I553" s="53" t="n">
        <v>11</v>
      </c>
      <c r="N553" s="155"/>
      <c r="O553" s="155"/>
    </row>
    <row r="554" customFormat="false" ht="12.5" hidden="true" customHeight="false" outlineLevel="0" collapsed="false">
      <c r="D554" s="156" t="s">
        <v>47</v>
      </c>
      <c r="F554" s="53" t="n">
        <v>1024</v>
      </c>
      <c r="I554" s="53" t="n">
        <v>12</v>
      </c>
      <c r="N554" s="155"/>
      <c r="O554" s="155"/>
    </row>
    <row r="555" customFormat="false" ht="12.5" hidden="true" customHeight="false" outlineLevel="0" collapsed="false">
      <c r="D555" s="155" t="n">
        <v>0</v>
      </c>
      <c r="F555" s="53" t="n">
        <v>2048</v>
      </c>
      <c r="I555" s="53" t="n">
        <v>13</v>
      </c>
      <c r="N555" s="155"/>
      <c r="O555" s="155"/>
    </row>
    <row r="556" customFormat="false" ht="12.5" hidden="true" customHeight="false" outlineLevel="0" collapsed="false">
      <c r="D556" s="155" t="n">
        <v>1</v>
      </c>
      <c r="F556" s="53" t="n">
        <v>4096</v>
      </c>
      <c r="I556" s="53" t="n">
        <v>14</v>
      </c>
      <c r="N556" s="155"/>
      <c r="O556" s="155"/>
    </row>
    <row r="557" customFormat="false" ht="12.5" hidden="true" customHeight="false" outlineLevel="0" collapsed="false">
      <c r="N557" s="155"/>
      <c r="O557" s="155"/>
    </row>
    <row r="558" customFormat="false" ht="12.5" hidden="true" customHeight="false" outlineLevel="0" collapsed="false">
      <c r="E558" s="152" t="str">
        <f aca="false">IF(E17="DDR3",IF(E33=800,"CL_800",IF(E33=1066,"CL_1066",IF(E33=1333,"CL_1333",IF(E33=1600,"CL_1600",IF(E33=1866,"CL_1866","CL_2133"))))),"NA")</f>
        <v>CL_1066</v>
      </c>
      <c r="F558" s="53" t="n">
        <f aca="false">IF(E17="DDR3",IF(AND(E33=800,E38=5),0,IF(AND(E33=800,E38=6),0,IF(AND(E33=1066,E38=6),0,IF(AND(E33=1066,E38=7),0,IF(AND(E33=1066,E38=8),0,IF(AND(E33=1333,E38=7),0,IF(AND(E33=1333,E38=8),0,IF(AND(E33=1333,E38=9),0,IF(AND(E33=1333,E38=10),0,IF(AND(E33=1600,E38=8),0,IF(AND(E33=1600,E38=9),0,IF(AND(E33=1600,E38=10),0,IF(AND(E33=1600,E38=11),0,IF(AND(E33=1866,E38=10),0,IF(AND(E33=1866,E38=11),0,IF(AND(E33=1866,E38=12),0,IF(AND(E33=1866,E38=13),0,IF(AND(E33=2133,E38=11),0,IF(AND(E33=2133,E38=12),0,IF(AND(E33=2133,E38=13),0,IF(AND(E33=2133,E38=14),0,1))))))))))))))))))))),IF(E38="Not Applicable",0,1))</f>
        <v>0</v>
      </c>
      <c r="N558" s="155"/>
      <c r="O558" s="155"/>
    </row>
    <row r="559" customFormat="false" ht="12.5" hidden="true" customHeight="false" outlineLevel="0" collapsed="false">
      <c r="D559" s="155" t="str">
        <f aca="false">IF(E17="DDR3","DDR3_Addr","LPDDR2_Addr")</f>
        <v>DDR3_Addr</v>
      </c>
    </row>
    <row r="560" customFormat="false" ht="12.5" hidden="true" customHeight="false" outlineLevel="0" collapsed="false">
      <c r="D560" s="156" t="s">
        <v>47</v>
      </c>
      <c r="E560" s="53" t="n">
        <v>5</v>
      </c>
      <c r="F560" s="53" t="n">
        <v>6</v>
      </c>
      <c r="G560" s="53" t="n">
        <v>7</v>
      </c>
      <c r="H560" s="53" t="n">
        <v>8</v>
      </c>
      <c r="I560" s="53" t="n">
        <v>10</v>
      </c>
      <c r="J560" s="53" t="n">
        <v>11</v>
      </c>
      <c r="K560" s="153" t="s">
        <v>116</v>
      </c>
    </row>
    <row r="561" customFormat="false" ht="12.5" hidden="true" customHeight="false" outlineLevel="0" collapsed="false">
      <c r="D561" s="156" t="s">
        <v>117</v>
      </c>
      <c r="E561" s="53" t="n">
        <v>6</v>
      </c>
      <c r="F561" s="53" t="n">
        <v>7</v>
      </c>
      <c r="G561" s="53" t="n">
        <v>8</v>
      </c>
      <c r="H561" s="53" t="n">
        <v>9</v>
      </c>
      <c r="I561" s="53" t="n">
        <v>11</v>
      </c>
      <c r="J561" s="53" t="n">
        <v>12</v>
      </c>
    </row>
    <row r="562" customFormat="false" ht="12.5" hidden="true" customHeight="false" outlineLevel="0" collapsed="false">
      <c r="D562" s="156" t="s">
        <v>118</v>
      </c>
      <c r="F562" s="53" t="n">
        <v>8</v>
      </c>
      <c r="G562" s="53" t="n">
        <v>9</v>
      </c>
      <c r="H562" s="53" t="n">
        <v>10</v>
      </c>
      <c r="I562" s="53" t="n">
        <v>12</v>
      </c>
      <c r="J562" s="53" t="n">
        <v>13</v>
      </c>
    </row>
    <row r="563" customFormat="false" ht="12.5" hidden="true" customHeight="false" outlineLevel="0" collapsed="false">
      <c r="D563" s="156" t="s">
        <v>119</v>
      </c>
      <c r="G563" s="53" t="n">
        <v>10</v>
      </c>
      <c r="H563" s="53" t="n">
        <v>11</v>
      </c>
      <c r="I563" s="53" t="n">
        <v>13</v>
      </c>
      <c r="J563" s="53" t="n">
        <v>14</v>
      </c>
    </row>
    <row r="564" customFormat="false" ht="12.5" hidden="true" customHeight="false" outlineLevel="0" collapsed="false"/>
    <row r="565" customFormat="false" ht="12.5" hidden="true" customHeight="false" outlineLevel="0" collapsed="false"/>
    <row r="566" customFormat="false" ht="12.5" hidden="true" customHeight="false" outlineLevel="0" collapsed="false">
      <c r="D566" s="155" t="str">
        <f aca="false">IF(E17="DDR3","DDR3_Data","LPDDR2_Data")</f>
        <v>DDR3_Data</v>
      </c>
    </row>
    <row r="567" customFormat="false" ht="12.5" hidden="true" customHeight="false" outlineLevel="0" collapsed="false">
      <c r="D567" s="156" t="s">
        <v>47</v>
      </c>
    </row>
    <row r="568" customFormat="false" ht="12.5" hidden="true" customHeight="false" outlineLevel="0" collapsed="false">
      <c r="D568" s="156" t="n">
        <v>2</v>
      </c>
    </row>
    <row r="569" customFormat="false" ht="12.5" hidden="true" customHeight="false" outlineLevel="0" collapsed="false">
      <c r="D569" s="156" t="n">
        <v>67</v>
      </c>
    </row>
    <row r="570" customFormat="false" ht="12.5" hidden="true" customHeight="false" outlineLevel="0" collapsed="false">
      <c r="D570" s="156" t="n">
        <v>86</v>
      </c>
    </row>
  </sheetData>
  <sheetProtection sheet="true" password="df21" objects="true" scenarios="true"/>
  <mergeCells count="10">
    <mergeCell ref="B2:I2"/>
    <mergeCell ref="B3:I3"/>
    <mergeCell ref="B4:I6"/>
    <mergeCell ref="B7:I8"/>
    <mergeCell ref="B14:G15"/>
    <mergeCell ref="B30:G31"/>
    <mergeCell ref="G32:G36"/>
    <mergeCell ref="B42:G43"/>
    <mergeCell ref="B50:G51"/>
    <mergeCell ref="B61:G62"/>
  </mergeCells>
  <conditionalFormatting sqref="E45">
    <cfRule type="cellIs" priority="2" operator="notEqual" aboveAverage="0" equalAverage="0" bottom="0" percent="0" rank="0" text="" dxfId="0">
      <formula>G45</formula>
    </cfRule>
  </conditionalFormatting>
  <conditionalFormatting sqref="E46">
    <cfRule type="cellIs" priority="3" operator="notEqual" aboveAverage="0" equalAverage="0" bottom="0" percent="0" rank="0" text="" dxfId="1">
      <formula>G46</formula>
    </cfRule>
  </conditionalFormatting>
  <conditionalFormatting sqref="E47">
    <cfRule type="cellIs" priority="4" operator="notEqual" aboveAverage="0" equalAverage="0" bottom="0" percent="0" rank="0" text="" dxfId="2">
      <formula>$G$47</formula>
    </cfRule>
  </conditionalFormatting>
  <conditionalFormatting sqref="E67">
    <cfRule type="cellIs" priority="5" operator="notEqual" aboveAverage="0" equalAverage="0" bottom="0" percent="0" rank="0" text="" dxfId="3">
      <formula>$G$67</formula>
    </cfRule>
  </conditionalFormatting>
  <conditionalFormatting sqref="E64">
    <cfRule type="cellIs" priority="6" operator="notEqual" aboveAverage="0" equalAverage="0" bottom="0" percent="0" rank="0" text="" dxfId="4">
      <formula>$G$64</formula>
    </cfRule>
  </conditionalFormatting>
  <conditionalFormatting sqref="E65">
    <cfRule type="cellIs" priority="7" operator="notEqual" aboveAverage="0" equalAverage="0" bottom="0" percent="0" rank="0" text="" dxfId="5">
      <formula>$G$65</formula>
    </cfRule>
  </conditionalFormatting>
  <conditionalFormatting sqref="E66">
    <cfRule type="cellIs" priority="8" operator="notEqual" aboveAverage="0" equalAverage="0" bottom="0" percent="0" rank="0" text="" dxfId="6">
      <formula>$G$66</formula>
    </cfRule>
  </conditionalFormatting>
  <conditionalFormatting sqref="E68">
    <cfRule type="cellIs" priority="9" operator="notEqual" aboveAverage="0" equalAverage="0" bottom="0" percent="0" rank="0" text="" dxfId="7">
      <formula>$G$68</formula>
    </cfRule>
  </conditionalFormatting>
  <conditionalFormatting sqref="E18">
    <cfRule type="expression" priority="10" aboveAverage="0" equalAverage="0" bottom="0" percent="0" rank="0" text="" dxfId="8">
      <formula>$C$545=0</formula>
    </cfRule>
  </conditionalFormatting>
  <conditionalFormatting sqref="E33">
    <cfRule type="expression" priority="11" aboveAverage="0" equalAverage="0" bottom="0" percent="0" rank="0" text="" dxfId="9">
      <formula>D545=1</formula>
    </cfRule>
  </conditionalFormatting>
  <conditionalFormatting sqref="E20">
    <cfRule type="expression" priority="12" aboveAverage="0" equalAverage="0" bottom="0" percent="0" rank="0" text="" dxfId="10">
      <formula>E545=1</formula>
    </cfRule>
  </conditionalFormatting>
  <conditionalFormatting sqref="E21">
    <cfRule type="expression" priority="13" aboveAverage="0" equalAverage="0" bottom="0" percent="0" rank="0" text="" dxfId="11">
      <formula>F545=1</formula>
    </cfRule>
  </conditionalFormatting>
  <conditionalFormatting sqref="E39:E40">
    <cfRule type="expression" priority="14" aboveAverage="0" equalAverage="0" bottom="0" percent="0" rank="0" text="" dxfId="12">
      <formula>$G$545=1</formula>
    </cfRule>
  </conditionalFormatting>
  <conditionalFormatting sqref="E25">
    <cfRule type="expression" priority="15" aboveAverage="0" equalAverage="0" bottom="0" percent="0" rank="0" text="" dxfId="13">
      <formula>H545=1</formula>
    </cfRule>
  </conditionalFormatting>
  <conditionalFormatting sqref="E22">
    <cfRule type="expression" priority="16" aboveAverage="0" equalAverage="0" bottom="0" percent="0" rank="0" text="" dxfId="14">
      <formula>J545=1</formula>
    </cfRule>
  </conditionalFormatting>
  <conditionalFormatting sqref="E23">
    <cfRule type="expression" priority="17" aboveAverage="0" equalAverage="0" bottom="0" percent="0" rank="0" text="" dxfId="15">
      <formula>K545=1</formula>
    </cfRule>
  </conditionalFormatting>
  <conditionalFormatting sqref="E24">
    <cfRule type="expression" priority="18" aboveAverage="0" equalAverage="0" bottom="0" percent="0" rank="0" text="" dxfId="16">
      <formula>L545=1</formula>
    </cfRule>
  </conditionalFormatting>
  <conditionalFormatting sqref="E26">
    <cfRule type="expression" priority="19" aboveAverage="0" equalAverage="0" bottom="0" percent="0" rank="0" text="" dxfId="17">
      <formula>I545=1</formula>
    </cfRule>
  </conditionalFormatting>
  <conditionalFormatting sqref="E54">
    <cfRule type="expression" priority="20" aboveAverage="0" equalAverage="0" bottom="0" percent="0" rank="0" text="" dxfId="18">
      <formula>P540=1</formula>
    </cfRule>
  </conditionalFormatting>
  <conditionalFormatting sqref="E55">
    <cfRule type="expression" priority="21" aboveAverage="0" equalAverage="0" bottom="0" percent="0" rank="0" text="" dxfId="19">
      <formula>P545=1</formula>
    </cfRule>
  </conditionalFormatting>
  <conditionalFormatting sqref="E38">
    <cfRule type="expression" priority="22" aboveAverage="0" equalAverage="0" bottom="0" percent="0" rank="0" text="" dxfId="20">
      <formula>F558=1</formula>
    </cfRule>
  </conditionalFormatting>
  <dataValidations count="30">
    <dataValidation allowBlank="true" error="Please ensure the part number is correct, and that the value entered is within the datasheet limits!" operator="between" showDropDown="false" showErrorMessage="true" showInputMessage="true" sqref="E19" type="list">
      <formula1>$A$535:$A$536</formula1>
      <formula2>0</formula2>
    </dataValidation>
    <dataValidation allowBlank="true" error="Frequency is beyond the datasheet limits of the selected SOC as of April, 2015. Refer to the latest datasheet for valid frequencies." operator="between" showDropDown="false" showErrorMessage="true" showInputMessage="true" sqref="E18" type="whole">
      <formula1>INDIRECT(C541)</formula1>
      <formula2>INDIRECT(D541)</formula2>
    </dataValidation>
    <dataValidation allowBlank="true" operator="between" showDropDown="false" showErrorMessage="true" showInputMessage="true" sqref="E39" type="list">
      <formula1>INDIRECT(E534)</formula1>
      <formula2>0</formula2>
    </dataValidation>
    <dataValidation allowBlank="true" operator="between" showDropDown="false" showErrorMessage="true" showInputMessage="true" sqref="E47" type="list">
      <formula1>$I$534:$I$536</formula1>
      <formula2>0</formula2>
    </dataValidation>
    <dataValidation allowBlank="true" operator="between" showDropDown="false" showErrorMessage="true" showInputMessage="true" sqref="E46" type="list">
      <formula1>INDIRECT(G533)</formula1>
      <formula2>0</formula2>
    </dataValidation>
    <dataValidation allowBlank="true" operator="between" showDropDown="false" showErrorMessage="true" showInputMessage="true" sqref="E45" type="list">
      <formula1>$H$534:$H$539</formula1>
      <formula2>0</formula2>
    </dataValidation>
    <dataValidation allowBlank="true" operator="between" showDropDown="false" showErrorMessage="true" showInputMessage="true" sqref="E67:E68" type="list">
      <formula1>$J$535:$J$542</formula1>
      <formula2>0</formula2>
    </dataValidation>
    <dataValidation allowBlank="true" operator="between" showDropDown="false" showErrorMessage="true" showInputMessage="true" sqref="E65:E66" type="list">
      <formula1>$D$535:$D$538</formula1>
      <formula2>0</formula2>
    </dataValidation>
    <dataValidation allowBlank="true" operator="between" showDropDown="false" showErrorMessage="true" showInputMessage="true" sqref="E64" type="list">
      <formula1>$K$523:$K$525</formula1>
      <formula2>0</formula2>
    </dataValidation>
    <dataValidation allowBlank="true" operator="between" showDropDown="false" showErrorMessage="true" showInputMessage="true" sqref="E17" type="list">
      <formula1>DDR_Type</formula1>
      <formula2>0</formula2>
    </dataValidation>
    <dataValidation allowBlank="true" operator="between" showDropDown="false" showErrorMessage="true" showInputMessage="true" sqref="E33" type="list">
      <formula1>INDIRECT($C$528)</formula1>
      <formula2>0</formula2>
    </dataValidation>
    <dataValidation allowBlank="true" operator="between" showDropDown="false" showErrorMessage="true" showInputMessage="true" sqref="E35" type="list">
      <formula1>$F$535:$F$542</formula1>
      <formula2>0</formula2>
    </dataValidation>
    <dataValidation allowBlank="true" operator="between" showDropDown="false" showErrorMessage="true" showInputMessage="true" sqref="E37" type="list">
      <formula1>$L$523:$L$526</formula1>
      <formula2>0</formula2>
    </dataValidation>
    <dataValidation allowBlank="true" operator="between" showDropDown="false" showErrorMessage="true" showInputMessage="true" sqref="E36" type="list">
      <formula1>$M$523:$M$526</formula1>
      <formula2>0</formula2>
    </dataValidation>
    <dataValidation allowBlank="true" operator="between" showDropDown="false" showErrorMessage="true" showInputMessage="true" sqref="E34" type="list">
      <formula1>$N$523:$N$527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0" type="list">
      <formula1>INDIRECT($C$547)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1" type="list">
      <formula1>INDIRECT($D$547)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5" type="list">
      <formula1>INDIRECT($E$547)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6" type="list">
      <formula1>INDIRECT($F$547)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2" type="list">
      <formula1>INDIRECT($D$553)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3" type="list">
      <formula1>INDIRECT($D$559)</formula1>
      <formula2>0</formula2>
    </dataValidation>
    <dataValidation allowBlank="true" error="Please ensure the part number is correct, and that the value entered is within the datasheet limits!" operator="between" showDropDown="false" showErrorMessage="true" showInputMessage="true" sqref="E24" type="list">
      <formula1>INDIRECT($D$566)</formula1>
      <formula2>0</formula2>
    </dataValidation>
    <dataValidation allowBlank="true" operator="between" showDropDown="false" showErrorMessage="true" showInputMessage="true" sqref="E27" type="list">
      <formula1>$L$535:$L$536</formula1>
      <formula2>0</formula2>
    </dataValidation>
    <dataValidation allowBlank="true" operator="between" showDropDown="false" showErrorMessage="true" showInputMessage="true" sqref="E54" type="decimal">
      <formula1>INDIRECT(N540)</formula1>
      <formula2>INDIRECT(O540)</formula2>
    </dataValidation>
    <dataValidation allowBlank="true" operator="between" showDropDown="false" showErrorMessage="true" showInputMessage="true" sqref="E55" type="decimal">
      <formula1>INDIRECT(N545)</formula1>
      <formula2>INDIRECT(O545)</formula2>
    </dataValidation>
    <dataValidation allowBlank="true" operator="between" showDropDown="false" showErrorMessage="true" showInputMessage="true" sqref="E53" type="list">
      <formula1>$Q$540:$Q$541</formula1>
      <formula2>0</formula2>
    </dataValidation>
    <dataValidation allowBlank="true" operator="between" showDropDown="false" showErrorMessage="true" showInputMessage="true" sqref="E56" type="decimal">
      <formula1>0</formula1>
      <formula2>1</formula2>
    </dataValidation>
    <dataValidation allowBlank="true" operator="between" showDropDown="false" showErrorMessage="true" showInputMessage="true" sqref="E57" type="decimal">
      <formula1>0</formula1>
      <formula2>15</formula2>
    </dataValidation>
    <dataValidation allowBlank="true" operator="between" showDropDown="false" showErrorMessage="true" showInputMessage="true" sqref="E40" type="whole">
      <formula1>0</formula1>
      <formula2>7800</formula2>
    </dataValidation>
    <dataValidation allowBlank="true" operator="between" showDropDown="false" showErrorMessage="true" showInputMessage="true" sqref="E38" type="list">
      <formula1>INDIRECT($E$558)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0" topLeftCell="A27" activePane="bottomLeft" state="frozen"/>
      <selection pane="topLeft" activeCell="A1" activeCellId="0" sqref="A1"/>
      <selection pane="bottomLeft" activeCell="E28" activeCellId="0" sqref="E28"/>
    </sheetView>
  </sheetViews>
  <sheetFormatPr defaultColWidth="9.19140625" defaultRowHeight="12.5" zeroHeight="false" outlineLevelRow="0" outlineLevelCol="0"/>
  <cols>
    <col collapsed="false" customWidth="true" hidden="false" outlineLevel="0" max="1" min="1" style="53" width="4.55"/>
    <col collapsed="false" customWidth="false" hidden="false" outlineLevel="0" max="2" min="2" style="53" width="9.18"/>
    <col collapsed="false" customWidth="true" hidden="false" outlineLevel="0" max="3" min="3" style="53" width="13.28"/>
    <col collapsed="false" customWidth="true" hidden="false" outlineLevel="0" max="4" min="4" style="53" width="53.54"/>
    <col collapsed="false" customWidth="true" hidden="false" outlineLevel="0" max="5" min="5" style="53" width="9.46"/>
    <col collapsed="false" customWidth="false" hidden="false" outlineLevel="0" max="6" min="6" style="53" width="9.18"/>
    <col collapsed="false" customWidth="true" hidden="false" outlineLevel="0" max="7" min="7" style="53" width="9.27"/>
    <col collapsed="false" customWidth="true" hidden="false" outlineLevel="0" max="8" min="8" style="53" width="13.17"/>
    <col collapsed="false" customWidth="true" hidden="false" outlineLevel="0" max="9" min="9" style="53" width="27.27"/>
    <col collapsed="false" customWidth="false" hidden="false" outlineLevel="0" max="10" min="10" style="53" width="9.18"/>
    <col collapsed="false" customWidth="true" hidden="false" outlineLevel="0" max="11" min="11" style="53" width="14.01"/>
    <col collapsed="false" customWidth="false" hidden="false" outlineLevel="0" max="1024" min="12" style="53" width="9.18"/>
  </cols>
  <sheetData>
    <row r="1" customFormat="false" ht="12.75" hidden="false" customHeight="true" outlineLevel="0" collapsed="false">
      <c r="A1" s="55"/>
      <c r="B1" s="55"/>
      <c r="C1" s="59"/>
      <c r="D1" s="59"/>
      <c r="E1" s="59"/>
      <c r="F1" s="59"/>
      <c r="G1" s="59"/>
      <c r="H1" s="59"/>
      <c r="I1" s="59"/>
      <c r="J1" s="59"/>
      <c r="K1" s="59"/>
    </row>
    <row r="2" customFormat="false" ht="12.75" hidden="false" customHeight="true" outlineLevel="0" collapsed="false">
      <c r="A2" s="55"/>
      <c r="B2" s="57"/>
      <c r="C2" s="57"/>
      <c r="D2" s="57"/>
      <c r="E2" s="57"/>
      <c r="F2" s="57"/>
      <c r="G2" s="57"/>
      <c r="H2" s="57"/>
      <c r="I2" s="57"/>
      <c r="J2" s="57"/>
      <c r="K2" s="57"/>
    </row>
    <row r="3" customFormat="false" ht="12.75" hidden="false" customHeight="true" outlineLevel="0" collapsed="false">
      <c r="A3" s="55"/>
      <c r="B3" s="57"/>
      <c r="C3" s="57"/>
      <c r="D3" s="57"/>
      <c r="E3" s="57"/>
      <c r="F3" s="57"/>
      <c r="G3" s="57"/>
      <c r="H3" s="57"/>
      <c r="I3" s="57"/>
      <c r="J3" s="57"/>
      <c r="K3" s="57"/>
    </row>
    <row r="4" customFormat="false" ht="12.75" hidden="false" customHeight="true" outlineLevel="0" collapsed="false">
      <c r="A4" s="68"/>
      <c r="B4" s="157" t="s">
        <v>120</v>
      </c>
      <c r="C4" s="157"/>
      <c r="D4" s="157"/>
      <c r="E4" s="157"/>
      <c r="F4" s="157"/>
      <c r="G4" s="157"/>
      <c r="H4" s="157"/>
      <c r="I4" s="157"/>
      <c r="J4" s="157"/>
      <c r="K4" s="157"/>
    </row>
    <row r="5" customFormat="false" ht="12.75" hidden="false" customHeight="true" outlineLevel="0" collapsed="false">
      <c r="A5" s="54"/>
      <c r="B5" s="157"/>
      <c r="C5" s="157"/>
      <c r="D5" s="157"/>
      <c r="E5" s="157"/>
      <c r="F5" s="157"/>
      <c r="G5" s="157"/>
      <c r="H5" s="157"/>
      <c r="I5" s="157"/>
      <c r="J5" s="157"/>
      <c r="K5" s="157"/>
    </row>
    <row r="6" customFormat="false" ht="12.75" hidden="false" customHeight="true" outlineLevel="0" collapsed="false">
      <c r="A6" s="54"/>
      <c r="B6" s="157"/>
      <c r="C6" s="157"/>
      <c r="D6" s="157"/>
      <c r="E6" s="157"/>
      <c r="F6" s="157"/>
      <c r="G6" s="157"/>
      <c r="H6" s="157"/>
      <c r="I6" s="157"/>
      <c r="J6" s="157"/>
      <c r="K6" s="157"/>
    </row>
    <row r="7" customFormat="false" ht="12.75" hidden="false" customHeight="true" outlineLevel="0" collapsed="false">
      <c r="A7" s="54"/>
      <c r="B7" s="60" t="s">
        <v>28</v>
      </c>
      <c r="C7" s="60"/>
      <c r="D7" s="60"/>
      <c r="E7" s="60"/>
      <c r="F7" s="60"/>
      <c r="G7" s="60"/>
      <c r="H7" s="60"/>
      <c r="I7" s="60"/>
      <c r="J7" s="60"/>
      <c r="K7" s="60"/>
    </row>
    <row r="8" customFormat="false" ht="12.75" hidden="false" customHeight="true" outlineLevel="0" collapsed="false">
      <c r="A8" s="54"/>
      <c r="B8" s="60"/>
      <c r="C8" s="60"/>
      <c r="D8" s="60"/>
      <c r="E8" s="60"/>
      <c r="F8" s="60"/>
      <c r="G8" s="60"/>
      <c r="H8" s="60"/>
      <c r="I8" s="60"/>
      <c r="J8" s="60"/>
      <c r="K8" s="60"/>
    </row>
    <row r="9" customFormat="false" ht="12.75" hidden="false" customHeight="true" outlineLevel="0" collapsed="false">
      <c r="A9" s="54"/>
      <c r="B9" s="62" t="s">
        <v>12</v>
      </c>
      <c r="C9" s="158" t="s">
        <v>121</v>
      </c>
      <c r="D9" s="159"/>
      <c r="E9" s="159"/>
      <c r="F9" s="159"/>
      <c r="G9" s="159"/>
      <c r="H9" s="159"/>
      <c r="I9" s="159"/>
      <c r="J9" s="159"/>
      <c r="K9" s="160"/>
    </row>
    <row r="10" customFormat="false" ht="12.75" hidden="false" customHeight="true" outlineLevel="0" collapsed="false">
      <c r="A10" s="54"/>
      <c r="B10" s="62" t="s">
        <v>14</v>
      </c>
      <c r="C10" s="64" t="s">
        <v>122</v>
      </c>
      <c r="D10" s="161"/>
      <c r="E10" s="162"/>
      <c r="F10" s="162"/>
      <c r="G10" s="162"/>
      <c r="H10" s="162"/>
      <c r="I10" s="162"/>
      <c r="J10" s="162"/>
      <c r="K10" s="163"/>
    </row>
    <row r="11" customFormat="false" ht="12.75" hidden="false" customHeight="true" outlineLevel="0" collapsed="false">
      <c r="A11" s="54"/>
      <c r="B11" s="164"/>
      <c r="C11" s="165"/>
      <c r="D11" s="166"/>
      <c r="E11" s="162"/>
      <c r="F11" s="162"/>
      <c r="G11" s="162"/>
      <c r="H11" s="162"/>
      <c r="I11" s="162"/>
      <c r="J11" s="162"/>
      <c r="K11" s="163"/>
    </row>
    <row r="12" customFormat="false" ht="12.75" hidden="false" customHeight="true" outlineLevel="0" collapsed="false">
      <c r="A12" s="54"/>
      <c r="B12" s="164"/>
      <c r="C12" s="167" t="s">
        <v>123</v>
      </c>
      <c r="D12" s="166"/>
      <c r="E12" s="168"/>
      <c r="F12" s="162"/>
      <c r="G12" s="162"/>
      <c r="H12" s="162"/>
      <c r="I12" s="162"/>
      <c r="J12" s="162"/>
      <c r="K12" s="163"/>
    </row>
    <row r="13" customFormat="false" ht="12.75" hidden="false" customHeight="true" outlineLevel="0" collapsed="false">
      <c r="A13" s="54"/>
      <c r="B13" s="164"/>
      <c r="C13" s="166" t="s">
        <v>12</v>
      </c>
      <c r="D13" s="161" t="s">
        <v>124</v>
      </c>
      <c r="E13" s="168"/>
      <c r="F13" s="162"/>
      <c r="G13" s="162"/>
      <c r="H13" s="162"/>
      <c r="I13" s="162"/>
      <c r="J13" s="162"/>
      <c r="K13" s="163"/>
    </row>
    <row r="14" customFormat="false" ht="12.75" hidden="false" customHeight="true" outlineLevel="0" collapsed="false">
      <c r="A14" s="54"/>
      <c r="B14" s="164"/>
      <c r="C14" s="166" t="s">
        <v>14</v>
      </c>
      <c r="D14" s="161" t="s">
        <v>125</v>
      </c>
      <c r="E14" s="162"/>
      <c r="F14" s="162"/>
      <c r="G14" s="162"/>
      <c r="H14" s="162"/>
      <c r="I14" s="162"/>
      <c r="J14" s="162"/>
      <c r="K14" s="163"/>
    </row>
    <row r="15" customFormat="false" ht="12.75" hidden="false" customHeight="true" outlineLevel="0" collapsed="false">
      <c r="A15" s="54"/>
      <c r="B15" s="169"/>
      <c r="C15" s="166" t="s">
        <v>16</v>
      </c>
      <c r="D15" s="170" t="s">
        <v>126</v>
      </c>
      <c r="E15" s="171"/>
      <c r="F15" s="171"/>
      <c r="G15" s="171"/>
      <c r="H15" s="171"/>
      <c r="I15" s="171"/>
      <c r="J15" s="171"/>
      <c r="K15" s="172"/>
    </row>
    <row r="16" customFormat="false" ht="12.75" hidden="false" customHeight="true" outlineLevel="0" collapsed="false">
      <c r="A16" s="54"/>
      <c r="B16" s="169"/>
      <c r="C16" s="166" t="s">
        <v>127</v>
      </c>
      <c r="D16" s="170" t="s">
        <v>128</v>
      </c>
      <c r="E16" s="171"/>
      <c r="F16" s="171"/>
      <c r="G16" s="171"/>
      <c r="H16" s="171"/>
      <c r="I16" s="171"/>
      <c r="J16" s="171"/>
      <c r="K16" s="172"/>
    </row>
    <row r="17" customFormat="false" ht="12.75" hidden="false" customHeight="true" outlineLevel="0" collapsed="false">
      <c r="A17" s="54"/>
      <c r="B17" s="169"/>
      <c r="C17" s="173"/>
      <c r="D17" s="170"/>
      <c r="E17" s="171"/>
      <c r="F17" s="171"/>
      <c r="G17" s="171"/>
      <c r="H17" s="171"/>
      <c r="I17" s="171"/>
      <c r="J17" s="171"/>
      <c r="K17" s="172"/>
    </row>
    <row r="18" customFormat="false" ht="12.75" hidden="false" customHeight="true" outlineLevel="0" collapsed="false">
      <c r="A18" s="54"/>
      <c r="B18" s="169"/>
      <c r="C18" s="70" t="s">
        <v>30</v>
      </c>
      <c r="D18" s="170"/>
      <c r="E18" s="171"/>
      <c r="F18" s="171"/>
      <c r="G18" s="171"/>
      <c r="H18" s="171"/>
      <c r="I18" s="171"/>
      <c r="J18" s="171"/>
      <c r="K18" s="172"/>
    </row>
    <row r="19" customFormat="false" ht="12.75" hidden="false" customHeight="true" outlineLevel="0" collapsed="false">
      <c r="A19" s="54"/>
      <c r="B19" s="174"/>
      <c r="C19" s="175"/>
      <c r="D19" s="175"/>
      <c r="E19" s="175"/>
      <c r="F19" s="175"/>
      <c r="G19" s="175"/>
      <c r="H19" s="176"/>
      <c r="I19" s="176"/>
      <c r="J19" s="176"/>
      <c r="K19" s="177"/>
    </row>
    <row r="20" customFormat="false" ht="12.75" hidden="false" customHeight="true" outlineLevel="0" collapsed="false"/>
    <row r="22" customFormat="false" ht="12.5" hidden="false" customHeight="false" outlineLevel="0" collapsed="false">
      <c r="B22" s="178" t="s">
        <v>129</v>
      </c>
      <c r="C22" s="179" t="s">
        <v>130</v>
      </c>
      <c r="D22" s="179"/>
      <c r="E22" s="179"/>
      <c r="F22" s="179"/>
      <c r="G22" s="179"/>
      <c r="H22" s="179"/>
      <c r="I22" s="179"/>
    </row>
    <row r="23" customFormat="false" ht="12.5" hidden="false" customHeight="false" outlineLevel="0" collapsed="false">
      <c r="B23" s="178"/>
      <c r="C23" s="179"/>
      <c r="D23" s="179"/>
      <c r="E23" s="179"/>
      <c r="F23" s="179"/>
      <c r="G23" s="179"/>
      <c r="H23" s="179"/>
      <c r="I23" s="179"/>
    </row>
    <row r="24" customFormat="false" ht="13.5" hidden="false" customHeight="false" outlineLevel="0" collapsed="false">
      <c r="B24" s="180"/>
      <c r="C24" s="181"/>
      <c r="D24" s="182"/>
      <c r="E24" s="183" t="s">
        <v>131</v>
      </c>
      <c r="F24" s="183"/>
      <c r="G24" s="182"/>
      <c r="H24" s="182"/>
      <c r="I24" s="182"/>
    </row>
    <row r="25" customFormat="false" ht="13.5" hidden="false" customHeight="false" outlineLevel="0" collapsed="false">
      <c r="B25" s="184"/>
      <c r="C25" s="185" t="s">
        <v>132</v>
      </c>
      <c r="D25" s="186" t="s">
        <v>23</v>
      </c>
      <c r="E25" s="187" t="s">
        <v>133</v>
      </c>
      <c r="F25" s="187"/>
      <c r="G25" s="188" t="s">
        <v>134</v>
      </c>
      <c r="H25" s="188"/>
      <c r="I25" s="189" t="str">
        <f aca="false">CONCATENATE("JEDEC Bit Field Values (",'Step1-System Details'!E17,"-",'Step1-System Details'!E33," @ ",'Step1-System Details'!E18," MHz)")</f>
        <v>JEDEC Bit Field Values (DDR3-1066 @ 400 MHz)</v>
      </c>
    </row>
    <row r="26" customFormat="false" ht="13.5" hidden="false" customHeight="false" outlineLevel="0" collapsed="false">
      <c r="B26" s="184"/>
      <c r="C26" s="185"/>
      <c r="D26" s="186"/>
      <c r="E26" s="190" t="s">
        <v>135</v>
      </c>
      <c r="F26" s="190" t="s">
        <v>68</v>
      </c>
      <c r="G26" s="190" t="s">
        <v>33</v>
      </c>
      <c r="H26" s="191" t="s">
        <v>34</v>
      </c>
      <c r="I26" s="189"/>
    </row>
    <row r="27" customFormat="false" ht="13.5" hidden="false" customHeight="false" outlineLevel="0" collapsed="false">
      <c r="B27" s="184"/>
      <c r="C27" s="192" t="s">
        <v>136</v>
      </c>
      <c r="D27" s="193" t="s">
        <v>137</v>
      </c>
      <c r="E27" s="194" t="n">
        <v>6</v>
      </c>
      <c r="F27" s="195"/>
      <c r="G27" s="196" t="n">
        <f aca="false">E27</f>
        <v>6</v>
      </c>
      <c r="H27" s="105" t="s">
        <v>135</v>
      </c>
      <c r="I27" s="197"/>
    </row>
    <row r="28" customFormat="false" ht="13" hidden="false" customHeight="false" outlineLevel="0" collapsed="false">
      <c r="B28" s="184"/>
      <c r="C28" s="198" t="s">
        <v>138</v>
      </c>
      <c r="D28" s="199" t="s">
        <v>139</v>
      </c>
      <c r="E28" s="200" t="n">
        <v>5</v>
      </c>
      <c r="F28" s="201"/>
      <c r="G28" s="196" t="n">
        <f aca="false">E28</f>
        <v>5</v>
      </c>
      <c r="H28" s="96" t="s">
        <v>135</v>
      </c>
      <c r="I28" s="202"/>
    </row>
    <row r="29" customFormat="false" ht="13" hidden="true" customHeight="false" outlineLevel="0" collapsed="false">
      <c r="B29" s="184"/>
      <c r="C29" s="198" t="s">
        <v>140</v>
      </c>
      <c r="D29" s="199" t="s">
        <v>141</v>
      </c>
      <c r="E29" s="200" t="n">
        <v>11</v>
      </c>
      <c r="F29" s="201"/>
      <c r="G29" s="201" t="n">
        <f aca="false">MIN(E29,7)</f>
        <v>7</v>
      </c>
      <c r="H29" s="96" t="s">
        <v>135</v>
      </c>
      <c r="I29" s="202"/>
    </row>
    <row r="30" customFormat="false" ht="13" hidden="false" customHeight="false" outlineLevel="0" collapsed="false">
      <c r="B30" s="184"/>
      <c r="C30" s="203" t="s">
        <v>142</v>
      </c>
      <c r="D30" s="123" t="s">
        <v>143</v>
      </c>
      <c r="E30" s="204" t="n">
        <v>3</v>
      </c>
      <c r="F30" s="204" t="n">
        <v>13.125</v>
      </c>
      <c r="G30" s="196" t="n">
        <f aca="false">IF('Step1-System Details'!$E$17="DDR3",(CEILING((F30/$A$223),1)-1),(MAX(E30,(CEILING((F30/$A$223),1)))-1))</f>
        <v>5</v>
      </c>
      <c r="H30" s="96" t="s">
        <v>135</v>
      </c>
      <c r="I30" s="202" t="n">
        <f aca="false">IF('Step1-System Details'!$E$17="DDR3",IF('Step1-System Details'!$E$33=2133,D226,IF('Step1-System Details'!$E$33=1866,E226,IF('Step1-System Details'!$E$33=1600,F226,IF('Step1-System Details'!$E$33=1333,G226,IF('Step1-System Details'!$E$33=1066,H226,IF('Step1-System Details'!$E$33=800,I226,"")))))),IF('Step1-System Details'!$E$33=1066,J226,IF('Step1-System Details'!$E$33=933,K226,IF('Step1-System Details'!$E$33=800,L226,IF('Step1-System Details'!$E$33=667,M226,IF('Step1-System Details'!$E$33=533,N226,""))))))</f>
        <v>5</v>
      </c>
    </row>
    <row r="31" customFormat="false" ht="13" hidden="false" customHeight="false" outlineLevel="0" collapsed="false">
      <c r="B31" s="184"/>
      <c r="C31" s="203" t="s">
        <v>144</v>
      </c>
      <c r="D31" s="123" t="s">
        <v>145</v>
      </c>
      <c r="E31" s="204" t="n">
        <v>3</v>
      </c>
      <c r="F31" s="204" t="n">
        <v>13.125</v>
      </c>
      <c r="G31" s="196" t="n">
        <f aca="false">IF('Step1-System Details'!$E$17="DDR3",(CEILING((F31/$A$223),1)-1),(MAX(E31,(CEILING((F31/$A$223),1)))-1))</f>
        <v>5</v>
      </c>
      <c r="H31" s="96" t="s">
        <v>135</v>
      </c>
      <c r="I31" s="202" t="n">
        <f aca="false">IF('Step1-System Details'!$E$17="DDR3",IF('Step1-System Details'!$E$33=2133,D227,IF('Step1-System Details'!$E$33=1866,E227,IF('Step1-System Details'!$E$33=1600,F227,IF('Step1-System Details'!$E$33=1333,G227,IF('Step1-System Details'!$E$33=1066,H227,IF('Step1-System Details'!$E$33=800,I227,"")))))),IF('Step1-System Details'!$E$33=1066,J227,IF('Step1-System Details'!$E$33=933,K227,IF('Step1-System Details'!$E$33=800,L227,IF('Step1-System Details'!$E$33=667,M227,IF('Step1-System Details'!$E$33=533,N227,""))))))</f>
        <v>5</v>
      </c>
    </row>
    <row r="32" customFormat="false" ht="13" hidden="false" customHeight="false" outlineLevel="0" collapsed="false">
      <c r="B32" s="184"/>
      <c r="C32" s="203" t="s">
        <v>146</v>
      </c>
      <c r="D32" s="123" t="s">
        <v>147</v>
      </c>
      <c r="E32" s="204" t="n">
        <v>3</v>
      </c>
      <c r="F32" s="204" t="n">
        <v>15</v>
      </c>
      <c r="G32" s="196" t="n">
        <f aca="false">IF('Step1-System Details'!$E$17="DDR3",(CEILING((F32/$A$223),1)-1),(MAX(E32,(CEILING((F32/$A$223),1)))-1))</f>
        <v>5</v>
      </c>
      <c r="H32" s="96" t="s">
        <v>135</v>
      </c>
      <c r="I32" s="202" t="n">
        <f aca="false">IF('Step1-System Details'!$E$17="DDR3",IF('Step1-System Details'!$E$33=2133,D228,IF('Step1-System Details'!$E$33=1866,E228,IF('Step1-System Details'!$E$33=1600,F228,IF('Step1-System Details'!$E$33=1333,G228,IF('Step1-System Details'!$E$33=1066,H228,IF('Step1-System Details'!$E$33=800,I228,"")))))),IF('Step1-System Details'!$E$33=1066,J228,IF('Step1-System Details'!$E$33=933,K228,IF('Step1-System Details'!$E$33=800,L228,IF('Step1-System Details'!$E$33=667,M228,IF('Step1-System Details'!$E$33=533,N228,""))))))</f>
        <v>6</v>
      </c>
    </row>
    <row r="33" customFormat="false" ht="13" hidden="false" customHeight="false" outlineLevel="0" collapsed="false">
      <c r="B33" s="184"/>
      <c r="C33" s="203" t="s">
        <v>148</v>
      </c>
      <c r="D33" s="123" t="s">
        <v>149</v>
      </c>
      <c r="E33" s="204" t="n">
        <v>3</v>
      </c>
      <c r="F33" s="204" t="n">
        <v>37.5</v>
      </c>
      <c r="G33" s="196" t="n">
        <f aca="false">IF('Step1-System Details'!$E$17="DDR3",(CEILING((F33/$A$223),1)-1),(MAX(E33,(CEILING((F33/$A$223),1)))-1))</f>
        <v>14</v>
      </c>
      <c r="H33" s="96" t="s">
        <v>135</v>
      </c>
      <c r="I33" s="202" t="n">
        <f aca="false">IF('Step1-System Details'!$E$17="DDR3",IF('Step1-System Details'!$E$33=2133,D229,IF('Step1-System Details'!$E$33=1866,E229,IF('Step1-System Details'!$E$33=1600,F229,IF('Step1-System Details'!$E$33=1333,G229,IF('Step1-System Details'!$E$33=1066,H229,IF('Step1-System Details'!$E$33=800,I229,"")))))),IF('Step1-System Details'!$E$33=1066,J229,IF('Step1-System Details'!$E$33=933,K229,IF('Step1-System Details'!$E$33=800,L229,IF('Step1-System Details'!$E$33=667,M229,IF('Step1-System Details'!$E$33=533,N229,""))))))</f>
        <v>15</v>
      </c>
    </row>
    <row r="34" customFormat="false" ht="13" hidden="false" customHeight="false" outlineLevel="0" collapsed="false">
      <c r="B34" s="184"/>
      <c r="C34" s="203" t="s">
        <v>150</v>
      </c>
      <c r="D34" s="123" t="s">
        <v>151</v>
      </c>
      <c r="E34" s="205"/>
      <c r="F34" s="204" t="n">
        <v>50.625</v>
      </c>
      <c r="G34" s="196" t="n">
        <f aca="false">CEILING((F34/A223),1) - 1</f>
        <v>20</v>
      </c>
      <c r="H34" s="96" t="s">
        <v>135</v>
      </c>
      <c r="I34" s="202" t="n">
        <f aca="false">IF('Step1-System Details'!$E$17="DDR3",IF('Step1-System Details'!$E$33=2133,D230,IF('Step1-System Details'!$E$33=1866,E230,IF('Step1-System Details'!$E$33=1600,F230,IF('Step1-System Details'!$E$33=1333,G230,IF('Step1-System Details'!$E$33=1066,H230,IF('Step1-System Details'!$E$33=800,I230,"")))))),IF('Step1-System Details'!$E$33=1066,J230,IF('Step1-System Details'!$E$33=933,K230,IF('Step1-System Details'!$E$33=800,L230,IF('Step1-System Details'!$E$33=667,M230,IF('Step1-System Details'!$E$33=533,N230,""))))))</f>
        <v>20</v>
      </c>
    </row>
    <row r="35" customFormat="false" ht="13" hidden="false" customHeight="false" outlineLevel="0" collapsed="false">
      <c r="B35" s="184"/>
      <c r="C35" s="203" t="s">
        <v>152</v>
      </c>
      <c r="D35" s="123" t="s">
        <v>153</v>
      </c>
      <c r="E35" s="204" t="n">
        <v>8</v>
      </c>
      <c r="F35" s="204" t="n">
        <v>40</v>
      </c>
      <c r="G35" s="196" t="n">
        <f aca="false">IF('Step1-System Details'!$E$17="DDR3",(CEILING((F35/$A$223),1)-1),(MAX(E35,(CEILING((F35/$A$223),1)))-1))</f>
        <v>15</v>
      </c>
      <c r="H35" s="96" t="s">
        <v>135</v>
      </c>
      <c r="I35" s="202" t="n">
        <f aca="false">IF('Step1-System Details'!$E$17="DDR3",IF('Step1-System Details'!$E$33=2133,D231,IF('Step1-System Details'!$E$33=1866,E231,IF('Step1-System Details'!$E$33=1600,F231,IF('Step1-System Details'!$E$33=1333,G231,IF('Step1-System Details'!$E$33=1066,H231,IF('Step1-System Details'!$E$33=800,I231,"")))))),IF('Step1-System Details'!$E$33=1066,J231,IF('Step1-System Details'!$E$33=933,K231,IF('Step1-System Details'!$E$33=800,L231,IF('Step1-System Details'!$E$33=667,M231,IF('Step1-System Details'!$E$33=533,N231,""))))))</f>
        <v>20</v>
      </c>
    </row>
    <row r="36" customFormat="false" ht="13" hidden="false" customHeight="false" outlineLevel="0" collapsed="false">
      <c r="B36" s="184"/>
      <c r="C36" s="203" t="s">
        <v>154</v>
      </c>
      <c r="D36" s="123" t="s">
        <v>155</v>
      </c>
      <c r="E36" s="200" t="n">
        <v>2</v>
      </c>
      <c r="F36" s="204" t="n">
        <v>10</v>
      </c>
      <c r="G36" s="196" t="n">
        <f aca="false">IF('Step1-System Details'!E17="DDR3",(CEILING((G35+1)/4,1)-1),MAX(E36,CEILING((F36/A223),1))-1)</f>
        <v>3</v>
      </c>
      <c r="H36" s="96" t="s">
        <v>135</v>
      </c>
      <c r="I36" s="202" t="n">
        <f aca="false">IF('Step1-System Details'!$E$17="DDR3",IF('Step1-System Details'!$E$33=2133,D232,IF('Step1-System Details'!$E$33=1866,E232,IF('Step1-System Details'!$E$33=1600,F232,IF('Step1-System Details'!$E$33=1333,G232,IF('Step1-System Details'!$E$33=1066,H232,IF('Step1-System Details'!$E$33=800,I232,"")))))),IF('Step1-System Details'!$E$33=1066,J232,IF('Step1-System Details'!$E$33=933,K232,IF('Step1-System Details'!$E$33=800,L232,IF('Step1-System Details'!$E$33=667,M232,IF('Step1-System Details'!$E$33=533,N232,""))))))</f>
        <v>5</v>
      </c>
    </row>
    <row r="37" customFormat="false" ht="13" hidden="false" customHeight="false" outlineLevel="0" collapsed="false">
      <c r="B37" s="184"/>
      <c r="C37" s="203" t="s">
        <v>156</v>
      </c>
      <c r="D37" s="123" t="s">
        <v>157</v>
      </c>
      <c r="E37" s="200" t="n">
        <v>4</v>
      </c>
      <c r="F37" s="204" t="n">
        <v>7.5</v>
      </c>
      <c r="G37" s="196" t="n">
        <f aca="false">MAX(E37,CEILING(F37/A223,1)) - 1</f>
        <v>3</v>
      </c>
      <c r="H37" s="96" t="s">
        <v>135</v>
      </c>
      <c r="I37" s="202" t="n">
        <f aca="false">IF('Step1-System Details'!$E$17="DDR3",IF('Step1-System Details'!$E$33=2133,D233,IF('Step1-System Details'!$E$33=1866,E233,IF('Step1-System Details'!$E$33=1600,F233,IF('Step1-System Details'!$E$33=1333,G233,IF('Step1-System Details'!$E$33=1066,H233,IF('Step1-System Details'!$E$33=800,I233,"")))))),IF('Step1-System Details'!$E$33=1066,J233,IF('Step1-System Details'!$E$33=933,K233,IF('Step1-System Details'!$E$33=800,L233,IF('Step1-System Details'!$E$33=667,M233,IF('Step1-System Details'!$E$33=533,N233,""))))))</f>
        <v>4</v>
      </c>
    </row>
    <row r="38" customFormat="false" ht="13" hidden="false" customHeight="false" outlineLevel="0" collapsed="false">
      <c r="B38" s="184"/>
      <c r="C38" s="203" t="s">
        <v>158</v>
      </c>
      <c r="D38" s="123" t="s">
        <v>159</v>
      </c>
      <c r="E38" s="200" t="n">
        <v>3</v>
      </c>
      <c r="F38" s="204" t="n">
        <v>7.5</v>
      </c>
      <c r="G38" s="196" t="n">
        <f aca="false">MAX(E38,CEILING(F38/A223,1)) - 1</f>
        <v>2</v>
      </c>
      <c r="H38" s="96" t="s">
        <v>135</v>
      </c>
      <c r="I38" s="202" t="n">
        <f aca="false">IF('Step1-System Details'!$E$17="DDR3",IF('Step1-System Details'!$E$33=2133,D234,IF('Step1-System Details'!$E$33=1866,E234,IF('Step1-System Details'!$E$33=1600,F234,IF('Step1-System Details'!$E$33=1333,G234,IF('Step1-System Details'!$E$33=1066,H234,IF('Step1-System Details'!$E$33=800,I234,"")))))),IF('Step1-System Details'!$E$33=1066,J234,IF('Step1-System Details'!$E$33=933,K234,IF('Step1-System Details'!$E$33=800,L234,IF('Step1-System Details'!$E$33=667,M234,IF('Step1-System Details'!$E$33=533,N234,""))))))</f>
        <v>3</v>
      </c>
    </row>
    <row r="39" customFormat="false" ht="13" hidden="true" customHeight="false" outlineLevel="0" collapsed="false">
      <c r="B39" s="184"/>
      <c r="C39" s="203" t="s">
        <v>160</v>
      </c>
      <c r="D39" s="206" t="s">
        <v>161</v>
      </c>
      <c r="E39" s="200" t="n">
        <v>5</v>
      </c>
      <c r="F39" s="204" t="n">
        <v>9</v>
      </c>
      <c r="G39" s="196" t="n">
        <f aca="false">E39</f>
        <v>5</v>
      </c>
      <c r="H39" s="96" t="s">
        <v>135</v>
      </c>
      <c r="I39" s="202"/>
    </row>
    <row r="40" customFormat="false" ht="13" hidden="false" customHeight="false" outlineLevel="0" collapsed="false">
      <c r="B40" s="184"/>
      <c r="C40" s="203" t="s">
        <v>162</v>
      </c>
      <c r="D40" s="123" t="s">
        <v>163</v>
      </c>
      <c r="E40" s="200" t="n">
        <v>5</v>
      </c>
      <c r="F40" s="204" t="n">
        <v>270</v>
      </c>
      <c r="G40" s="196" t="n">
        <f aca="false">MAX(E40,CEILING((F40/A223),1)) - 1</f>
        <v>107</v>
      </c>
      <c r="H40" s="96" t="s">
        <v>135</v>
      </c>
      <c r="I40" s="202" t="n">
        <f aca="false">IF('Step1-System Details'!$E$17="DDR3",IF('Step1-System Details'!$E$33=2133,D236,IF('Step1-System Details'!$E$33=1866,E236,IF('Step1-System Details'!$E$33=1600,F236,IF('Step1-System Details'!$E$33=1333,G236,IF('Step1-System Details'!$E$33=1066,H236,IF('Step1-System Details'!$E$33=800,I236,"")))))),IF('Step1-System Details'!$E$33=1066,J236,IF('Step1-System Details'!$E$33=933,K236,IF('Step1-System Details'!$E$33=800,L236,IF('Step1-System Details'!$E$33=667,M236,IF('Step1-System Details'!$E$33=533,N236,""))))))</f>
        <v>108</v>
      </c>
    </row>
    <row r="41" customFormat="false" ht="13" hidden="false" customHeight="false" outlineLevel="0" collapsed="false">
      <c r="B41" s="184"/>
      <c r="C41" s="203" t="s">
        <v>164</v>
      </c>
      <c r="D41" s="123" t="s">
        <v>165</v>
      </c>
      <c r="E41" s="200" t="n">
        <v>512</v>
      </c>
      <c r="F41" s="201"/>
      <c r="G41" s="196" t="n">
        <f aca="false">IF('Step1-System Details'!$E$17="DDR3",CEILING(E41,1)-1,"NA")</f>
        <v>511</v>
      </c>
      <c r="H41" s="96" t="s">
        <v>135</v>
      </c>
      <c r="I41" s="202" t="n">
        <f aca="false">IF('Step1-System Details'!$E$17="DDR3",IF('Step1-System Details'!$E$33=2133,D237,IF('Step1-System Details'!$E$33=1866,E237,IF('Step1-System Details'!$E$33=1600,F237,IF('Step1-System Details'!$E$33=1333,G237,IF('Step1-System Details'!$E$33=1066,H237,IF('Step1-System Details'!$E$33=800,I237,"")))))),"NA")</f>
        <v>512</v>
      </c>
    </row>
    <row r="42" customFormat="false" ht="13" hidden="false" customHeight="false" outlineLevel="0" collapsed="false">
      <c r="B42" s="184"/>
      <c r="C42" s="203" t="s">
        <v>166</v>
      </c>
      <c r="D42" s="123" t="s">
        <v>167</v>
      </c>
      <c r="E42" s="200" t="n">
        <v>4</v>
      </c>
      <c r="F42" s="204" t="n">
        <v>7.5</v>
      </c>
      <c r="G42" s="196" t="n">
        <f aca="false">MAX(E42,CEILING(F42/A223,1))-1</f>
        <v>3</v>
      </c>
      <c r="H42" s="96" t="s">
        <v>135</v>
      </c>
      <c r="I42" s="202" t="n">
        <f aca="false">IF('Step1-System Details'!$E$17="DDR3",IF('Step1-System Details'!$E$33=2133,D238,IF('Step1-System Details'!$E$33=1866,E238,IF('Step1-System Details'!$E$33=1600,F238,IF('Step1-System Details'!$E$33=1333,G238,IF('Step1-System Details'!$E$33=1066,H238,IF('Step1-System Details'!$E$33=800,I238,"")))))),IF('Step1-System Details'!$E$33=1066,J238,IF('Step1-System Details'!$E$33=933,K238,IF('Step1-System Details'!$E$33=800,L238,IF('Step1-System Details'!$E$33=667,M238,IF('Step1-System Details'!$E$33=533,N238,""))))))</f>
        <v>4</v>
      </c>
    </row>
    <row r="43" customFormat="false" ht="13" hidden="false" customHeight="false" outlineLevel="0" collapsed="false">
      <c r="B43" s="184"/>
      <c r="C43" s="203" t="s">
        <v>168</v>
      </c>
      <c r="D43" s="123" t="s">
        <v>169</v>
      </c>
      <c r="E43" s="200" t="n">
        <v>3</v>
      </c>
      <c r="F43" s="204" t="n">
        <v>7.5</v>
      </c>
      <c r="G43" s="196" t="n">
        <f aca="false">IF('Step1-System Details'!$E$17="DDR3",(MAX(E43,(CEILING((F43/$A$223),1)))-1),E43-1)</f>
        <v>2</v>
      </c>
      <c r="H43" s="96" t="s">
        <v>135</v>
      </c>
      <c r="I43" s="202" t="n">
        <f aca="false">IF('Step1-System Details'!$E$17="DDR3",IF('Step1-System Details'!$E$33=2133,D239,IF('Step1-System Details'!$E$33=1866,E239,IF('Step1-System Details'!$E$33=1600,F239,IF('Step1-System Details'!$E$33=1333,G239,IF('Step1-System Details'!$E$33=1066,H239,IF('Step1-System Details'!$E$33=800,I239,"")))))),IF('Step1-System Details'!$E$33=1066,J239,IF('Step1-System Details'!$E$33=933,K239,IF('Step1-System Details'!$E$33=800,L239,IF('Step1-System Details'!$E$33=667,M239,IF('Step1-System Details'!$E$33=533,N239,""))))))</f>
        <v>3</v>
      </c>
    </row>
    <row r="44" customFormat="false" ht="13" hidden="true" customHeight="false" outlineLevel="0" collapsed="false">
      <c r="B44" s="184"/>
      <c r="C44" s="203" t="s">
        <v>170</v>
      </c>
      <c r="D44" s="123"/>
      <c r="E44" s="196"/>
      <c r="F44" s="196"/>
      <c r="G44" s="207" t="n">
        <v>5</v>
      </c>
      <c r="H44" s="96" t="s">
        <v>135</v>
      </c>
      <c r="I44" s="202"/>
    </row>
    <row r="45" customFormat="false" ht="13" hidden="true" customHeight="false" outlineLevel="0" collapsed="false">
      <c r="B45" s="184"/>
      <c r="C45" s="203" t="s">
        <v>171</v>
      </c>
      <c r="D45" s="123" t="s">
        <v>172</v>
      </c>
      <c r="E45" s="200" t="n">
        <v>2</v>
      </c>
      <c r="F45" s="207"/>
      <c r="G45" s="201" t="n">
        <v>15</v>
      </c>
      <c r="H45" s="96" t="s">
        <v>135</v>
      </c>
      <c r="I45" s="202"/>
    </row>
    <row r="46" customFormat="false" ht="13" hidden="false" customHeight="false" outlineLevel="0" collapsed="false">
      <c r="B46" s="184"/>
      <c r="C46" s="203" t="s">
        <v>173</v>
      </c>
      <c r="D46" s="123" t="s">
        <v>174</v>
      </c>
      <c r="E46" s="134" t="n">
        <v>4</v>
      </c>
      <c r="F46" s="95" t="n">
        <v>8</v>
      </c>
      <c r="G46" s="196" t="n">
        <f aca="false">MAX(E46,CEILING(F46/A223,1))-1</f>
        <v>3</v>
      </c>
      <c r="H46" s="96" t="s">
        <v>135</v>
      </c>
      <c r="I46" s="202" t="n">
        <f aca="false">IF('Step1-System Details'!$E$17="DDR3",IF('Step1-System Details'!$E$33=2133,D242,IF('Step1-System Details'!$E$33=1866,E242,IF('Step1-System Details'!$E$33=1600,F242,IF('Step1-System Details'!$E$33=1333,G242,IF('Step1-System Details'!$E$33=1066,H242,IF('Step1-System Details'!$E$33=800,I242,"")))))),IF('Step1-System Details'!$E$33=1066,J242,IF('Step1-System Details'!$E$33=933,K242,IF('Step1-System Details'!$E$33=800,L242,IF('Step1-System Details'!$E$33=667,M242,IF('Step1-System Details'!$E$33=533,N242,""))))))</f>
        <v>4</v>
      </c>
    </row>
    <row r="47" customFormat="false" ht="13" hidden="false" customHeight="false" outlineLevel="0" collapsed="false">
      <c r="B47" s="184"/>
      <c r="C47" s="203" t="s">
        <v>175</v>
      </c>
      <c r="D47" s="123" t="s">
        <v>176</v>
      </c>
      <c r="E47" s="200" t="n">
        <v>64</v>
      </c>
      <c r="F47" s="204" t="n">
        <v>80</v>
      </c>
      <c r="G47" s="196" t="n">
        <f aca="false">IF('Step1-System Details'!$E$17="DDR3",MAX(E47,(CEILING((F47/$A$223),1)))-1,(CEILING((F47/$A$223),1)-1))</f>
        <v>63</v>
      </c>
      <c r="H47" s="96" t="s">
        <v>135</v>
      </c>
      <c r="I47" s="202" t="n">
        <f aca="false">IF('Step1-System Details'!$E$17="DDR3",IF('Step1-System Details'!$E$33=2133,D243,IF('Step1-System Details'!$E$33=1866,E243,IF('Step1-System Details'!$E$33=1600,F243,IF('Step1-System Details'!$E$33=1333,G243,IF('Step1-System Details'!$E$33=1066,H243,IF('Step1-System Details'!$E$33=800,I243,"")))))),IF('Step1-System Details'!$E$33=1066,J243,IF('Step1-System Details'!$E$33=933,K243,IF('Step1-System Details'!$E$33=800,L243,IF('Step1-System Details'!$E$33=667,M243,IF('Step1-System Details'!$E$33=533,N243,""))))))</f>
        <v>64</v>
      </c>
    </row>
    <row r="48" customFormat="false" ht="13" hidden="false" customHeight="false" outlineLevel="0" collapsed="false">
      <c r="B48" s="184"/>
      <c r="C48" s="203" t="s">
        <v>177</v>
      </c>
      <c r="D48" s="123" t="s">
        <v>178</v>
      </c>
      <c r="E48" s="205"/>
      <c r="F48" s="204" t="n">
        <v>5.5</v>
      </c>
      <c r="G48" s="196" t="str">
        <f aca="false">IF('Step1-System Details'!E17="DDR3","NA",(CEILING((F48/A223),1) - 1))</f>
        <v>NA</v>
      </c>
      <c r="H48" s="96" t="s">
        <v>135</v>
      </c>
      <c r="I48" s="202" t="str">
        <f aca="false">IF('Step1-System Details'!$E$17="DDR3","NA",CEILING(5.5/A223,1))</f>
        <v>NA</v>
      </c>
    </row>
    <row r="49" customFormat="false" ht="13" hidden="false" customHeight="false" outlineLevel="0" collapsed="false">
      <c r="B49" s="208"/>
      <c r="C49" s="203" t="s">
        <v>179</v>
      </c>
      <c r="D49" s="123" t="s">
        <v>180</v>
      </c>
      <c r="E49" s="205"/>
      <c r="F49" s="204" t="n">
        <v>260</v>
      </c>
      <c r="G49" s="196" t="n">
        <f aca="false">CEILING((F49/A223),1) - 1</f>
        <v>103</v>
      </c>
      <c r="H49" s="96" t="s">
        <v>135</v>
      </c>
      <c r="I49" s="202" t="n">
        <f aca="false">IF('Step1-System Details'!$E$17="DDR3",IF('Step1-System Details'!$E$33=2133,D245,IF('Step1-System Details'!$E$33=1866,E245,IF('Step1-System Details'!$E$33=1600,F245,IF('Step1-System Details'!$E$33=1333,G245,IF('Step1-System Details'!$E$33=1066,H245,IF('Step1-System Details'!$E$33=800,I245,"")))))),IF('Step1-System Details'!$E$33=1066,J245,IF('Step1-System Details'!$E$33=933,K245,IF('Step1-System Details'!$E$33=800,L245,IF('Step1-System Details'!$E$33=667,M245,IF('Step1-System Details'!$E$33=533,N245,""))))))</f>
        <v>104</v>
      </c>
    </row>
    <row r="50" customFormat="false" ht="13" hidden="true" customHeight="false" outlineLevel="0" collapsed="false">
      <c r="C50" s="209" t="s">
        <v>181</v>
      </c>
      <c r="D50" s="135" t="s">
        <v>182</v>
      </c>
      <c r="E50" s="205"/>
      <c r="F50" s="204" t="n">
        <v>70000</v>
      </c>
      <c r="G50" s="207" t="n">
        <v>15</v>
      </c>
      <c r="H50" s="96" t="s">
        <v>183</v>
      </c>
      <c r="I50" s="202" t="n">
        <f aca="false">IF('Step1-System Details'!$E$17="DDR3",IF('Step1-System Details'!$E$33=2133,D246,IF('Step1-System Details'!$E$33=1866,E246,IF('Step1-System Details'!$E$33=1600,F246,IF('Step1-System Details'!$E$33=1333,G246,IF('Step1-System Details'!$E$33=1066,H246,IF('Step1-System Details'!$E$33=800,I246,"")))))),IF('Step1-System Details'!$E$33=1066,J246,IF('Step1-System Details'!$E$33=933,K246,IF('Step1-System Details'!$E$33=800,L246,IF('Step1-System Details'!$E$33=667,M246,IF('Step1-System Details'!$E$33=533,N246,""))))))</f>
        <v>9</v>
      </c>
    </row>
    <row r="51" customFormat="false" ht="13.5" hidden="false" customHeight="false" outlineLevel="0" collapsed="false">
      <c r="C51" s="210" t="s">
        <v>184</v>
      </c>
      <c r="D51" s="126" t="s">
        <v>185</v>
      </c>
      <c r="E51" s="98"/>
      <c r="F51" s="118" t="n">
        <v>7800</v>
      </c>
      <c r="G51" s="211" t="n">
        <f aca="false">FLOOR(((F51/A223)),1)</f>
        <v>3120</v>
      </c>
      <c r="H51" s="101" t="s">
        <v>135</v>
      </c>
      <c r="I51" s="212" t="n">
        <f aca="false">IF('Step1-System Details'!$E$17="DDR3",IF('Step1-System Details'!$E$33=2133,D247,IF('Step1-System Details'!$E$33=1866,E247,IF('Step1-System Details'!$E$33=1600,F247,IF('Step1-System Details'!$E$33=1333,G247,IF('Step1-System Details'!$E$33=1066,H247,IF('Step1-System Details'!$E$33=800,I247,"")))))),IF('Step1-System Details'!$E$33=1066,J247,IF('Step1-System Details'!$E$33=933,K247,IF('Step1-System Details'!$E$33=800,L247,IF('Step1-System Details'!$E$33=667,M247,IF('Step1-System Details'!$E$33=533,N247,""))))))</f>
        <v>3120</v>
      </c>
    </row>
    <row r="52" customFormat="false" ht="13" hidden="false" customHeight="false" outlineLevel="0" collapsed="false"/>
    <row r="222" customFormat="false" ht="12.5" hidden="false" customHeight="false" outlineLevel="0" collapsed="false">
      <c r="C222" s="153" t="s">
        <v>132</v>
      </c>
      <c r="D222" s="213" t="s">
        <v>186</v>
      </c>
      <c r="E222" s="213" t="s">
        <v>187</v>
      </c>
      <c r="F222" s="213" t="s">
        <v>188</v>
      </c>
      <c r="G222" s="213" t="s">
        <v>189</v>
      </c>
      <c r="H222" s="213" t="s">
        <v>190</v>
      </c>
      <c r="I222" s="156" t="s">
        <v>191</v>
      </c>
      <c r="J222" s="153" t="s">
        <v>192</v>
      </c>
      <c r="K222" s="153" t="s">
        <v>193</v>
      </c>
      <c r="L222" s="153" t="s">
        <v>194</v>
      </c>
      <c r="M222" s="153" t="s">
        <v>195</v>
      </c>
      <c r="N222" s="153" t="s">
        <v>196</v>
      </c>
    </row>
    <row r="223" customFormat="false" ht="12.5" hidden="false" customHeight="false" outlineLevel="0" collapsed="false">
      <c r="A223" s="214" t="n">
        <f aca="false">(1/'Step1-System Details'!E18)*1000</f>
        <v>2.5</v>
      </c>
      <c r="C223" s="153" t="s">
        <v>136</v>
      </c>
      <c r="D223" s="152"/>
      <c r="E223" s="152"/>
      <c r="F223" s="152"/>
      <c r="G223" s="152"/>
      <c r="H223" s="152"/>
      <c r="I223" s="155"/>
    </row>
    <row r="224" customFormat="false" ht="12.5" hidden="false" customHeight="false" outlineLevel="0" collapsed="false">
      <c r="C224" s="153" t="s">
        <v>138</v>
      </c>
      <c r="D224" s="152"/>
      <c r="E224" s="152"/>
      <c r="F224" s="152"/>
      <c r="G224" s="152"/>
      <c r="H224" s="152"/>
      <c r="I224" s="155"/>
    </row>
    <row r="225" customFormat="false" ht="12.5" hidden="false" customHeight="false" outlineLevel="0" collapsed="false">
      <c r="C225" s="153" t="s">
        <v>140</v>
      </c>
      <c r="D225" s="152"/>
      <c r="E225" s="152"/>
      <c r="F225" s="152"/>
      <c r="G225" s="152"/>
      <c r="H225" s="152"/>
      <c r="I225" s="155"/>
    </row>
    <row r="226" customFormat="false" ht="12.5" hidden="false" customHeight="false" outlineLevel="0" collapsed="false">
      <c r="C226" s="53" t="s">
        <v>142</v>
      </c>
      <c r="D226" s="152" t="n">
        <f aca="false">CEILING(IF(Speed_Bin_CL=11,10.285/$A$223,IF(Speed_Bin_CL=12,11.22/$A$223,IF(Speed_Bin_CL=13,12.155/$A$223,13.09/$A$223))),1)</f>
        <v>6</v>
      </c>
      <c r="E226" s="152" t="n">
        <f aca="false">CEILING(IF(Speed_Bin_CL=10,10.7/$A$223,IF(Speed_Bin_CL=11,11.77/$A$223,IF(Speed_Bin_CL=12,12.84/$A$223,13.91/$A$223))),1)</f>
        <v>6</v>
      </c>
      <c r="F226" s="152" t="n">
        <f aca="false">CEILING(IF(Speed_Bin_CL=8,10/$A$223,IF(Speed_Bin_CL=9,11.25/$A$223,IF(Speed_Bin_CL=10,12.5/$A$223,13.75/$A$223))),1)</f>
        <v>6</v>
      </c>
      <c r="G226" s="152" t="n">
        <f aca="false">CEILING(IF(Speed_Bin_CL=7,10.5/$A$223,IF(Speed_Bin_CL=8,12/$A$223,IF(Speed_Bin_CL=9,13.5/$A$223,15/$A$223))),1)</f>
        <v>6</v>
      </c>
      <c r="H226" s="152" t="n">
        <f aca="false">CEILING(IF(Speed_Bin_CL=6,11.25/$A$223,IF(Speed_Bin_CL=7,13.125/$A$223,15/$A$223)),1)</f>
        <v>5</v>
      </c>
      <c r="I226" s="155" t="n">
        <f aca="false">CEILING(IF(Speed_Bin_CL=5,12.5/$A$223,15/$A$223),1)</f>
        <v>6</v>
      </c>
      <c r="J226" s="53" t="n">
        <f aca="false">IF('Step1-System Details'!$E$37=8,MAX(3,CEILING((21/$A$223),1)),MAX(3,CEILING((18/$A$223),1)))</f>
        <v>9</v>
      </c>
      <c r="K226" s="53" t="n">
        <f aca="false">IF('Step1-System Details'!$E$37=8,MAX(3,CEILING((21/$A$223),1)),MAX(3,CEILING((18/$A$223),1)))</f>
        <v>9</v>
      </c>
      <c r="L226" s="53" t="n">
        <f aca="false">IF('Step1-System Details'!$E$37=8,MAX(3,CEILING((21/$A$223),1)),MAX(3,CEILING((18/$A$223),1)))</f>
        <v>9</v>
      </c>
      <c r="M226" s="53" t="n">
        <f aca="false">IF('Step1-System Details'!$E$37=8,MAX(3,CEILING((21/$A$223),1)),MAX(3,CEILING((18/$A$223),1)))</f>
        <v>9</v>
      </c>
      <c r="N226" s="53" t="n">
        <f aca="false">IF('Step1-System Details'!$E$37=8,MAX(3,CEILING((21/$A$223),1)),MAX(3,CEILING((18/$A$223),1)))</f>
        <v>9</v>
      </c>
    </row>
    <row r="227" customFormat="false" ht="12.5" hidden="false" customHeight="false" outlineLevel="0" collapsed="false">
      <c r="C227" s="53" t="s">
        <v>144</v>
      </c>
      <c r="D227" s="152" t="n">
        <f aca="false">CEILING(IF(Speed_Bin_CL=11,10.285/$A$223,IF(Speed_Bin_CL=12,11.22/$A$223,IF(Speed_Bin_CL=13,12.155/$A$223,13.09/$A$223))),1)</f>
        <v>6</v>
      </c>
      <c r="E227" s="152" t="n">
        <f aca="false">CEILING(IF(Speed_Bin_CL=10,10.7/$A$223,IF(Speed_Bin_CL=11,11.77/$A$223,IF(Speed_Bin_CL=12,12.84/$A$223,13.91/$A$223))),1)</f>
        <v>6</v>
      </c>
      <c r="F227" s="152" t="n">
        <f aca="false">CEILING(IF(Speed_Bin_CL=8,10/$A$223,IF(Speed_Bin_CL=9,11.25/$A$223,IF(Speed_Bin_CL=10,12.5/$A$223,13.75/$A$223))),1)</f>
        <v>6</v>
      </c>
      <c r="G227" s="152" t="n">
        <f aca="false">CEILING(IF(Speed_Bin_CL=7,10.5/$A$223,IF(Speed_Bin_CL=8,12/$A$223,IF(Speed_Bin_CL=9,13.5/$A$223,15/$A$223))),1)</f>
        <v>6</v>
      </c>
      <c r="H227" s="152" t="n">
        <f aca="false">CEILING(IF(Speed_Bin_CL=6,11.25/$A$223,IF(Speed_Bin_CL=7,13.125/$A$223,15/$A$223)),1)</f>
        <v>5</v>
      </c>
      <c r="I227" s="155" t="n">
        <f aca="false">CEILING(IF(Speed_Bin_CL=5,12.5/$A$223,15/$A$223),1)</f>
        <v>6</v>
      </c>
      <c r="J227" s="53" t="n">
        <f aca="false">MAX(3,CEILING((18/$A$223),1))</f>
        <v>8</v>
      </c>
      <c r="K227" s="53" t="n">
        <f aca="false">MAX(3,CEILING((18/$A$223),1))</f>
        <v>8</v>
      </c>
      <c r="L227" s="53" t="n">
        <f aca="false">MAX(3,CEILING((18/$A$223),1))</f>
        <v>8</v>
      </c>
      <c r="M227" s="53" t="n">
        <f aca="false">MAX(3,CEILING((18/$A$223),1))</f>
        <v>8</v>
      </c>
      <c r="N227" s="53" t="n">
        <f aca="false">MAX(3,CEILING((18/$A$223),1))</f>
        <v>8</v>
      </c>
    </row>
    <row r="228" customFormat="false" ht="12.5" hidden="false" customHeight="false" outlineLevel="0" collapsed="false">
      <c r="C228" s="53" t="s">
        <v>146</v>
      </c>
      <c r="D228" s="152" t="n">
        <f aca="false">CEILING(((15/$A$223)),1)</f>
        <v>6</v>
      </c>
      <c r="E228" s="152" t="n">
        <f aca="false">CEILING(((15/$A$223)),1)</f>
        <v>6</v>
      </c>
      <c r="F228" s="152" t="n">
        <f aca="false">CEILING(15/$A$223,1)</f>
        <v>6</v>
      </c>
      <c r="G228" s="152" t="n">
        <f aca="false">CEILING(15/$A$223,1)</f>
        <v>6</v>
      </c>
      <c r="H228" s="152" t="n">
        <f aca="false">CEILING(15/$A$223,1)</f>
        <v>6</v>
      </c>
      <c r="I228" s="155" t="n">
        <f aca="false">CEILING(15/$A$223,1)</f>
        <v>6</v>
      </c>
      <c r="J228" s="53" t="n">
        <f aca="false">MAX(3,CEILING((15/$A$223),1))</f>
        <v>6</v>
      </c>
      <c r="K228" s="53" t="n">
        <f aca="false">MAX(3,CEILING((15/$A$223),1))</f>
        <v>6</v>
      </c>
      <c r="L228" s="53" t="n">
        <f aca="false">MAX(3,CEILING((15/$A$223),1))</f>
        <v>6</v>
      </c>
      <c r="M228" s="53" t="n">
        <f aca="false">MAX(3,CEILING((15/$A$223),1))</f>
        <v>6</v>
      </c>
      <c r="N228" s="53" t="n">
        <f aca="false">MAX(3,CEILING((15/$A$223),1))</f>
        <v>6</v>
      </c>
    </row>
    <row r="229" customFormat="false" ht="12.5" hidden="false" customHeight="false" outlineLevel="0" collapsed="false">
      <c r="C229" s="53" t="s">
        <v>148</v>
      </c>
      <c r="D229" s="152" t="n">
        <f aca="false">CEILING(((33/A223)),1)</f>
        <v>14</v>
      </c>
      <c r="E229" s="152" t="n">
        <f aca="false">CEILING(((34/$A$223)),1)</f>
        <v>14</v>
      </c>
      <c r="F229" s="152" t="n">
        <f aca="false">CEILING(35/$A$223,1)</f>
        <v>14</v>
      </c>
      <c r="G229" s="152" t="n">
        <f aca="false">CEILING(36/$A$223,1)</f>
        <v>15</v>
      </c>
      <c r="H229" s="152" t="n">
        <f aca="false">CEILING(((37.5/$A$223)),1)</f>
        <v>15</v>
      </c>
      <c r="I229" s="155" t="n">
        <f aca="false">CEILING(37.5/$A$223,1)</f>
        <v>15</v>
      </c>
      <c r="J229" s="53" t="n">
        <f aca="false">MAX(3,CEILING((42/$A$223),1))</f>
        <v>17</v>
      </c>
      <c r="K229" s="53" t="n">
        <f aca="false">MAX(3,CEILING((42/$A$223),1))</f>
        <v>17</v>
      </c>
      <c r="L229" s="53" t="n">
        <f aca="false">MAX(3,CEILING((42/$A$223),1))</f>
        <v>17</v>
      </c>
      <c r="M229" s="53" t="n">
        <f aca="false">MAX(3,CEILING((42/$A$223),1))</f>
        <v>17</v>
      </c>
      <c r="N229" s="53" t="n">
        <f aca="false">MAX(3,CEILING((42/$A$223),1))</f>
        <v>17</v>
      </c>
    </row>
    <row r="230" customFormat="false" ht="12.5" hidden="false" customHeight="false" outlineLevel="0" collapsed="false">
      <c r="C230" s="53" t="s">
        <v>150</v>
      </c>
      <c r="D230" s="152" t="n">
        <f aca="false">CEILING(IF(Speed_Bin_CL=11,43.285/$A$223,IF(Speed_Bin_CL=12,44.22/$A$223,IF(Speed_Bin_CL=13,45.155/$A$223,46.09/$A$223))),1)</f>
        <v>19</v>
      </c>
      <c r="E230" s="152" t="n">
        <f aca="false">CEILING(IF(Speed_Bin_CL=10,44.7/$A$223,IF(Speed_Bin_CL=11,45.77/$A$223,IF(Speed_Bin_CL=12,46.84/$A$223,47.91/$A$223))),1)</f>
        <v>20</v>
      </c>
      <c r="F230" s="152" t="n">
        <f aca="false">CEILING(IF(Speed_Bin_CL=8,45/$A$223,IF(Speed_Bin_CL=9,46.25/$A$223,IF(Speed_Bin_CL=10,47.5/$A$223,48.75/$A$223))),1)</f>
        <v>20</v>
      </c>
      <c r="G230" s="152" t="n">
        <f aca="false">CEILING(IF(Speed_Bin_CL=7,46.5/$A$223,IF(Speed_Bin_CL=8,48/$A$223,IF(Speed_Bin_CL=9,49.5/$A$223,51/$A$223))),1)</f>
        <v>21</v>
      </c>
      <c r="H230" s="152" t="n">
        <f aca="false">CEILING(IF(Speed_Bin_CL=6,48.75/$A$223,IF(Speed_Bin_CL=7,50.625/$A$223,52.5/$A$223)),1)</f>
        <v>20</v>
      </c>
      <c r="I230" s="155" t="n">
        <f aca="false">CEILING(IF(Speed_Bin_CL=5,50/$A$223,52.5/$A$223),1)</f>
        <v>21</v>
      </c>
      <c r="J230" s="53" t="n">
        <f aca="false">CEILING(SUM(IF('Step1-System Details'!$E$37=8,MAX(3,CEILING(21,1)),MAX(3,CEILING(18,1))),MAX(3,CEILING(42,1)))/$A$223,1)</f>
        <v>26</v>
      </c>
      <c r="K230" s="53" t="n">
        <f aca="false">CEILING(SUM(IF('Step1-System Details'!$E$37=8,MAX(3,CEILING(21,1)),MAX(3,CEILING(18,1))),MAX(3,CEILING(42,1)))/$A$223,1)</f>
        <v>26</v>
      </c>
      <c r="L230" s="53" t="n">
        <f aca="false">CEILING(SUM(IF('Step1-System Details'!$E$37=8,MAX(3,CEILING(21,1)),MAX(3,CEILING(18,1))),MAX(3,CEILING(42,1)))/$A$223,1)</f>
        <v>26</v>
      </c>
      <c r="M230" s="53" t="n">
        <f aca="false">CEILING(SUM(IF('Step1-System Details'!$E$37=8,MAX(3,CEILING(21,1)),MAX(3,CEILING(18,1))),MAX(3,CEILING(42,1)))/$A$223,1)</f>
        <v>26</v>
      </c>
      <c r="N230" s="53" t="n">
        <f aca="false">CEILING(SUM(IF('Step1-System Details'!$E$37=8,MAX(3,CEILING(21,1)),MAX(3,CEILING(18,1))),MAX(3,CEILING(42,1)))/$A$223,1)</f>
        <v>26</v>
      </c>
    </row>
    <row r="231" customFormat="false" ht="12.5" hidden="false" customHeight="false" outlineLevel="0" collapsed="false">
      <c r="C231" s="153" t="s">
        <v>152</v>
      </c>
      <c r="D231" s="152" t="n">
        <f aca="false">CEILING(IF(2^'Step1-System Details'!E36*'Step1-System Details'!E39/8=2048,35,25)/A223,1)</f>
        <v>14</v>
      </c>
      <c r="E231" s="152" t="n">
        <f aca="false">CEILING(IF(2^'Step1-System Details'!$E$36*'Step1-System Details'!$E$39/8=2048,35,27)/A223,1)</f>
        <v>14</v>
      </c>
      <c r="F231" s="152" t="n">
        <f aca="false">CEILING(IF(2^'Step1-System Details'!$E$36*'Step1-System Details'!$E$39/8=2048,40,30)/A223,1)</f>
        <v>16</v>
      </c>
      <c r="G231" s="152" t="n">
        <f aca="false">CEILING(IF(2^'Step1-System Details'!$E$36*'Step1-System Details'!$E$39/8=2048,45,30)/A223,1)</f>
        <v>18</v>
      </c>
      <c r="H231" s="152" t="n">
        <f aca="false">CEILING(IF(2^'Step1-System Details'!$E$36*'Step1-System Details'!$E$39/8=2048,50,37.5)/A223,1)</f>
        <v>20</v>
      </c>
      <c r="I231" s="155" t="n">
        <f aca="false">CEILING(IF(2^'Step1-System Details'!$E$36*'Step1-System Details'!$E$39/8=2048,50,40)/A223,1)</f>
        <v>20</v>
      </c>
      <c r="J231" s="53" t="n">
        <f aca="false">CEILING(MAX(50,8*$A$223)/$A$223,1)</f>
        <v>20</v>
      </c>
      <c r="K231" s="53" t="n">
        <f aca="false">CEILING(MAX(50,8*$A$223)/$A$223,1)</f>
        <v>20</v>
      </c>
      <c r="L231" s="53" t="n">
        <f aca="false">CEILING(MAX(50,8*$A$223)/$A$223,1)</f>
        <v>20</v>
      </c>
      <c r="M231" s="53" t="n">
        <f aca="false">CEILING(MAX(50,8*$A$223)/$A$223,1)</f>
        <v>20</v>
      </c>
      <c r="N231" s="53" t="n">
        <f aca="false">CEILING(MAX(50,8*$A$223)/$A$223,1)</f>
        <v>20</v>
      </c>
    </row>
    <row r="232" customFormat="false" ht="12.5" hidden="false" customHeight="false" outlineLevel="0" collapsed="false">
      <c r="C232" s="53" t="s">
        <v>154</v>
      </c>
      <c r="D232" s="152" t="n">
        <f aca="false">CEILING(D231/4,1)</f>
        <v>4</v>
      </c>
      <c r="E232" s="152" t="n">
        <f aca="false">CEILING(E231/4,1)</f>
        <v>4</v>
      </c>
      <c r="F232" s="152" t="n">
        <f aca="false">CEILING(F231/4,1)</f>
        <v>4</v>
      </c>
      <c r="G232" s="152" t="n">
        <f aca="false">CEILING(G231/4,1)</f>
        <v>5</v>
      </c>
      <c r="H232" s="152" t="n">
        <f aca="false">CEILING(H231/4,1)</f>
        <v>5</v>
      </c>
      <c r="I232" s="155" t="n">
        <f aca="false">CEILING(I231/4,1)</f>
        <v>5</v>
      </c>
      <c r="J232" s="53" t="n">
        <f aca="false">CEILING(MAX(10,2*$A$223)/$A$223,1)</f>
        <v>4</v>
      </c>
      <c r="K232" s="53" t="n">
        <f aca="false">CEILING(MAX(10,2*$A$223)/$A$223,1)</f>
        <v>4</v>
      </c>
      <c r="L232" s="53" t="n">
        <f aca="false">CEILING(MAX(10,2*$A$223)/$A$223,1)</f>
        <v>4</v>
      </c>
      <c r="M232" s="53" t="n">
        <f aca="false">CEILING(MAX(10,2*$A$223)/$A$223,1)</f>
        <v>4</v>
      </c>
      <c r="N232" s="53" t="n">
        <f aca="false">CEILING(MAX(10,2*$A$223)/$A$223,1)</f>
        <v>4</v>
      </c>
    </row>
    <row r="233" customFormat="false" ht="12.5" hidden="false" customHeight="false" outlineLevel="0" collapsed="false">
      <c r="C233" s="53" t="s">
        <v>156</v>
      </c>
      <c r="D233" s="152" t="n">
        <f aca="false">CEILING(((MAX(4*A223,7.5)/A223)),1)</f>
        <v>4</v>
      </c>
      <c r="E233" s="152" t="n">
        <f aca="false">CEILING(((MAX(4*A223,7.5)/A223)),1)</f>
        <v>4</v>
      </c>
      <c r="F233" s="152" t="n">
        <f aca="false">CEILING(((MAX(4*A223,7.5)/A223)),1)</f>
        <v>4</v>
      </c>
      <c r="G233" s="152" t="n">
        <f aca="false">CEILING(((MAX(4*A223,7.5)/A223)),1)</f>
        <v>4</v>
      </c>
      <c r="H233" s="152" t="n">
        <f aca="false">CEILING(((MAX(4*A223,7.5)/A223)),1)</f>
        <v>4</v>
      </c>
      <c r="I233" s="155" t="n">
        <f aca="false">CEILING(((MAX(4*A223,7.5)/A223)),1)</f>
        <v>4</v>
      </c>
      <c r="J233" s="53" t="n">
        <f aca="false">MAX(2,CEILING((7.5/$A$223),1))</f>
        <v>3</v>
      </c>
      <c r="K233" s="53" t="n">
        <f aca="false">MAX(2,CEILING((7.5/$A$223),1))</f>
        <v>3</v>
      </c>
      <c r="L233" s="53" t="n">
        <f aca="false">MAX(2,CEILING((7.5/$A$223),1))</f>
        <v>3</v>
      </c>
      <c r="M233" s="53" t="n">
        <f aca="false">MAX(2,CEILING((7.5/$A$223),1))</f>
        <v>3</v>
      </c>
      <c r="N233" s="53" t="n">
        <f aca="false">MAX(2,CEILING((7.5/$A$223),1))</f>
        <v>3</v>
      </c>
    </row>
    <row r="234" customFormat="false" ht="12.5" hidden="false" customHeight="false" outlineLevel="0" collapsed="false">
      <c r="C234" s="53" t="s">
        <v>158</v>
      </c>
      <c r="D234" s="152" t="n">
        <f aca="false">CEILING(((MAX(3*A223,6)/A223)),1)</f>
        <v>3</v>
      </c>
      <c r="E234" s="152" t="n">
        <f aca="false">CEILING(((MAX(3*A223,6)/A223)),1)</f>
        <v>3</v>
      </c>
      <c r="F234" s="152" t="n">
        <f aca="false">CEILING(((MAX(3*A223,6)/A223)),1)</f>
        <v>3</v>
      </c>
      <c r="G234" s="152" t="n">
        <f aca="false">CEILING(((MAX(3*A223,6)/A223)),1)</f>
        <v>3</v>
      </c>
      <c r="H234" s="152" t="n">
        <f aca="false">CEILING(((MAX(3*A223,7.5)/A223)),1)</f>
        <v>3</v>
      </c>
      <c r="I234" s="155" t="n">
        <f aca="false">CEILING(((MAX(3*A223,7.5)/A223)),1)</f>
        <v>3</v>
      </c>
      <c r="J234" s="53" t="n">
        <f aca="false">MAX(2,CEILING((7.5/$A$223),1))</f>
        <v>3</v>
      </c>
      <c r="K234" s="53" t="n">
        <f aca="false">MAX(2,CEILING((7.5/$A$223),1))</f>
        <v>3</v>
      </c>
      <c r="L234" s="53" t="n">
        <f aca="false">MAX(2,CEILING((7.5/$A$223),1))</f>
        <v>3</v>
      </c>
      <c r="M234" s="53" t="n">
        <f aca="false">MAX(2,CEILING((7.5/$A$223),1))</f>
        <v>3</v>
      </c>
      <c r="N234" s="53" t="n">
        <f aca="false">MAX(2,CEILING((7.5/$A$223),1))</f>
        <v>3</v>
      </c>
    </row>
    <row r="235" customFormat="false" ht="12.5" hidden="false" customHeight="false" outlineLevel="0" collapsed="false">
      <c r="C235" s="53" t="s">
        <v>160</v>
      </c>
      <c r="D235" s="152"/>
      <c r="E235" s="152"/>
      <c r="F235" s="152"/>
      <c r="G235" s="152"/>
      <c r="H235" s="152"/>
      <c r="I235" s="155"/>
    </row>
    <row r="236" customFormat="false" ht="12.5" hidden="false" customHeight="false" outlineLevel="0" collapsed="false">
      <c r="C236" s="53" t="s">
        <v>162</v>
      </c>
      <c r="D236" s="152" t="n">
        <f aca="false">MAX(5,CEILING((IF('Step1-System Details'!$E$34=0.5,"90",IF('Step1-System Details'!$E$34=1,"110",IF('Step1-System Details'!$E$34=2,"160",IF('Step1-System Details'!$E$34=4,"260","350"))))+10)/$A$223,1))</f>
        <v>108</v>
      </c>
      <c r="E236" s="152" t="n">
        <f aca="false">MAX(5,CEILING((IF('Step1-System Details'!$E$34=0.5,"90",IF('Step1-System Details'!$E$34=1,"110",IF('Step1-System Details'!$E$34=2,"160",IF('Step1-System Details'!$E$34=4,"260","350"))))+10)/$A$223,1))</f>
        <v>108</v>
      </c>
      <c r="F236" s="152" t="n">
        <f aca="false">MAX(5,CEILING((IF('Step1-System Details'!$E$34=0.5,"90",IF('Step1-System Details'!$E$34=1,"110",IF('Step1-System Details'!$E$34=2,"160",IF('Step1-System Details'!$E$34=4,"260","350"))))+10)/$A$223,1))</f>
        <v>108</v>
      </c>
      <c r="G236" s="152" t="n">
        <f aca="false">MAX(5,CEILING((IF('Step1-System Details'!$E$34=0.5,"90",IF('Step1-System Details'!$E$34=1,"110",IF('Step1-System Details'!$E$34=2,"160",IF('Step1-System Details'!$E$34=4,"260","350"))))+10)/$A$223,1))</f>
        <v>108</v>
      </c>
      <c r="H236" s="152" t="n">
        <f aca="false">MAX(5,CEILING((IF('Step1-System Details'!$E$34=0.5,"90",IF('Step1-System Details'!$E$34=1,"110",IF('Step1-System Details'!$E$34=2,"160",IF('Step1-System Details'!$E$34=4,"260","350"))))+10)/$A$223,1))</f>
        <v>108</v>
      </c>
      <c r="I236" s="155" t="n">
        <f aca="false">MAX(5,CEILING((IF('Step1-System Details'!$E$34=0.5,"90",IF('Step1-System Details'!$E$34=1,"110",IF('Step1-System Details'!$E$34=2,"160",IF('Step1-System Details'!$E$34=4,"260","350"))))+10)/$A$223,1))</f>
        <v>108</v>
      </c>
      <c r="J236" s="53" t="n">
        <f aca="false">CEILING(((IF('Step1-System Details'!E34&lt;=0.5,90+10,IF('Step1-System Details'!E34=1,130+10,IF('Step1-System Details'!E34=2,130+10,IF('Step1-System Details'!E34=4,130+10,210+10))))/A223)),1)</f>
        <v>56</v>
      </c>
      <c r="K236" s="53" t="n">
        <f aca="false">CEILING(((IF('Step1-System Details'!E34&lt;=0.5,90+10,IF('Step1-System Details'!E34=1,130+10,IF('Step1-System Details'!E34=2,130+10,IF('Step1-System Details'!E34=4,130+10,210+10))))/A223)),1)</f>
        <v>56</v>
      </c>
      <c r="L236" s="53" t="n">
        <f aca="false">CEILING(((IF('Step1-System Details'!E34&lt;=0.5,90+10,IF('Step1-System Details'!E34=1,130+10,IF('Step1-System Details'!E34=2,130+10,IF('Step1-System Details'!E34=4,130+10,210+10))))/A223)),1)</f>
        <v>56</v>
      </c>
      <c r="M236" s="53" t="n">
        <f aca="false">CEILING(((IF('Step1-System Details'!E34&lt;=0.5,90+10,IF('Step1-System Details'!E34=1,130+10,IF('Step1-System Details'!E34=2,130+10,IF('Step1-System Details'!E34=4,130+10,210+10))))/A223)),1)</f>
        <v>56</v>
      </c>
      <c r="N236" s="53" t="n">
        <f aca="false">CEILING(((IF('Step1-System Details'!E34&lt;=0.5,90+10,IF('Step1-System Details'!E34=1,130+10,IF('Step1-System Details'!E34=2,130+10,IF('Step1-System Details'!E34=4,130+10,210+10))))/A223)),1)</f>
        <v>56</v>
      </c>
    </row>
    <row r="237" customFormat="false" ht="12.5" hidden="false" customHeight="false" outlineLevel="0" collapsed="false">
      <c r="C237" s="53" t="s">
        <v>164</v>
      </c>
      <c r="D237" s="152" t="n">
        <f aca="false">512</f>
        <v>512</v>
      </c>
      <c r="E237" s="152" t="n">
        <f aca="false">512</f>
        <v>512</v>
      </c>
      <c r="F237" s="152" t="n">
        <f aca="false">512</f>
        <v>512</v>
      </c>
      <c r="G237" s="152" t="n">
        <f aca="false">512</f>
        <v>512</v>
      </c>
      <c r="H237" s="152" t="n">
        <f aca="false">512</f>
        <v>512</v>
      </c>
      <c r="I237" s="155" t="n">
        <f aca="false">512</f>
        <v>512</v>
      </c>
    </row>
    <row r="238" customFormat="false" ht="12.5" hidden="false" customHeight="false" outlineLevel="0" collapsed="false">
      <c r="C238" s="53" t="s">
        <v>166</v>
      </c>
      <c r="D238" s="152" t="n">
        <f aca="false">CEILING(((MAX(4*A223,7.5)/A223)),1)</f>
        <v>4</v>
      </c>
      <c r="E238" s="152" t="n">
        <f aca="false">CEILING(((MAX(4*A223,7.5)/A223)),1)</f>
        <v>4</v>
      </c>
      <c r="F238" s="152" t="n">
        <f aca="false">CEILING(((MAX(4*A223,7.5)/A223)),1)</f>
        <v>4</v>
      </c>
      <c r="G238" s="152" t="n">
        <f aca="false">CEILING(((MAX(4*A223,7.5)/A223)),1)</f>
        <v>4</v>
      </c>
      <c r="H238" s="152" t="n">
        <f aca="false">CEILING(((MAX(4*A223,7.5)/A223)),1)</f>
        <v>4</v>
      </c>
      <c r="I238" s="155" t="n">
        <f aca="false">CEILING(((MAX(4*A223,7.5)/A223)),1)</f>
        <v>4</v>
      </c>
      <c r="J238" s="53" t="n">
        <f aca="false">MAX(2,CEILING((7.5/$A$223),1))</f>
        <v>3</v>
      </c>
      <c r="K238" s="53" t="n">
        <f aca="false">MAX(2,CEILING((7.5/$A$223),1))</f>
        <v>3</v>
      </c>
      <c r="L238" s="53" t="n">
        <f aca="false">MAX(2,CEILING((7.5/$A$223),1))</f>
        <v>3</v>
      </c>
      <c r="M238" s="53" t="n">
        <f aca="false">MAX(2,CEILING((7.5/$A$223),1))</f>
        <v>3</v>
      </c>
      <c r="N238" s="53" t="n">
        <f aca="false">MAX(2,CEILING((7.5/$A$223),1))</f>
        <v>3</v>
      </c>
    </row>
    <row r="239" customFormat="false" ht="12.5" hidden="false" customHeight="false" outlineLevel="0" collapsed="false">
      <c r="C239" s="53" t="s">
        <v>168</v>
      </c>
      <c r="D239" s="152" t="n">
        <f aca="false">CEILING(((MAX(3*A223,5)/A223)),1)</f>
        <v>3</v>
      </c>
      <c r="E239" s="152" t="n">
        <f aca="false">CEILING(((MAX(3*A223,5)/A223)),1)</f>
        <v>3</v>
      </c>
      <c r="F239" s="152" t="n">
        <f aca="false">CEILING(((MAX(3*A223,5)/A223)),1)</f>
        <v>3</v>
      </c>
      <c r="G239" s="152" t="n">
        <f aca="false">CEILING(((MAX(3*A223,5.625)/A223)),1)</f>
        <v>3</v>
      </c>
      <c r="H239" s="152" t="n">
        <f aca="false">CEILING(((MAX(3*A223,5.625)/A223)),1)</f>
        <v>3</v>
      </c>
      <c r="I239" s="155" t="n">
        <f aca="false">CEILING(((MAX(3*A223,7.5)/A223)),1)</f>
        <v>3</v>
      </c>
      <c r="J239" s="53" t="n">
        <v>3</v>
      </c>
      <c r="K239" s="53" t="n">
        <v>3</v>
      </c>
      <c r="L239" s="53" t="n">
        <v>3</v>
      </c>
      <c r="M239" s="53" t="n">
        <v>3</v>
      </c>
      <c r="N239" s="53" t="n">
        <v>3</v>
      </c>
    </row>
    <row r="240" customFormat="false" ht="12.5" hidden="false" customHeight="false" outlineLevel="0" collapsed="false">
      <c r="C240" s="53" t="s">
        <v>170</v>
      </c>
      <c r="D240" s="152"/>
      <c r="E240" s="152"/>
      <c r="F240" s="152"/>
      <c r="G240" s="152"/>
      <c r="H240" s="152"/>
      <c r="I240" s="155"/>
    </row>
    <row r="241" customFormat="false" ht="12.5" hidden="false" customHeight="false" outlineLevel="0" collapsed="false">
      <c r="C241" s="53" t="s">
        <v>171</v>
      </c>
      <c r="D241" s="152"/>
      <c r="E241" s="152"/>
      <c r="F241" s="152"/>
      <c r="G241" s="152"/>
      <c r="H241" s="152"/>
      <c r="I241" s="155"/>
    </row>
    <row r="242" customFormat="false" ht="12.5" hidden="false" customHeight="false" outlineLevel="0" collapsed="false">
      <c r="C242" s="53" t="s">
        <v>173</v>
      </c>
      <c r="D242" s="152" t="n">
        <f aca="false">D239+1</f>
        <v>4</v>
      </c>
      <c r="E242" s="152" t="n">
        <f aca="false">E239+1</f>
        <v>4</v>
      </c>
      <c r="F242" s="152" t="n">
        <f aca="false">F239+1</f>
        <v>4</v>
      </c>
      <c r="G242" s="152" t="n">
        <f aca="false">G239+1</f>
        <v>4</v>
      </c>
      <c r="H242" s="152" t="n">
        <f aca="false">H239+1</f>
        <v>4</v>
      </c>
      <c r="I242" s="155" t="n">
        <f aca="false">I239+1</f>
        <v>4</v>
      </c>
      <c r="J242" s="53" t="n">
        <f aca="false">MAX(3,CEILING((15/$A$223),1))</f>
        <v>6</v>
      </c>
      <c r="K242" s="53" t="n">
        <f aca="false">MAX(3,CEILING((15/$A$223),1))</f>
        <v>6</v>
      </c>
      <c r="L242" s="53" t="n">
        <f aca="false">MAX(3,CEILING((15/$A$223),1))</f>
        <v>6</v>
      </c>
      <c r="M242" s="53" t="n">
        <f aca="false">MAX(3,CEILING((15/$A$223),1))</f>
        <v>6</v>
      </c>
      <c r="N242" s="53" t="n">
        <f aca="false">MAX(3,CEILING((15/$A$223),1))</f>
        <v>6</v>
      </c>
    </row>
    <row r="243" customFormat="false" ht="12.5" hidden="false" customHeight="false" outlineLevel="0" collapsed="false">
      <c r="C243" s="53" t="s">
        <v>175</v>
      </c>
      <c r="D243" s="152" t="n">
        <f aca="false">CEILING(((MAX(64*A223,80)/A223)),1)</f>
        <v>64</v>
      </c>
      <c r="E243" s="152" t="n">
        <f aca="false">CEILING(((MAX(64*A223,80)/A223)),1)</f>
        <v>64</v>
      </c>
      <c r="F243" s="152" t="n">
        <f aca="false">CEILING(((MAX(64*A223,80)/A223)),1)</f>
        <v>64</v>
      </c>
      <c r="G243" s="152" t="n">
        <f aca="false">CEILING(((MAX(64*A223,80)/A223)),1)</f>
        <v>64</v>
      </c>
      <c r="H243" s="152" t="n">
        <f aca="false">CEILING(((MAX(64*A223,80)/A223)),1)</f>
        <v>64</v>
      </c>
      <c r="I243" s="155" t="n">
        <f aca="false">CEILING(((MAX(64*A223,80)/A223)),1)</f>
        <v>64</v>
      </c>
      <c r="J243" s="53" t="n">
        <f aca="false">CEILING(((90/A223)),1)</f>
        <v>36</v>
      </c>
      <c r="K243" s="53" t="n">
        <f aca="false">CEILING(((90/A223)),1)</f>
        <v>36</v>
      </c>
      <c r="L243" s="53" t="n">
        <f aca="false">CEILING(((90/A223)),1)</f>
        <v>36</v>
      </c>
      <c r="M243" s="53" t="n">
        <f aca="false">CEILING(((90/A223)),1)</f>
        <v>36</v>
      </c>
      <c r="N243" s="53" t="n">
        <f aca="false">CEILING(((90/A223)),1)</f>
        <v>36</v>
      </c>
    </row>
    <row r="244" customFormat="false" ht="12.5" hidden="false" customHeight="false" outlineLevel="0" collapsed="false">
      <c r="C244" s="53" t="s">
        <v>177</v>
      </c>
      <c r="D244" s="152"/>
      <c r="E244" s="152"/>
      <c r="F244" s="152"/>
      <c r="G244" s="152"/>
      <c r="H244" s="152"/>
      <c r="I244" s="155"/>
    </row>
    <row r="245" customFormat="false" ht="12.5" hidden="false" customHeight="false" outlineLevel="0" collapsed="false">
      <c r="C245" s="53" t="s">
        <v>179</v>
      </c>
      <c r="D245" s="152" t="n">
        <f aca="false">CEILING(((IF('Step1-System Details'!E34=0.5,"90",IF('Step1-System Details'!E34=1,"110",IF('Step1-System Details'!E34=2,"160",IF('Step1-System Details'!E34=4,"260","350"))))/A223)),1)</f>
        <v>104</v>
      </c>
      <c r="E245" s="152" t="n">
        <f aca="false">CEILING(((IF('Step1-System Details'!E34=0.5,"90",IF('Step1-System Details'!E34=1,"110",IF('Step1-System Details'!E34=2,"160",IF('Step1-System Details'!E34=4,"260","350"))))/A223)),1)</f>
        <v>104</v>
      </c>
      <c r="F245" s="152" t="n">
        <f aca="false">CEILING(((IF('Step1-System Details'!E34=0.5,"90",IF('Step1-System Details'!E34=1,"110",IF('Step1-System Details'!E34=2,"160",IF('Step1-System Details'!E34=4,"260","350"))))/A223)),1)</f>
        <v>104</v>
      </c>
      <c r="G245" s="152" t="n">
        <f aca="false">CEILING(((IF('Step1-System Details'!E34=0.5,"90",IF('Step1-System Details'!E34=1,"110",IF('Step1-System Details'!E34=2,"160",IF('Step1-System Details'!E34=4,"260","350"))))/A223)),1)</f>
        <v>104</v>
      </c>
      <c r="H245" s="152" t="n">
        <f aca="false">CEILING(((IF('Step1-System Details'!E34=0.5,"90",IF('Step1-System Details'!E34=1,"110",IF('Step1-System Details'!E34=2,"160",IF('Step1-System Details'!E34=4,"260","350"))))/A223)),1)</f>
        <v>104</v>
      </c>
      <c r="I245" s="155" t="n">
        <f aca="false">CEILING(((IF('Step1-System Details'!E34=0.5,"90",IF('Step1-System Details'!E34=1,"110",IF('Step1-System Details'!E34=2,"160",IF('Step1-System Details'!E34=4,"260","350"))))/A223)),1)</f>
        <v>104</v>
      </c>
      <c r="J245" s="53" t="n">
        <f aca="false">CEILING(((IF('Step1-System Details'!E34&lt;=0.5,"90",IF('Step1-System Details'!E34=1,"130",IF('Step1-System Details'!E34=2,"130",IF('Step1-System Details'!E34=4,"130","210"))))/A223)),1)</f>
        <v>52</v>
      </c>
      <c r="K245" s="53" t="n">
        <f aca="false">CEILING(((IF('Step1-System Details'!E34&lt;=0.5,"90",IF('Step1-System Details'!E34=1,"130",IF('Step1-System Details'!E34=2,"130",IF('Step1-System Details'!E34=4,"130","210"))))/A223)),1)</f>
        <v>52</v>
      </c>
      <c r="L245" s="53" t="n">
        <f aca="false">CEILING(((IF('Step1-System Details'!E34&lt;=0.5,"90",IF('Step1-System Details'!E34=1,"130",IF('Step1-System Details'!E34=2,"130",IF('Step1-System Details'!E34=4,"130","210"))))/A223)),1)</f>
        <v>52</v>
      </c>
      <c r="M245" s="53" t="n">
        <f aca="false">CEILING(((IF('Step1-System Details'!E34&lt;=0.5,"90",IF('Step1-System Details'!E34=1,"130",IF('Step1-System Details'!E34=2,"130",IF('Step1-System Details'!E34=4,"130","210"))))/A223)),1)</f>
        <v>52</v>
      </c>
      <c r="N245" s="53" t="n">
        <f aca="false">CEILING(((IF('Step1-System Details'!E34&lt;=0.5,"90",IF('Step1-System Details'!E34=1,"130",IF('Step1-System Details'!E34=2,"130",IF('Step1-System Details'!E34=4,"130","210"))))/A223)),1)</f>
        <v>52</v>
      </c>
    </row>
    <row r="246" customFormat="false" ht="12.5" hidden="false" customHeight="false" outlineLevel="0" collapsed="false">
      <c r="C246" s="53" t="s">
        <v>181</v>
      </c>
      <c r="D246" s="152" t="n">
        <f aca="false">FLOOR((9*'Step1-System Details'!E40)/('Step1-System Details'!E40),1)</f>
        <v>9</v>
      </c>
      <c r="E246" s="152" t="n">
        <f aca="false">FLOOR((9*'Step1-System Details'!E40)/('Step1-System Details'!E40),1)</f>
        <v>9</v>
      </c>
      <c r="F246" s="152" t="n">
        <f aca="false">FLOOR((9*'Step1-System Details'!E40)/('Step1-System Details'!E40),1)</f>
        <v>9</v>
      </c>
      <c r="G246" s="152" t="n">
        <f aca="false">FLOOR((9*'Step1-System Details'!E40)/('Step1-System Details'!E40),1)</f>
        <v>9</v>
      </c>
      <c r="H246" s="152" t="n">
        <f aca="false">FLOOR((9*'Step1-System Details'!E40)/('Step1-System Details'!E40),1)</f>
        <v>9</v>
      </c>
      <c r="I246" s="155" t="n">
        <f aca="false">FLOOR((9*'Step1-System Details'!E40)/('Step1-System Details'!E40),1)</f>
        <v>9</v>
      </c>
      <c r="J246" s="53" t="n">
        <f aca="false">FLOOR((70000/(J247*$A$223)),1)</f>
        <v>8</v>
      </c>
      <c r="K246" s="53" t="n">
        <f aca="false">FLOOR((70000/(K247*$A$223)),1)</f>
        <v>8</v>
      </c>
      <c r="L246" s="53" t="n">
        <f aca="false">FLOOR((70000/(L247*$A$223)),1)</f>
        <v>8</v>
      </c>
      <c r="M246" s="53" t="n">
        <f aca="false">FLOOR((70000/(M247*$A$223)),1)</f>
        <v>8</v>
      </c>
      <c r="N246" s="53" t="n">
        <f aca="false">FLOOR((70000/(N247*$A$223)),1)</f>
        <v>8</v>
      </c>
    </row>
    <row r="247" customFormat="false" ht="12.5" hidden="false" customHeight="false" outlineLevel="0" collapsed="false">
      <c r="C247" s="53" t="s">
        <v>184</v>
      </c>
      <c r="D247" s="152" t="n">
        <f aca="false">FLOOR((('Step1-System Details'!E40/A223)),1)</f>
        <v>3120</v>
      </c>
      <c r="E247" s="152" t="n">
        <f aca="false">FLOOR((('Step1-System Details'!E40/A223)),1)</f>
        <v>3120</v>
      </c>
      <c r="F247" s="152" t="n">
        <f aca="false">FLOOR((('Step1-System Details'!E40/A223)),1)</f>
        <v>3120</v>
      </c>
      <c r="G247" s="152" t="n">
        <f aca="false">FLOOR((('Step1-System Details'!E40/A223)),1)</f>
        <v>3120</v>
      </c>
      <c r="H247" s="152" t="n">
        <f aca="false">FLOOR((('Step1-System Details'!E40/A223)),1)</f>
        <v>3120</v>
      </c>
      <c r="I247" s="155" t="n">
        <f aca="false">FLOOR((('Step1-System Details'!E40/A223)),1)</f>
        <v>3120</v>
      </c>
      <c r="J247" s="53" t="n">
        <f aca="false">FLOOR((('Step1-System Details'!E40/A223)),1)</f>
        <v>3120</v>
      </c>
      <c r="K247" s="53" t="n">
        <f aca="false">FLOOR((('Step1-System Details'!E40/A223)),1)</f>
        <v>3120</v>
      </c>
      <c r="L247" s="53" t="n">
        <f aca="false">FLOOR((('Step1-System Details'!E40/A223)),1)</f>
        <v>3120</v>
      </c>
      <c r="M247" s="53" t="n">
        <f aca="false">FLOOR((('Step1-System Details'!E40/A223)),1)</f>
        <v>3120</v>
      </c>
      <c r="N247" s="53" t="n">
        <f aca="false">FLOOR((('Step1-System Details'!E40/A223)),1)</f>
        <v>3120</v>
      </c>
    </row>
    <row r="248" customFormat="false" ht="12.5" hidden="false" customHeight="false" outlineLevel="0" collapsed="false">
      <c r="C248" s="153"/>
      <c r="D248" s="152"/>
      <c r="I248" s="155"/>
    </row>
    <row r="249" customFormat="false" ht="12.5" hidden="false" customHeight="false" outlineLevel="0" collapsed="false">
      <c r="I249" s="155"/>
    </row>
    <row r="252" customFormat="false" ht="12.5" hidden="false" customHeight="false" outlineLevel="0" collapsed="false">
      <c r="C252" s="53" t="str">
        <f aca="false">IF('Step1-System Details'!E17="DDR3","DDR3_CL_Min","LPDDR2_CL_Min")</f>
        <v>DDR3_CL_Min</v>
      </c>
      <c r="D252" s="155" t="str">
        <f aca="false">IF('Step1-System Details'!E17="DDR3","DDR3_CL_Max","LPDDR2_CL_Max")</f>
        <v>DDR3_CL_Max</v>
      </c>
      <c r="E252" s="53" t="str">
        <f aca="false">IF('Step1-System Details'!E17="DDR3","DDR3_CL",IF('Step1-System Details'!E33=533,"LPDDR2_533_CL",IF('Step1-System Details'!E33=667,"LPDDR2_667_CL",IF('Step1-System Details'!E33=800,"LPDDR2_800_CL",IF('Step1-System Details'!E33=933,"LPDDR2_933_CL","LPDDR2_1066_CL")))))</f>
        <v>DDR3_CL</v>
      </c>
      <c r="G252" s="53" t="n">
        <f aca="false">IF('Step1-System Details'!E17="DDR3",IF(AND('Step1-System Details'!E33=800,E27&gt;=5,E27&lt;=6),1,IF(AND('Step1-System Details'!E33=1066,E27&gt;=5,E27&lt;=6),1,IF(AND('Step1-System Details'!E33=1333,E27&gt;=5,E27&lt;=6),1,IF(AND('Step1-System Details'!E33=1600,E27&gt;=5,E27&lt;=6),1,IF(AND('Step1-System Details'!E33=1866,E27&gt;=5,E27&lt;=6),1,IF(AND('Step1-System Details'!E33=2133,E27&gt;=5,E27&lt;=6),1,0)))))),IF(AND('Step1-System Details'!E33=533,E27=4),1,IF(AND('Step1-System Details'!E33=667,E27=5),1,IF(AND('Step1-System Details'!E33=800,E27=6),1,IF(AND('Step1-System Details'!E33=933,E27=7),1,IF(AND('Step1-System Details'!E33=1066,E27=8),1,0))))))</f>
        <v>1</v>
      </c>
      <c r="H252" s="213" t="s">
        <v>197</v>
      </c>
      <c r="I252" s="152" t="str">
        <f aca="false">IF('Step1-System Details'!E17="DDR3","DDR3_CWL","LPDDR2_CWL")</f>
        <v>DDR3_CWL</v>
      </c>
      <c r="J252" s="53" t="n">
        <f aca="false">IF('Step1-System Details'!E17="DDR3",IF(E28="NA",1,0),IF(E28=5,1,0))</f>
        <v>0</v>
      </c>
    </row>
    <row r="253" customFormat="false" ht="12.5" hidden="false" customHeight="false" outlineLevel="0" collapsed="false">
      <c r="C253" s="155" t="n">
        <v>5</v>
      </c>
      <c r="D253" s="155" t="n">
        <v>11</v>
      </c>
      <c r="E253" s="53" t="n">
        <v>5</v>
      </c>
      <c r="H253" s="53" t="n">
        <v>3</v>
      </c>
      <c r="I253" s="213" t="s">
        <v>47</v>
      </c>
    </row>
    <row r="254" customFormat="false" ht="12.5" hidden="false" customHeight="false" outlineLevel="0" collapsed="false">
      <c r="C254" s="155" t="n">
        <v>3</v>
      </c>
      <c r="D254" s="155" t="n">
        <v>8</v>
      </c>
      <c r="E254" s="53" t="n">
        <v>6</v>
      </c>
      <c r="G254" s="53" t="n">
        <v>533</v>
      </c>
      <c r="H254" s="53" t="n">
        <v>4</v>
      </c>
      <c r="I254" s="53" t="n">
        <v>5</v>
      </c>
    </row>
    <row r="255" customFormat="false" ht="12.5" hidden="false" customHeight="false" outlineLevel="0" collapsed="false">
      <c r="E255" s="53" t="n">
        <v>7</v>
      </c>
      <c r="G255" s="53" t="n">
        <v>667</v>
      </c>
      <c r="H255" s="53" t="n">
        <v>5</v>
      </c>
      <c r="I255" s="53" t="n">
        <v>6</v>
      </c>
    </row>
    <row r="256" customFormat="false" ht="12.5" hidden="false" customHeight="false" outlineLevel="0" collapsed="false">
      <c r="C256" s="155" t="n">
        <f aca="false">IF('Step1-System Details'!E17="DDR3",IF(AND(E27&gt;=5,E27&lt;=11),1,0),IF(AND(E27&gt;=3,E27&lt;=8),1,0))</f>
        <v>1</v>
      </c>
      <c r="E256" s="53" t="n">
        <v>8</v>
      </c>
      <c r="G256" s="53" t="n">
        <v>800</v>
      </c>
      <c r="H256" s="53" t="n">
        <v>6</v>
      </c>
      <c r="I256" s="53" t="n">
        <v>7</v>
      </c>
    </row>
    <row r="257" customFormat="false" ht="12.5" hidden="false" customHeight="false" outlineLevel="0" collapsed="false">
      <c r="E257" s="53" t="n">
        <v>9</v>
      </c>
      <c r="G257" s="53" t="n">
        <v>933</v>
      </c>
      <c r="H257" s="53" t="n">
        <v>7</v>
      </c>
      <c r="I257" s="53" t="n">
        <v>8</v>
      </c>
    </row>
    <row r="258" customFormat="false" ht="12.5" hidden="false" customHeight="false" outlineLevel="0" collapsed="false">
      <c r="E258" s="53" t="n">
        <v>10</v>
      </c>
      <c r="G258" s="53" t="n">
        <v>1066</v>
      </c>
      <c r="H258" s="53" t="n">
        <v>8</v>
      </c>
    </row>
    <row r="259" customFormat="false" ht="12.5" hidden="false" customHeight="false" outlineLevel="0" collapsed="false">
      <c r="E259" s="53" t="n">
        <v>11</v>
      </c>
    </row>
    <row r="260" customFormat="false" ht="12.5" hidden="false" customHeight="false" outlineLevel="0" collapsed="false">
      <c r="F260" s="153"/>
    </row>
  </sheetData>
  <sheetProtection sheet="true" password="df21" objects="true" scenarios="true"/>
  <mergeCells count="12">
    <mergeCell ref="B2:K2"/>
    <mergeCell ref="B3:K3"/>
    <mergeCell ref="B4:K6"/>
    <mergeCell ref="B7:K8"/>
    <mergeCell ref="B22:B23"/>
    <mergeCell ref="C22:I23"/>
    <mergeCell ref="E24:F24"/>
    <mergeCell ref="C25:C26"/>
    <mergeCell ref="D25:D26"/>
    <mergeCell ref="E25:F25"/>
    <mergeCell ref="G25:H25"/>
    <mergeCell ref="I25:I26"/>
  </mergeCells>
  <conditionalFormatting sqref="G47:G49 G30:G38">
    <cfRule type="cellIs" priority="2" operator="lessThan" aboveAverage="0" equalAverage="0" bottom="0" percent="0" rank="0" text="" dxfId="21">
      <formula>$I30-1</formula>
    </cfRule>
  </conditionalFormatting>
  <conditionalFormatting sqref="G40:G43">
    <cfRule type="cellIs" priority="3" operator="lessThan" aboveAverage="0" equalAverage="0" bottom="0" percent="0" rank="0" text="" dxfId="22">
      <formula>$I40-1</formula>
    </cfRule>
  </conditionalFormatting>
  <conditionalFormatting sqref="G50:G51">
    <cfRule type="cellIs" priority="4" operator="greaterThan" aboveAverage="0" equalAverage="0" bottom="0" percent="0" rank="0" text="" dxfId="23">
      <formula>$I50</formula>
    </cfRule>
  </conditionalFormatting>
  <conditionalFormatting sqref="E27">
    <cfRule type="expression" priority="5" aboveAverage="0" equalAverage="0" bottom="0" percent="0" rank="0" text="" dxfId="24">
      <formula>$G$252=0</formula>
    </cfRule>
  </conditionalFormatting>
  <conditionalFormatting sqref="E28">
    <cfRule type="expression" priority="6" aboveAverage="0" equalAverage="0" bottom="0" percent="0" rank="0" text="" dxfId="25">
      <formula>J252=1</formula>
    </cfRule>
  </conditionalFormatting>
  <conditionalFormatting sqref="G44">
    <cfRule type="cellIs" priority="7" operator="lessThan" aboveAverage="0" equalAverage="0" bottom="0" percent="0" rank="0" text="" dxfId="26">
      <formula>$I44</formula>
    </cfRule>
  </conditionalFormatting>
  <conditionalFormatting sqref="G46">
    <cfRule type="cellIs" priority="8" operator="lessThan" aboveAverage="0" equalAverage="0" bottom="0" percent="0" rank="0" text="" dxfId="27">
      <formula>$I46-1</formula>
    </cfRule>
  </conditionalFormatting>
  <dataValidations count="16">
    <dataValidation allowBlank="true" operator="between" showDropDown="false" showErrorMessage="true" showInputMessage="true" sqref="E28" type="list">
      <formula1>INDIRECT(I252)</formula1>
      <formula2>0</formula2>
    </dataValidation>
    <dataValidation allowBlank="true" operator="greaterThanOrEqual" showDropDown="false" showErrorMessage="true" showInputMessage="true" sqref="F30:F40 F42 F45 F49:F51" type="none">
      <formula1>0</formula1>
      <formula2>0</formula2>
    </dataValidation>
    <dataValidation allowBlank="true" operator="between" showDropDown="false" showErrorMessage="true" showInputMessage="true" sqref="E50" type="custom">
      <formula1>ROUNDUP(E50/G51,0)&lt;17</formula1>
      <formula2>0</formula2>
    </dataValidation>
    <dataValidation allowBlank="true" operator="between" showDropDown="false" showErrorMessage="true" showInputMessage="true" sqref="F41" type="custom">
      <formula1>ROUNDUP(F41*_ddr_pll_freq/1000,0)&lt;1025</formula1>
      <formula2>0</formula2>
    </dataValidation>
    <dataValidation allowBlank="true" operator="between" showDropDown="false" showErrorMessage="true" showInputMessage="true" sqref="F47" type="custom">
      <formula1>ROUNDUP(F47*_ddr_pll_freq/1000,0)&lt;65</formula1>
      <formula2>0</formula2>
    </dataValidation>
    <dataValidation allowBlank="true" operator="between" showDropDown="false" showErrorMessage="true" showInputMessage="true" sqref="E51" type="whole">
      <formula1>0</formula1>
      <formula2>65536</formula2>
    </dataValidation>
    <dataValidation allowBlank="true" operator="between" prompt="Applicable for DDR3 only" showDropDown="false" showErrorMessage="true" showInputMessage="true" sqref="E41" type="whole">
      <formula1>0</formula1>
      <formula2>1024</formula2>
    </dataValidation>
    <dataValidation allowBlank="true" operator="between" showDropDown="false" showErrorMessage="true" showInputMessage="true" sqref="E40 E49" type="whole">
      <formula1>0</formula1>
      <formula2>512</formula2>
    </dataValidation>
    <dataValidation allowBlank="true" operator="between" showDropDown="false" showErrorMessage="true" showInputMessage="true" sqref="E34" type="whole">
      <formula1>0</formula1>
      <formula2>64</formula2>
    </dataValidation>
    <dataValidation allowBlank="true" operator="between" showDropDown="false" showErrorMessage="true" showInputMessage="true" sqref="F46" type="custom">
      <formula1>ROUNDUP(F46*_ddr_pll_freq/1000,0)&lt;9</formula1>
      <formula2>0</formula2>
    </dataValidation>
    <dataValidation allowBlank="true" operator="between" showDropDown="false" showErrorMessage="true" showInputMessage="true" sqref="E36:E39 E42:E43 E45:E46" type="whole">
      <formula1>0</formula1>
      <formula2>8</formula2>
    </dataValidation>
    <dataValidation allowBlank="true" operator="between" showDropDown="false" showErrorMessage="true" showInputMessage="true" sqref="E27" type="list">
      <formula1>INDIRECT($E$252)</formula1>
      <formula2>0</formula2>
    </dataValidation>
    <dataValidation allowBlank="true" operator="greaterThanOrEqual" prompt="Applicable for LPDDR2 only" showDropDown="false" showErrorMessage="true" showInputMessage="true" sqref="E30:E33 E35" type="none">
      <formula1>0</formula1>
      <formula2>0</formula2>
    </dataValidation>
    <dataValidation allowBlank="true" operator="greaterThanOrEqual" prompt="Applicable for DDR3 only&#10;" showDropDown="false" showErrorMessage="true" showInputMessage="true" sqref="F43" type="none">
      <formula1>0</formula1>
      <formula2>0</formula2>
    </dataValidation>
    <dataValidation allowBlank="true" operator="between" prompt="Applicable for DDR3 only&#10;" showDropDown="false" showErrorMessage="true" showInputMessage="true" sqref="E47" type="whole">
      <formula1>0</formula1>
      <formula2>64</formula2>
    </dataValidation>
    <dataValidation allowBlank="true" operator="between" prompt="Applicable for LPDDR2 only" showDropDown="false" showErrorMessage="true" showInputMessage="true" sqref="F48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5" topLeftCell="A29" activePane="bottomLeft" state="frozen"/>
      <selection pane="topLeft" activeCell="A1" activeCellId="0" sqref="A1"/>
      <selection pane="bottomLeft" activeCell="E30" activeCellId="0" sqref="E30"/>
    </sheetView>
  </sheetViews>
  <sheetFormatPr defaultColWidth="9.19140625" defaultRowHeight="12.5" zeroHeight="false" outlineLevelRow="0" outlineLevelCol="0"/>
  <cols>
    <col collapsed="false" customWidth="true" hidden="false" outlineLevel="0" max="1" min="1" style="53" width="2.46"/>
    <col collapsed="false" customWidth="true" hidden="false" outlineLevel="0" max="2" min="2" style="53" width="5.55"/>
    <col collapsed="false" customWidth="true" hidden="false" outlineLevel="0" max="3" min="3" style="53" width="14.81"/>
    <col collapsed="false" customWidth="false" hidden="false" outlineLevel="0" max="4" min="4" style="53" width="9.18"/>
    <col collapsed="false" customWidth="true" hidden="false" outlineLevel="0" max="5" min="5" style="53" width="8.82"/>
    <col collapsed="false" customWidth="false" hidden="false" outlineLevel="0" max="1024" min="6" style="53" width="9.18"/>
  </cols>
  <sheetData>
    <row r="1" s="215" customFormat="true" ht="12.75" hidden="false" customHeight="true" outlineLevel="0" collapsed="false">
      <c r="A1" s="55"/>
      <c r="B1" s="55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5"/>
      <c r="P1" s="55"/>
      <c r="Q1" s="55"/>
      <c r="R1" s="55"/>
    </row>
    <row r="2" s="215" customFormat="true" ht="12.75" hidden="false" customHeight="true" outlineLevel="0" collapsed="false">
      <c r="A2" s="55"/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</row>
    <row r="3" s="215" customFormat="true" ht="12.75" hidden="false" customHeight="true" outlineLevel="0" collapsed="false">
      <c r="A3" s="55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</row>
    <row r="4" s="215" customFormat="true" ht="12.75" hidden="false" customHeight="true" outlineLevel="0" collapsed="false">
      <c r="A4" s="68"/>
      <c r="B4" s="216" t="s">
        <v>198</v>
      </c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</row>
    <row r="5" s="215" customFormat="true" ht="12.75" hidden="false" customHeight="true" outlineLevel="0" collapsed="false">
      <c r="A5" s="54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</row>
    <row r="6" s="215" customFormat="true" ht="12.75" hidden="false" customHeight="true" outlineLevel="0" collapsed="false">
      <c r="A6" s="54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</row>
    <row r="7" s="215" customFormat="true" ht="12.75" hidden="false" customHeight="true" outlineLevel="0" collapsed="false">
      <c r="A7" s="54"/>
      <c r="B7" s="60" t="s">
        <v>28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217"/>
    </row>
    <row r="8" s="215" customFormat="true" ht="12.75" hidden="false" customHeight="true" outlineLevel="0" collapsed="false">
      <c r="A8" s="54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217"/>
    </row>
    <row r="9" s="215" customFormat="true" ht="12.75" hidden="false" customHeight="true" outlineLevel="0" collapsed="false">
      <c r="A9" s="54"/>
      <c r="B9" s="218" t="s">
        <v>12</v>
      </c>
      <c r="C9" s="219" t="s">
        <v>199</v>
      </c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1"/>
      <c r="P9" s="222"/>
      <c r="Q9" s="219"/>
      <c r="R9" s="223"/>
      <c r="S9" s="217"/>
    </row>
    <row r="10" s="215" customFormat="true" ht="12.75" hidden="false" customHeight="true" outlineLevel="0" collapsed="false">
      <c r="A10" s="54"/>
      <c r="B10" s="164"/>
      <c r="C10" s="224"/>
      <c r="D10" s="225"/>
      <c r="E10" s="224"/>
      <c r="F10" s="224"/>
      <c r="G10" s="224"/>
      <c r="H10" s="224"/>
      <c r="I10" s="224"/>
      <c r="J10" s="224"/>
      <c r="K10" s="224"/>
      <c r="L10" s="224"/>
      <c r="M10" s="224"/>
      <c r="N10" s="224"/>
      <c r="O10" s="226"/>
      <c r="P10" s="227"/>
      <c r="Q10" s="224"/>
      <c r="R10" s="228"/>
      <c r="S10" s="217"/>
    </row>
    <row r="11" s="215" customFormat="true" ht="12.75" hidden="false" customHeight="true" outlineLevel="0" collapsed="false">
      <c r="A11" s="54"/>
      <c r="B11" s="164"/>
      <c r="C11" s="225" t="s">
        <v>123</v>
      </c>
      <c r="D11" s="229"/>
      <c r="E11" s="230"/>
      <c r="F11" s="224"/>
      <c r="G11" s="224"/>
      <c r="H11" s="224"/>
      <c r="I11" s="224"/>
      <c r="J11" s="224"/>
      <c r="K11" s="224"/>
      <c r="L11" s="224"/>
      <c r="M11" s="224"/>
      <c r="N11" s="224"/>
      <c r="O11" s="226"/>
      <c r="P11" s="227"/>
      <c r="Q11" s="225"/>
      <c r="R11" s="231"/>
      <c r="S11" s="217"/>
    </row>
    <row r="12" s="215" customFormat="true" ht="12.75" hidden="false" customHeight="true" outlineLevel="0" collapsed="false">
      <c r="A12" s="54"/>
      <c r="B12" s="164"/>
      <c r="C12" s="232" t="s">
        <v>12</v>
      </c>
      <c r="D12" s="230" t="s">
        <v>200</v>
      </c>
      <c r="E12" s="230"/>
      <c r="F12" s="224"/>
      <c r="G12" s="224"/>
      <c r="H12" s="224"/>
      <c r="I12" s="224"/>
      <c r="J12" s="224"/>
      <c r="K12" s="224"/>
      <c r="L12" s="224"/>
      <c r="M12" s="224"/>
      <c r="N12" s="224"/>
      <c r="O12" s="226"/>
      <c r="P12" s="227"/>
      <c r="Q12" s="232"/>
      <c r="R12" s="233"/>
      <c r="S12" s="217"/>
    </row>
    <row r="13" s="215" customFormat="true" ht="12.75" hidden="false" customHeight="true" outlineLevel="0" collapsed="false">
      <c r="A13" s="54"/>
      <c r="B13" s="164"/>
      <c r="C13" s="232" t="s">
        <v>14</v>
      </c>
      <c r="D13" s="230" t="s">
        <v>201</v>
      </c>
      <c r="E13" s="230"/>
      <c r="F13" s="224"/>
      <c r="G13" s="224"/>
      <c r="H13" s="224"/>
      <c r="I13" s="224"/>
      <c r="J13" s="224"/>
      <c r="K13" s="224"/>
      <c r="L13" s="224"/>
      <c r="M13" s="224"/>
      <c r="N13" s="224"/>
      <c r="O13" s="226"/>
      <c r="P13" s="227"/>
      <c r="Q13" s="232"/>
      <c r="R13" s="233"/>
      <c r="S13" s="217"/>
    </row>
    <row r="14" s="215" customFormat="true" ht="13.5" hidden="false" customHeight="false" outlineLevel="0" collapsed="false">
      <c r="A14" s="54"/>
      <c r="B14" s="174"/>
      <c r="C14" s="175"/>
      <c r="D14" s="175"/>
      <c r="E14" s="175"/>
      <c r="F14" s="175"/>
      <c r="G14" s="175"/>
      <c r="H14" s="176"/>
      <c r="I14" s="176"/>
      <c r="J14" s="175"/>
      <c r="K14" s="175"/>
      <c r="L14" s="175"/>
      <c r="M14" s="175"/>
      <c r="N14" s="175"/>
      <c r="O14" s="234"/>
      <c r="P14" s="235"/>
      <c r="Q14" s="175"/>
      <c r="R14" s="177"/>
      <c r="S14" s="217"/>
    </row>
    <row r="15" s="215" customFormat="true" ht="13.5" hidden="false" customHeight="false" outlineLevel="0" collapsed="false">
      <c r="A15" s="54"/>
      <c r="B15" s="81"/>
      <c r="C15" s="81"/>
      <c r="D15" s="236"/>
      <c r="E15" s="236"/>
      <c r="F15" s="236"/>
      <c r="G15" s="236"/>
      <c r="H15" s="237"/>
      <c r="I15" s="237"/>
      <c r="J15" s="236"/>
      <c r="K15" s="81"/>
      <c r="L15" s="81"/>
      <c r="M15" s="81"/>
      <c r="N15" s="81"/>
      <c r="O15" s="81"/>
      <c r="P15" s="55"/>
      <c r="Q15" s="55"/>
      <c r="R15" s="55"/>
    </row>
    <row r="16" customFormat="false" ht="13" hidden="false" customHeight="false" outlineLevel="0" collapsed="false">
      <c r="B16" s="145"/>
      <c r="C16" s="145"/>
      <c r="D16" s="145"/>
    </row>
    <row r="17" customFormat="false" ht="13.5" hidden="false" customHeight="true" outlineLevel="0" collapsed="false">
      <c r="B17" s="238" t="s">
        <v>202</v>
      </c>
      <c r="C17" s="239" t="s">
        <v>203</v>
      </c>
      <c r="D17" s="239"/>
      <c r="E17" s="239"/>
      <c r="F17" s="239"/>
      <c r="G17" s="239"/>
      <c r="M17" s="240"/>
      <c r="N17" s="240"/>
      <c r="O17" s="240"/>
      <c r="P17" s="241"/>
    </row>
    <row r="18" customFormat="false" ht="13.5" hidden="false" customHeight="true" outlineLevel="0" collapsed="false">
      <c r="B18" s="238"/>
      <c r="C18" s="239"/>
      <c r="D18" s="239"/>
      <c r="E18" s="239"/>
      <c r="F18" s="239"/>
      <c r="G18" s="239"/>
      <c r="M18" s="242"/>
      <c r="N18" s="242"/>
      <c r="O18" s="242"/>
      <c r="P18" s="243"/>
    </row>
    <row r="19" customFormat="false" ht="12.75" hidden="false" customHeight="true" outlineLevel="0" collapsed="false">
      <c r="C19" s="85" t="s">
        <v>32</v>
      </c>
      <c r="D19" s="244" t="s">
        <v>23</v>
      </c>
      <c r="E19" s="244"/>
      <c r="F19" s="85" t="s">
        <v>204</v>
      </c>
      <c r="G19" s="87" t="s">
        <v>34</v>
      </c>
      <c r="L19" s="145"/>
      <c r="M19" s="145"/>
      <c r="N19" s="145"/>
      <c r="O19" s="145"/>
      <c r="P19" s="145"/>
    </row>
    <row r="20" customFormat="false" ht="12.75" hidden="false" customHeight="true" outlineLevel="0" collapsed="false">
      <c r="C20" s="89" t="n">
        <v>1</v>
      </c>
      <c r="D20" s="245" t="s">
        <v>205</v>
      </c>
      <c r="E20" s="245"/>
      <c r="F20" s="91" t="n">
        <v>160</v>
      </c>
      <c r="G20" s="92" t="s">
        <v>206</v>
      </c>
      <c r="J20" s="246" t="str">
        <f aca="false">IF('Step1-System Details'!E17="LPDDR2","Not Required for LPDDR2","")</f>
        <v/>
      </c>
      <c r="K20" s="246"/>
      <c r="L20" s="246"/>
      <c r="M20" s="246"/>
      <c r="N20" s="246"/>
      <c r="O20" s="246"/>
      <c r="P20" s="246"/>
    </row>
    <row r="21" customFormat="false" ht="13.5" hidden="false" customHeight="true" outlineLevel="0" collapsed="false">
      <c r="C21" s="98" t="n">
        <v>2</v>
      </c>
      <c r="D21" s="247" t="s">
        <v>207</v>
      </c>
      <c r="E21" s="247"/>
      <c r="F21" s="248" t="n">
        <v>170</v>
      </c>
      <c r="G21" s="101" t="s">
        <v>206</v>
      </c>
      <c r="J21" s="246"/>
      <c r="K21" s="246"/>
      <c r="L21" s="246"/>
      <c r="M21" s="246"/>
      <c r="N21" s="246"/>
      <c r="O21" s="246"/>
      <c r="P21" s="246"/>
    </row>
    <row r="22" customFormat="false" ht="13.5" hidden="false" customHeight="true" outlineLevel="0" collapsed="false">
      <c r="B22" s="249"/>
      <c r="C22" s="145"/>
      <c r="D22" s="145"/>
    </row>
    <row r="23" customFormat="false" ht="14.25" hidden="false" customHeight="true" outlineLevel="0" collapsed="false">
      <c r="B23" s="250" t="s">
        <v>208</v>
      </c>
      <c r="C23" s="251" t="s">
        <v>209</v>
      </c>
      <c r="D23" s="251"/>
      <c r="E23" s="251"/>
      <c r="F23" s="251"/>
      <c r="G23" s="251"/>
      <c r="H23" s="251"/>
      <c r="I23" s="251"/>
      <c r="J23" s="251"/>
      <c r="K23" s="251"/>
    </row>
    <row r="24" customFormat="false" ht="14.25" hidden="false" customHeight="true" outlineLevel="0" collapsed="false">
      <c r="B24" s="250"/>
      <c r="C24" s="251"/>
      <c r="D24" s="251"/>
      <c r="E24" s="251"/>
      <c r="F24" s="251"/>
      <c r="G24" s="251"/>
      <c r="H24" s="251"/>
      <c r="I24" s="251"/>
      <c r="J24" s="251"/>
      <c r="K24" s="251"/>
    </row>
    <row r="25" customFormat="false" ht="13.5" hidden="false" customHeight="true" outlineLevel="0" collapsed="false">
      <c r="C25" s="252" t="s">
        <v>210</v>
      </c>
      <c r="D25" s="252"/>
      <c r="E25" s="252"/>
      <c r="F25" s="252"/>
      <c r="G25" s="252"/>
      <c r="H25" s="252"/>
      <c r="I25" s="252"/>
      <c r="J25" s="252"/>
      <c r="K25" s="252"/>
    </row>
    <row r="26" customFormat="false" ht="13.5" hidden="false" customHeight="true" outlineLevel="0" collapsed="false">
      <c r="C26" s="252"/>
      <c r="D26" s="252"/>
      <c r="E26" s="252"/>
      <c r="F26" s="252"/>
      <c r="G26" s="252"/>
      <c r="H26" s="252"/>
      <c r="I26" s="252"/>
      <c r="J26" s="252"/>
      <c r="K26" s="252"/>
    </row>
    <row r="27" customFormat="false" ht="13.5" hidden="false" customHeight="false" outlineLevel="0" collapsed="false">
      <c r="C27" s="253" t="s">
        <v>211</v>
      </c>
      <c r="D27" s="254" t="s">
        <v>212</v>
      </c>
      <c r="E27" s="254"/>
      <c r="F27" s="254"/>
      <c r="G27" s="254"/>
      <c r="H27" s="254"/>
      <c r="I27" s="254"/>
      <c r="J27" s="254"/>
      <c r="K27" s="254"/>
    </row>
    <row r="28" customFormat="false" ht="12.5" hidden="false" customHeight="false" outlineLevel="0" collapsed="false">
      <c r="C28" s="253"/>
      <c r="D28" s="255" t="s">
        <v>213</v>
      </c>
      <c r="E28" s="255"/>
      <c r="F28" s="256" t="s">
        <v>214</v>
      </c>
      <c r="G28" s="256"/>
      <c r="H28" s="256" t="s">
        <v>215</v>
      </c>
      <c r="I28" s="256"/>
      <c r="J28" s="257" t="s">
        <v>216</v>
      </c>
      <c r="K28" s="257"/>
    </row>
    <row r="29" customFormat="false" ht="13" hidden="false" customHeight="false" outlineLevel="0" collapsed="false">
      <c r="C29" s="253"/>
      <c r="D29" s="258" t="s">
        <v>205</v>
      </c>
      <c r="E29" s="259" t="s">
        <v>207</v>
      </c>
      <c r="F29" s="259" t="s">
        <v>205</v>
      </c>
      <c r="G29" s="259" t="s">
        <v>207</v>
      </c>
      <c r="H29" s="259" t="s">
        <v>205</v>
      </c>
      <c r="I29" s="259" t="s">
        <v>207</v>
      </c>
      <c r="J29" s="259" t="s">
        <v>205</v>
      </c>
      <c r="K29" s="260" t="s">
        <v>207</v>
      </c>
    </row>
    <row r="30" customFormat="false" ht="13" hidden="false" customHeight="false" outlineLevel="0" collapsed="false">
      <c r="C30" s="261" t="s">
        <v>217</v>
      </c>
      <c r="D30" s="262" t="n">
        <v>0.393</v>
      </c>
      <c r="E30" s="263" t="n">
        <v>0.947</v>
      </c>
      <c r="F30" s="262" t="n">
        <v>0.393</v>
      </c>
      <c r="G30" s="263" t="n">
        <v>0.947</v>
      </c>
      <c r="H30" s="263" t="n">
        <v>2.117</v>
      </c>
      <c r="I30" s="263" t="n">
        <v>1.601</v>
      </c>
      <c r="J30" s="263" t="n">
        <v>2.117</v>
      </c>
      <c r="K30" s="264" t="n">
        <v>2.335</v>
      </c>
      <c r="M30" s="265" t="str">
        <f aca="false">IF(AND(MIN('Invert Clock'!I23:I30)&lt;0), "ERROR - Invalid clock length(s)", "")</f>
        <v/>
      </c>
    </row>
    <row r="31" customFormat="false" ht="13" hidden="false" customHeight="false" outlineLevel="0" collapsed="false">
      <c r="C31" s="266" t="s">
        <v>218</v>
      </c>
      <c r="D31" s="267" t="n">
        <v>0.729</v>
      </c>
      <c r="E31" s="268" t="n">
        <v>0</v>
      </c>
      <c r="F31" s="268" t="n">
        <v>0.128</v>
      </c>
      <c r="G31" s="268" t="n">
        <v>0.479</v>
      </c>
      <c r="H31" s="268" t="n">
        <v>0.383</v>
      </c>
      <c r="I31" s="268" t="n">
        <v>1.169</v>
      </c>
      <c r="J31" s="268" t="n">
        <v>0.341</v>
      </c>
      <c r="K31" s="269" t="n">
        <v>1.532</v>
      </c>
    </row>
    <row r="32" customFormat="false" ht="13" hidden="false" customHeight="false" outlineLevel="0" collapsed="false"/>
    <row r="34" customFormat="false" ht="12.5" hidden="true" customHeight="false" outlineLevel="0" collapsed="false"/>
    <row r="35" customFormat="false" ht="12.5" hidden="true" customHeight="false" outlineLevel="0" collapsed="false"/>
    <row r="36" customFormat="false" ht="12.5" hidden="true" customHeight="false" outlineLevel="0" collapsed="false"/>
    <row r="38" s="153" customFormat="true" ht="13" hidden="false" customHeight="false" outlineLevel="0" collapsed="false">
      <c r="B38" s="270" t="s">
        <v>219</v>
      </c>
      <c r="C38" s="270"/>
      <c r="D38" s="270"/>
      <c r="E38" s="270"/>
      <c r="F38" s="270"/>
      <c r="G38" s="270"/>
      <c r="H38" s="270"/>
      <c r="I38" s="270"/>
      <c r="J38" s="270"/>
      <c r="K38" s="271"/>
      <c r="L38" s="270" t="s">
        <v>220</v>
      </c>
      <c r="M38" s="270"/>
      <c r="N38" s="270"/>
      <c r="O38" s="270"/>
      <c r="P38" s="270"/>
      <c r="Q38" s="270"/>
      <c r="R38" s="270"/>
      <c r="S38" s="270"/>
      <c r="T38" s="270"/>
    </row>
    <row r="39" s="153" customFormat="true" ht="13.5" hidden="false" customHeight="false" outlineLevel="0" collapsed="false">
      <c r="B39" s="270"/>
      <c r="C39" s="270"/>
      <c r="D39" s="270"/>
      <c r="E39" s="270"/>
      <c r="F39" s="270"/>
      <c r="G39" s="270"/>
      <c r="H39" s="270"/>
      <c r="I39" s="270"/>
      <c r="J39" s="270"/>
      <c r="K39" s="271"/>
      <c r="L39" s="270"/>
      <c r="M39" s="270"/>
      <c r="N39" s="270"/>
      <c r="O39" s="270"/>
      <c r="P39" s="270"/>
      <c r="Q39" s="270"/>
      <c r="R39" s="270"/>
      <c r="S39" s="270"/>
      <c r="T39" s="270"/>
    </row>
    <row r="40" s="153" customFormat="true" ht="12.5" hidden="false" customHeight="false" outlineLevel="0" collapsed="false">
      <c r="A40" s="272"/>
      <c r="B40" s="273"/>
      <c r="C40" s="274"/>
      <c r="D40" s="274"/>
      <c r="E40" s="274"/>
      <c r="F40" s="274"/>
      <c r="G40" s="274"/>
      <c r="H40" s="274"/>
      <c r="I40" s="274"/>
      <c r="J40" s="275"/>
      <c r="K40" s="272"/>
      <c r="L40" s="273"/>
      <c r="M40" s="274"/>
      <c r="N40" s="274"/>
      <c r="O40" s="274"/>
      <c r="P40" s="274"/>
      <c r="Q40" s="274"/>
      <c r="R40" s="274"/>
      <c r="S40" s="274"/>
      <c r="T40" s="275"/>
    </row>
    <row r="41" s="153" customFormat="true" ht="12.5" hidden="false" customHeight="false" outlineLevel="0" collapsed="false">
      <c r="A41" s="272"/>
      <c r="B41" s="276"/>
      <c r="C41" s="272"/>
      <c r="D41" s="272"/>
      <c r="E41" s="272"/>
      <c r="F41" s="272"/>
      <c r="G41" s="272"/>
      <c r="H41" s="272"/>
      <c r="I41" s="272"/>
      <c r="J41" s="277"/>
      <c r="K41" s="272"/>
      <c r="L41" s="276"/>
      <c r="M41" s="272"/>
      <c r="N41" s="272"/>
      <c r="O41" s="272"/>
      <c r="P41" s="272"/>
      <c r="Q41" s="272"/>
      <c r="R41" s="272"/>
      <c r="S41" s="272"/>
      <c r="T41" s="277"/>
    </row>
    <row r="42" s="153" customFormat="true" ht="12.5" hidden="false" customHeight="false" outlineLevel="0" collapsed="false">
      <c r="A42" s="272"/>
      <c r="B42" s="276"/>
      <c r="C42" s="272"/>
      <c r="D42" s="272"/>
      <c r="E42" s="272"/>
      <c r="F42" s="272"/>
      <c r="G42" s="272"/>
      <c r="H42" s="272"/>
      <c r="I42" s="272"/>
      <c r="J42" s="277"/>
      <c r="K42" s="272"/>
      <c r="L42" s="276"/>
      <c r="M42" s="272"/>
      <c r="N42" s="272"/>
      <c r="O42" s="272"/>
      <c r="P42" s="272"/>
      <c r="Q42" s="272"/>
      <c r="R42" s="272"/>
      <c r="S42" s="272"/>
      <c r="T42" s="277"/>
    </row>
    <row r="43" s="153" customFormat="true" ht="12.5" hidden="false" customHeight="false" outlineLevel="0" collapsed="false">
      <c r="A43" s="272"/>
      <c r="B43" s="276"/>
      <c r="C43" s="272"/>
      <c r="D43" s="272"/>
      <c r="E43" s="272"/>
      <c r="F43" s="272"/>
      <c r="G43" s="272"/>
      <c r="H43" s="272"/>
      <c r="I43" s="272"/>
      <c r="J43" s="277"/>
      <c r="K43" s="272"/>
      <c r="L43" s="276"/>
      <c r="M43" s="272"/>
      <c r="N43" s="272"/>
      <c r="O43" s="272"/>
      <c r="P43" s="272"/>
      <c r="Q43" s="272"/>
      <c r="R43" s="272"/>
      <c r="S43" s="272"/>
      <c r="T43" s="277"/>
    </row>
    <row r="44" s="153" customFormat="true" ht="12.5" hidden="false" customHeight="false" outlineLevel="0" collapsed="false">
      <c r="A44" s="272"/>
      <c r="B44" s="276"/>
      <c r="C44" s="272"/>
      <c r="D44" s="272"/>
      <c r="E44" s="272"/>
      <c r="F44" s="272"/>
      <c r="G44" s="272"/>
      <c r="H44" s="272"/>
      <c r="I44" s="272"/>
      <c r="J44" s="277"/>
      <c r="K44" s="272"/>
      <c r="L44" s="276"/>
      <c r="M44" s="272"/>
      <c r="N44" s="272"/>
      <c r="O44" s="272"/>
      <c r="P44" s="272"/>
      <c r="Q44" s="272"/>
      <c r="R44" s="272"/>
      <c r="S44" s="272"/>
      <c r="T44" s="277"/>
    </row>
    <row r="45" s="153" customFormat="true" ht="12.5" hidden="false" customHeight="false" outlineLevel="0" collapsed="false">
      <c r="A45" s="272"/>
      <c r="B45" s="276"/>
      <c r="C45" s="272"/>
      <c r="D45" s="272"/>
      <c r="E45" s="272"/>
      <c r="F45" s="272"/>
      <c r="G45" s="272"/>
      <c r="H45" s="272"/>
      <c r="I45" s="272"/>
      <c r="J45" s="277"/>
      <c r="K45" s="272"/>
      <c r="L45" s="276"/>
      <c r="M45" s="272"/>
      <c r="N45" s="272"/>
      <c r="O45" s="272"/>
      <c r="P45" s="272"/>
      <c r="Q45" s="272"/>
      <c r="R45" s="272"/>
      <c r="S45" s="272"/>
      <c r="T45" s="277"/>
    </row>
    <row r="46" s="153" customFormat="true" ht="12.5" hidden="false" customHeight="false" outlineLevel="0" collapsed="false">
      <c r="A46" s="272"/>
      <c r="B46" s="276"/>
      <c r="C46" s="272"/>
      <c r="D46" s="272"/>
      <c r="E46" s="272"/>
      <c r="F46" s="272"/>
      <c r="G46" s="272"/>
      <c r="H46" s="272"/>
      <c r="I46" s="272"/>
      <c r="J46" s="277"/>
      <c r="K46" s="272"/>
      <c r="L46" s="276"/>
      <c r="M46" s="272"/>
      <c r="N46" s="272"/>
      <c r="O46" s="272"/>
      <c r="P46" s="272"/>
      <c r="Q46" s="272"/>
      <c r="R46" s="272"/>
      <c r="S46" s="272"/>
      <c r="T46" s="277"/>
    </row>
    <row r="47" s="153" customFormat="true" ht="12.5" hidden="false" customHeight="false" outlineLevel="0" collapsed="false">
      <c r="A47" s="272"/>
      <c r="B47" s="276"/>
      <c r="C47" s="272"/>
      <c r="D47" s="272"/>
      <c r="E47" s="272"/>
      <c r="F47" s="272"/>
      <c r="G47" s="272"/>
      <c r="H47" s="272"/>
      <c r="I47" s="272"/>
      <c r="J47" s="277"/>
      <c r="K47" s="272"/>
      <c r="L47" s="276"/>
      <c r="M47" s="272"/>
      <c r="N47" s="272"/>
      <c r="O47" s="272"/>
      <c r="P47" s="272"/>
      <c r="Q47" s="272"/>
      <c r="R47" s="272"/>
      <c r="S47" s="272"/>
      <c r="T47" s="277"/>
    </row>
    <row r="48" s="153" customFormat="true" ht="12.5" hidden="false" customHeight="false" outlineLevel="0" collapsed="false">
      <c r="A48" s="272"/>
      <c r="B48" s="276"/>
      <c r="C48" s="272"/>
      <c r="D48" s="272"/>
      <c r="E48" s="272"/>
      <c r="F48" s="272"/>
      <c r="G48" s="272"/>
      <c r="H48" s="272"/>
      <c r="I48" s="272"/>
      <c r="J48" s="277"/>
      <c r="K48" s="272"/>
      <c r="L48" s="276"/>
      <c r="M48" s="272"/>
      <c r="N48" s="272"/>
      <c r="O48" s="272"/>
      <c r="P48" s="272"/>
      <c r="Q48" s="272"/>
      <c r="R48" s="272"/>
      <c r="S48" s="272"/>
      <c r="T48" s="277"/>
    </row>
    <row r="49" s="153" customFormat="true" ht="12.5" hidden="false" customHeight="false" outlineLevel="0" collapsed="false">
      <c r="A49" s="272"/>
      <c r="B49" s="276"/>
      <c r="C49" s="272"/>
      <c r="D49" s="272"/>
      <c r="E49" s="272"/>
      <c r="F49" s="272"/>
      <c r="G49" s="272"/>
      <c r="H49" s="272"/>
      <c r="I49" s="272"/>
      <c r="J49" s="277"/>
      <c r="K49" s="272"/>
      <c r="L49" s="276"/>
      <c r="M49" s="272"/>
      <c r="N49" s="272"/>
      <c r="O49" s="272"/>
      <c r="P49" s="272"/>
      <c r="Q49" s="272"/>
      <c r="R49" s="272"/>
      <c r="S49" s="272"/>
      <c r="T49" s="277"/>
    </row>
    <row r="50" s="153" customFormat="true" ht="12.5" hidden="false" customHeight="false" outlineLevel="0" collapsed="false">
      <c r="A50" s="272"/>
      <c r="B50" s="276"/>
      <c r="C50" s="272"/>
      <c r="D50" s="272"/>
      <c r="E50" s="272"/>
      <c r="F50" s="272"/>
      <c r="G50" s="272"/>
      <c r="H50" s="272"/>
      <c r="I50" s="272"/>
      <c r="J50" s="277"/>
      <c r="K50" s="272"/>
      <c r="L50" s="276"/>
      <c r="M50" s="272"/>
      <c r="N50" s="272"/>
      <c r="O50" s="272"/>
      <c r="P50" s="272"/>
      <c r="Q50" s="272"/>
      <c r="R50" s="272"/>
      <c r="S50" s="272"/>
      <c r="T50" s="277"/>
    </row>
    <row r="51" s="153" customFormat="true" ht="12.5" hidden="false" customHeight="false" outlineLevel="0" collapsed="false">
      <c r="A51" s="272"/>
      <c r="B51" s="276"/>
      <c r="C51" s="272"/>
      <c r="D51" s="272"/>
      <c r="E51" s="272"/>
      <c r="F51" s="272"/>
      <c r="G51" s="272"/>
      <c r="H51" s="272"/>
      <c r="I51" s="272"/>
      <c r="J51" s="277"/>
      <c r="K51" s="272"/>
      <c r="L51" s="276"/>
      <c r="M51" s="272"/>
      <c r="N51" s="272"/>
      <c r="O51" s="272"/>
      <c r="P51" s="272"/>
      <c r="Q51" s="272"/>
      <c r="R51" s="272"/>
      <c r="S51" s="272"/>
      <c r="T51" s="277"/>
    </row>
    <row r="52" s="153" customFormat="true" ht="12.5" hidden="false" customHeight="false" outlineLevel="0" collapsed="false">
      <c r="A52" s="272"/>
      <c r="B52" s="276"/>
      <c r="C52" s="272"/>
      <c r="D52" s="272"/>
      <c r="E52" s="272"/>
      <c r="F52" s="272"/>
      <c r="G52" s="272"/>
      <c r="H52" s="272"/>
      <c r="I52" s="272"/>
      <c r="J52" s="277"/>
      <c r="K52" s="272"/>
      <c r="L52" s="276"/>
      <c r="M52" s="272"/>
      <c r="N52" s="272"/>
      <c r="O52" s="272"/>
      <c r="P52" s="272"/>
      <c r="Q52" s="272"/>
      <c r="R52" s="272"/>
      <c r="S52" s="272"/>
      <c r="T52" s="277"/>
    </row>
    <row r="53" s="153" customFormat="true" ht="12.5" hidden="false" customHeight="false" outlineLevel="0" collapsed="false">
      <c r="A53" s="272"/>
      <c r="B53" s="276"/>
      <c r="C53" s="272"/>
      <c r="D53" s="272"/>
      <c r="E53" s="272"/>
      <c r="F53" s="272"/>
      <c r="G53" s="272"/>
      <c r="H53" s="272"/>
      <c r="I53" s="272"/>
      <c r="J53" s="277"/>
      <c r="K53" s="272"/>
      <c r="L53" s="276"/>
      <c r="M53" s="272"/>
      <c r="N53" s="272"/>
      <c r="O53" s="272"/>
      <c r="P53" s="272"/>
      <c r="Q53" s="272"/>
      <c r="R53" s="272"/>
      <c r="S53" s="272"/>
      <c r="T53" s="277"/>
    </row>
    <row r="54" s="153" customFormat="true" ht="13" hidden="false" customHeight="false" outlineLevel="0" collapsed="false">
      <c r="A54" s="272"/>
      <c r="B54" s="278"/>
      <c r="C54" s="279"/>
      <c r="D54" s="279"/>
      <c r="E54" s="279"/>
      <c r="F54" s="279"/>
      <c r="G54" s="279"/>
      <c r="H54" s="279"/>
      <c r="I54" s="279"/>
      <c r="J54" s="280"/>
      <c r="K54" s="272"/>
      <c r="L54" s="278"/>
      <c r="M54" s="279"/>
      <c r="N54" s="279"/>
      <c r="O54" s="279"/>
      <c r="P54" s="279"/>
      <c r="Q54" s="279"/>
      <c r="R54" s="279"/>
      <c r="S54" s="279"/>
      <c r="T54" s="280"/>
    </row>
    <row r="532" customFormat="false" ht="12.5" hidden="true" customHeight="false" outlineLevel="0" collapsed="false">
      <c r="C532" s="156" t="s">
        <v>221</v>
      </c>
      <c r="D532" s="156" t="s">
        <v>222</v>
      </c>
    </row>
    <row r="533" customFormat="false" ht="12.5" hidden="true" customHeight="false" outlineLevel="0" collapsed="false">
      <c r="C533" s="156" t="s">
        <v>223</v>
      </c>
      <c r="D533" s="156" t="n">
        <v>400</v>
      </c>
    </row>
    <row r="534" customFormat="false" ht="12.5" hidden="true" customHeight="false" outlineLevel="0" collapsed="false">
      <c r="C534" s="156" t="s">
        <v>224</v>
      </c>
      <c r="D534" s="156" t="n">
        <v>533</v>
      </c>
    </row>
    <row r="535" customFormat="false" ht="12.5" hidden="true" customHeight="false" outlineLevel="0" collapsed="false">
      <c r="C535" s="156" t="s">
        <v>225</v>
      </c>
      <c r="D535" s="156" t="n">
        <v>667</v>
      </c>
    </row>
    <row r="536" customFormat="false" ht="12.5" hidden="true" customHeight="false" outlineLevel="0" collapsed="false">
      <c r="C536" s="156" t="s">
        <v>226</v>
      </c>
      <c r="D536" s="156" t="n">
        <v>800</v>
      </c>
    </row>
  </sheetData>
  <sheetProtection sheet="true" password="df21" objects="true" scenarios="true"/>
  <mergeCells count="21">
    <mergeCell ref="B2:R2"/>
    <mergeCell ref="B3:R3"/>
    <mergeCell ref="B4:R6"/>
    <mergeCell ref="B7:R8"/>
    <mergeCell ref="B17:B18"/>
    <mergeCell ref="C17:G18"/>
    <mergeCell ref="D19:E19"/>
    <mergeCell ref="D20:E20"/>
    <mergeCell ref="J20:P21"/>
    <mergeCell ref="D21:E21"/>
    <mergeCell ref="B23:B24"/>
    <mergeCell ref="C23:K24"/>
    <mergeCell ref="C25:K26"/>
    <mergeCell ref="C27:C29"/>
    <mergeCell ref="D27:K27"/>
    <mergeCell ref="D28:E28"/>
    <mergeCell ref="F28:G28"/>
    <mergeCell ref="H28:I28"/>
    <mergeCell ref="J28:K28"/>
    <mergeCell ref="B38:J39"/>
    <mergeCell ref="L38:T39"/>
  </mergeCells>
  <conditionalFormatting sqref="M30">
    <cfRule type="containsText" priority="2" operator="containsText" aboveAverage="0" equalAverage="0" bottom="0" percent="0" rank="0" text="ERROR - Invalid clock length(s)" dxfId="28">
      <formula>NOT(ISERROR(SEARCH("ERROR - Invalid clock length(s)",M30)))</formula>
    </cfRule>
  </conditionalFormatting>
  <dataValidations count="16">
    <dataValidation allowBlank="true" error="Routing Limit Exceeded" operator="between" showDropDown="false" showErrorMessage="true" showInputMessage="true" sqref="K31" type="custom">
      <formula1>J31+K31&lt;=4.3</formula1>
      <formula2>0</formula2>
    </dataValidation>
    <dataValidation allowBlank="true" error="Routing Limit Exceeded" operator="between" showDropDown="false" showErrorMessage="true" showInputMessage="true" sqref="J31" type="custom">
      <formula1>J31+K31&lt;=4.3</formula1>
      <formula2>0</formula2>
    </dataValidation>
    <dataValidation allowBlank="true" error="Routing Limit Exceeded" operator="between" showDropDown="false" showErrorMessage="true" showInputMessage="true" sqref="I31" type="custom">
      <formula1>H31+I31&lt;=3.7</formula1>
      <formula2>0</formula2>
    </dataValidation>
    <dataValidation allowBlank="true" error="Routing Limit Exceeded" operator="between" showDropDown="false" showErrorMessage="true" showInputMessage="true" sqref="H31" type="custom">
      <formula1>H31+I31&lt;=3.7</formula1>
      <formula2>0</formula2>
    </dataValidation>
    <dataValidation allowBlank="true" error="Routing Limit Exceeded" operator="between" showDropDown="false" showErrorMessage="true" showInputMessage="true" sqref="G31" type="custom">
      <formula1>F31+G31&lt;=3.1</formula1>
      <formula2>0</formula2>
    </dataValidation>
    <dataValidation allowBlank="true" error="Routing Limit Exceeded" operator="between" showDropDown="false" showErrorMessage="true" showInputMessage="true" sqref="F31" type="custom">
      <formula1>F31+G31&lt;=3.1</formula1>
      <formula2>0</formula2>
    </dataValidation>
    <dataValidation allowBlank="true" error="Routing Limit Exceeded" operator="between" showDropDown="false" showErrorMessage="true" showInputMessage="true" sqref="E31" type="custom">
      <formula1>D31+E31&lt;=2.5</formula1>
      <formula2>0</formula2>
    </dataValidation>
    <dataValidation allowBlank="true" error="Routing Limit Exceeded" operator="between" showDropDown="false" showErrorMessage="true" showInputMessage="true" sqref="D31" type="custom">
      <formula1>D31+E31&lt;=2.5</formula1>
      <formula2>0</formula2>
    </dataValidation>
    <dataValidation allowBlank="true" error="Routing Limit Exceeded" operator="between" showDropDown="false" showErrorMessage="true" showInputMessage="true" sqref="K30" type="custom">
      <formula1>J30+K30&lt;=4.48</formula1>
      <formula2>0</formula2>
    </dataValidation>
    <dataValidation allowBlank="true" error="Routing Limit Exceeded" operator="between" showDropDown="false" showErrorMessage="true" showInputMessage="true" sqref="J30" type="custom">
      <formula1>J30+K30&lt;=4.48</formula1>
      <formula2>0</formula2>
    </dataValidation>
    <dataValidation allowBlank="true" error="Routing Limit Exceeded" operator="between" showDropDown="false" showErrorMessage="true" showInputMessage="true" sqref="I30" type="custom">
      <formula1>H30+I30&lt;=3.82</formula1>
      <formula2>0</formula2>
    </dataValidation>
    <dataValidation allowBlank="true" error="Routing Limit Exceeded" operator="between" showDropDown="false" showErrorMessage="true" showInputMessage="true" sqref="H30" type="custom">
      <formula1>H30+I30&lt;=3.82</formula1>
      <formula2>0</formula2>
    </dataValidation>
    <dataValidation allowBlank="true" error="Routing Limit Exceeded" operator="between" showDropDown="false" showErrorMessage="true" showInputMessage="true" sqref="G30" type="custom">
      <formula1>F30+G30&lt;=3.16</formula1>
      <formula2>0</formula2>
    </dataValidation>
    <dataValidation allowBlank="true" operator="between" showDropDown="false" showErrorMessage="true" showInputMessage="true" sqref="F30" type="custom">
      <formula1>F30+G30&lt;=3.16</formula1>
      <formula2>0</formula2>
    </dataValidation>
    <dataValidation allowBlank="true" operator="between" showDropDown="false" showErrorMessage="true" showInputMessage="true" sqref="D30" type="custom">
      <formula1>D30+E30&lt;=2.5</formula1>
      <formula2>0</formula2>
    </dataValidation>
    <dataValidation allowBlank="true" operator="between" showDropDown="false" showErrorMessage="true" showInputMessage="true" sqref="E30" type="custom">
      <formula1>D30+E30&lt;=2.5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5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1" topLeftCell="A22" activePane="bottomLeft" state="frozen"/>
      <selection pane="topLeft" activeCell="A1" activeCellId="0" sqref="A1"/>
      <selection pane="bottomLeft" activeCell="E19" activeCellId="0" sqref="E19"/>
    </sheetView>
  </sheetViews>
  <sheetFormatPr defaultColWidth="9.19140625" defaultRowHeight="12.5" zeroHeight="false" outlineLevelRow="0" outlineLevelCol="0"/>
  <cols>
    <col collapsed="false" customWidth="true" hidden="false" outlineLevel="0" max="1" min="1" style="153" width="2.82"/>
    <col collapsed="false" customWidth="true" hidden="false" outlineLevel="0" max="2" min="2" style="153" width="31.72"/>
    <col collapsed="false" customWidth="true" hidden="true" outlineLevel="0" max="3" min="3" style="153" width="17.73"/>
    <col collapsed="false" customWidth="true" hidden="true" outlineLevel="0" max="4" min="4" style="153" width="16.54"/>
    <col collapsed="false" customWidth="true" hidden="false" outlineLevel="0" max="5" min="5" style="153" width="16.54"/>
    <col collapsed="false" customWidth="true" hidden="false" outlineLevel="0" max="6" min="6" style="153" width="15.45"/>
    <col collapsed="false" customWidth="true" hidden="false" outlineLevel="0" max="7" min="7" style="153" width="16.82"/>
    <col collapsed="false" customWidth="true" hidden="true" outlineLevel="0" max="8" min="8" style="153" width="15.45"/>
    <col collapsed="false" customWidth="true" hidden="false" outlineLevel="0" max="9" min="9" style="153" width="15.81"/>
    <col collapsed="false" customWidth="false" hidden="false" outlineLevel="0" max="10" min="10" style="153" width="9.18"/>
    <col collapsed="false" customWidth="true" hidden="true" outlineLevel="0" max="14" min="11" style="153" width="11.52"/>
    <col collapsed="false" customWidth="false" hidden="false" outlineLevel="0" max="28" min="15" style="153" width="9.18"/>
    <col collapsed="false" customWidth="true" hidden="false" outlineLevel="0" max="29" min="29" style="153" width="4.55"/>
    <col collapsed="false" customWidth="false" hidden="false" outlineLevel="0" max="1024" min="30" style="153" width="9.18"/>
  </cols>
  <sheetData>
    <row r="1" s="53" customFormat="true" ht="12.75" hidden="false" customHeight="true" outlineLevel="0" collapsed="false">
      <c r="A1" s="54"/>
      <c r="B1" s="55"/>
      <c r="C1" s="55"/>
      <c r="D1" s="55"/>
      <c r="E1" s="55"/>
      <c r="F1" s="55"/>
      <c r="G1" s="56"/>
      <c r="H1" s="56"/>
      <c r="I1" s="55"/>
      <c r="J1" s="55"/>
    </row>
    <row r="2" s="53" customFormat="true" ht="12.75" hidden="false" customHeight="true" outlineLevel="0" collapsed="false">
      <c r="A2" s="54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</row>
    <row r="3" s="53" customFormat="true" ht="12.75" hidden="false" customHeight="true" outlineLevel="0" collapsed="false">
      <c r="A3" s="54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  <c r="P3" s="281"/>
      <c r="Q3" s="281"/>
      <c r="R3" s="281"/>
      <c r="S3" s="281"/>
    </row>
    <row r="4" s="53" customFormat="true" ht="12.75" hidden="false" customHeight="true" outlineLevel="0" collapsed="false">
      <c r="A4" s="54"/>
      <c r="B4" s="282" t="s">
        <v>227</v>
      </c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  <c r="P4" s="282"/>
      <c r="Q4" s="282"/>
      <c r="R4" s="282"/>
      <c r="S4" s="282"/>
    </row>
    <row r="5" s="53" customFormat="true" ht="12.75" hidden="false" customHeight="true" outlineLevel="0" collapsed="false">
      <c r="A5" s="54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  <c r="P5" s="282"/>
      <c r="Q5" s="282"/>
      <c r="R5" s="282"/>
      <c r="S5" s="282"/>
    </row>
    <row r="6" s="53" customFormat="true" ht="12.75" hidden="false" customHeight="true" outlineLevel="0" collapsed="false">
      <c r="A6" s="54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82"/>
      <c r="S6" s="282"/>
    </row>
    <row r="7" s="53" customFormat="true" ht="12.75" hidden="false" customHeight="true" outlineLevel="0" collapsed="false">
      <c r="A7" s="54"/>
      <c r="B7" s="283" t="s">
        <v>28</v>
      </c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  <c r="P7" s="283"/>
      <c r="Q7" s="283"/>
      <c r="R7" s="283"/>
      <c r="S7" s="283"/>
    </row>
    <row r="8" s="53" customFormat="true" ht="12.75" hidden="false" customHeight="true" outlineLevel="0" collapsed="false">
      <c r="A8" s="54"/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  <c r="P8" s="283"/>
      <c r="Q8" s="283"/>
      <c r="R8" s="283"/>
      <c r="S8" s="283"/>
    </row>
    <row r="9" s="53" customFormat="true" ht="12.75" hidden="false" customHeight="true" outlineLevel="0" collapsed="false">
      <c r="A9" s="54"/>
      <c r="B9" s="62"/>
      <c r="C9" s="63" t="s">
        <v>228</v>
      </c>
      <c r="D9" s="63"/>
      <c r="E9" s="284" t="s">
        <v>12</v>
      </c>
      <c r="F9" s="64" t="s">
        <v>229</v>
      </c>
      <c r="G9" s="65"/>
      <c r="H9" s="65"/>
      <c r="I9" s="285"/>
      <c r="J9" s="286"/>
      <c r="K9" s="65"/>
      <c r="L9" s="65"/>
      <c r="M9" s="65"/>
      <c r="N9" s="65"/>
      <c r="O9" s="65"/>
      <c r="P9" s="65"/>
      <c r="Q9" s="65"/>
      <c r="R9" s="65"/>
      <c r="S9" s="287"/>
    </row>
    <row r="10" s="53" customFormat="true" ht="12.75" hidden="false" customHeight="true" outlineLevel="0" collapsed="false">
      <c r="A10" s="68"/>
      <c r="B10" s="75"/>
      <c r="C10" s="76"/>
      <c r="D10" s="77"/>
      <c r="E10" s="78"/>
      <c r="F10" s="78"/>
      <c r="G10" s="79"/>
      <c r="H10" s="79"/>
      <c r="I10" s="288"/>
      <c r="J10" s="289"/>
      <c r="K10" s="79"/>
      <c r="L10" s="79"/>
      <c r="M10" s="79"/>
      <c r="N10" s="79"/>
      <c r="O10" s="79"/>
      <c r="P10" s="79"/>
      <c r="Q10" s="79"/>
      <c r="R10" s="79"/>
      <c r="S10" s="290"/>
    </row>
    <row r="11" s="53" customFormat="true" ht="12.75" hidden="false" customHeight="true" outlineLevel="0" collapsed="false">
      <c r="A11" s="68"/>
      <c r="B11" s="81"/>
      <c r="C11" s="81"/>
      <c r="D11" s="81"/>
      <c r="E11" s="81"/>
      <c r="F11" s="81"/>
      <c r="G11" s="82"/>
      <c r="H11" s="82"/>
      <c r="I11" s="81"/>
      <c r="J11" s="81"/>
    </row>
    <row r="13" customFormat="false" ht="13" hidden="true" customHeight="false" outlineLevel="0" collapsed="false">
      <c r="B13" s="291" t="s">
        <v>230</v>
      </c>
      <c r="C13" s="292" t="n">
        <f aca="false">'Step3-Board Details'!F20</f>
        <v>160</v>
      </c>
      <c r="D13" s="293" t="s">
        <v>206</v>
      </c>
    </row>
    <row r="14" customFormat="false" ht="13" hidden="true" customHeight="false" outlineLevel="0" collapsed="false">
      <c r="B14" s="291" t="s">
        <v>231</v>
      </c>
      <c r="C14" s="292" t="n">
        <f aca="false">'Step3-Board Details'!F21</f>
        <v>170</v>
      </c>
      <c r="D14" s="293" t="s">
        <v>206</v>
      </c>
      <c r="E14" s="272"/>
    </row>
    <row r="15" customFormat="false" ht="13" hidden="true" customHeight="false" outlineLevel="0" collapsed="false">
      <c r="B15" s="291" t="s">
        <v>232</v>
      </c>
      <c r="C15" s="156" t="n">
        <f aca="false">'Step1-System Details'!E33</f>
        <v>1066</v>
      </c>
      <c r="D15" s="293" t="s">
        <v>59</v>
      </c>
      <c r="E15" s="272"/>
    </row>
    <row r="16" customFormat="false" ht="13" hidden="true" customHeight="false" outlineLevel="0" collapsed="false">
      <c r="B16" s="291" t="s">
        <v>233</v>
      </c>
      <c r="C16" s="294" t="n">
        <f aca="false">'Step1-System Details'!E18</f>
        <v>400</v>
      </c>
      <c r="D16" s="293" t="s">
        <v>39</v>
      </c>
    </row>
    <row r="17" customFormat="false" ht="13" hidden="true" customHeight="false" outlineLevel="0" collapsed="false">
      <c r="B17" s="291" t="s">
        <v>234</v>
      </c>
      <c r="C17" s="295" t="n">
        <f aca="false">1000000/C16</f>
        <v>2500</v>
      </c>
      <c r="D17" s="293" t="s">
        <v>206</v>
      </c>
      <c r="E17" s="272"/>
      <c r="F17" s="296"/>
    </row>
    <row r="18" customFormat="false" ht="13" hidden="true" customHeight="false" outlineLevel="0" collapsed="false">
      <c r="B18" s="291" t="s">
        <v>235</v>
      </c>
      <c r="C18" s="297" t="n">
        <v>0</v>
      </c>
      <c r="D18" s="293"/>
      <c r="E18" s="272"/>
      <c r="H18" s="298"/>
    </row>
    <row r="19" customFormat="false" ht="13" hidden="false" customHeight="false" outlineLevel="0" collapsed="false">
      <c r="B19" s="299" t="s">
        <v>235</v>
      </c>
      <c r="C19" s="293"/>
      <c r="D19" s="300"/>
      <c r="E19" s="301" t="str">
        <f aca="false">IF('Step1-System Details'!E17="DDR3",IF(MIN(H21:H34)&lt;0,"1", "0"),"0")</f>
        <v>1</v>
      </c>
      <c r="F19" s="302" t="str">
        <f aca="false">IF('Step1-System Details'!E17="DDR3",IF(AND(MIN(I23:I30)&lt;0)," ",IF(E19="1","Read Latency increased by 1"," ")),"")</f>
        <v>Read Latency increased by 1</v>
      </c>
      <c r="G19" s="302"/>
      <c r="H19" s="298"/>
    </row>
    <row r="20" customFormat="false" ht="13" hidden="false" customHeight="false" outlineLevel="0" collapsed="false">
      <c r="B20" s="303"/>
      <c r="F20" s="302" t="str">
        <f aca="false">IF('Step1-System Details'!E17="DDR3",IF(AND(MIN(I23:I30)&lt;0), "ERROR - Invalid clock length(s)", ""),"")</f>
        <v/>
      </c>
      <c r="G20" s="302"/>
    </row>
    <row r="21" customFormat="false" ht="12.75" hidden="false" customHeight="true" outlineLevel="0" collapsed="false">
      <c r="B21" s="304" t="s">
        <v>236</v>
      </c>
      <c r="C21" s="305" t="s">
        <v>237</v>
      </c>
      <c r="D21" s="305"/>
      <c r="E21" s="305"/>
      <c r="F21" s="305" t="s">
        <v>238</v>
      </c>
      <c r="G21" s="305" t="s">
        <v>239</v>
      </c>
      <c r="H21" s="305" t="s">
        <v>240</v>
      </c>
      <c r="I21" s="305" t="s">
        <v>240</v>
      </c>
    </row>
    <row r="22" s="306" customFormat="true" ht="25.5" hidden="false" customHeight="true" outlineLevel="0" collapsed="false">
      <c r="B22" s="304"/>
      <c r="C22" s="305"/>
      <c r="D22" s="305"/>
      <c r="E22" s="305"/>
      <c r="F22" s="305"/>
      <c r="G22" s="305"/>
      <c r="H22" s="305"/>
      <c r="I22" s="305"/>
    </row>
    <row r="23" customFormat="false" ht="13" hidden="false" customHeight="false" outlineLevel="0" collapsed="false">
      <c r="B23" s="293" t="s">
        <v>241</v>
      </c>
      <c r="C23" s="307" t="n">
        <f aca="false">'Step3-Board Details'!D31</f>
        <v>0.729</v>
      </c>
      <c r="D23" s="307" t="n">
        <f aca="false">'Step3-Board Details'!E31</f>
        <v>0</v>
      </c>
      <c r="E23" s="307" t="n">
        <f aca="false">C23+D23</f>
        <v>0.729</v>
      </c>
      <c r="F23" s="308" t="n">
        <f aca="false">C23*C13+D23*C14</f>
        <v>116.64</v>
      </c>
      <c r="G23" s="309" t="n">
        <f aca="false">IF('Step1-System Details'!E17="DDR3",CLK_PERIOD-I23-G499-I499,"NA")</f>
        <v>1142.77</v>
      </c>
      <c r="H23" s="309" t="n">
        <f aca="false">IF(F23&lt;0.001, 0, F24-F23-I499-G500+CLK_PERIOD/2*INVERT_CLK)</f>
        <v>-337.77</v>
      </c>
      <c r="I23" s="309" t="n">
        <f aca="false">IF('Step1-System Details'!E17="DDR3",IF(E19="1",H23+CLK_PERIOD/2,H23),"NA")</f>
        <v>912.23</v>
      </c>
      <c r="K23" s="310"/>
      <c r="L23" s="306"/>
      <c r="M23" s="306"/>
      <c r="N23" s="306"/>
      <c r="O23" s="246" t="str">
        <f aca="false">IF('Step1-System Details'!E17="LPDDR2","Not Required for LPDDR2","")</f>
        <v/>
      </c>
      <c r="P23" s="246"/>
      <c r="Q23" s="246"/>
      <c r="R23" s="246"/>
      <c r="S23" s="246"/>
      <c r="T23" s="246"/>
      <c r="U23" s="246"/>
      <c r="V23" s="298"/>
    </row>
    <row r="24" customFormat="false" ht="13" hidden="false" customHeight="false" outlineLevel="0" collapsed="false">
      <c r="B24" s="293" t="s">
        <v>242</v>
      </c>
      <c r="C24" s="307" t="n">
        <f aca="false">'Step3-Board Details'!D30</f>
        <v>0.393</v>
      </c>
      <c r="D24" s="307" t="n">
        <f aca="false">'Step3-Board Details'!E30</f>
        <v>0.947</v>
      </c>
      <c r="E24" s="307" t="n">
        <f aca="false">C24+D24</f>
        <v>1.34</v>
      </c>
      <c r="F24" s="308" t="n">
        <f aca="false">C24*C13+D24*C14</f>
        <v>223.87</v>
      </c>
      <c r="G24" s="309"/>
      <c r="H24" s="309"/>
      <c r="I24" s="309"/>
      <c r="K24" s="310"/>
      <c r="L24" s="306"/>
      <c r="M24" s="306"/>
      <c r="N24" s="306"/>
      <c r="O24" s="246"/>
      <c r="P24" s="246"/>
      <c r="Q24" s="246"/>
      <c r="R24" s="246"/>
      <c r="S24" s="246"/>
      <c r="T24" s="246"/>
      <c r="U24" s="246"/>
      <c r="V24" s="298"/>
    </row>
    <row r="25" customFormat="false" ht="12.5" hidden="false" customHeight="false" outlineLevel="0" collapsed="false">
      <c r="B25" s="293" t="s">
        <v>243</v>
      </c>
      <c r="C25" s="307" t="n">
        <f aca="false">'Step3-Board Details'!F31</f>
        <v>0.128</v>
      </c>
      <c r="D25" s="307" t="n">
        <f aca="false">'Step3-Board Details'!G31</f>
        <v>0.479</v>
      </c>
      <c r="E25" s="307" t="n">
        <f aca="false">C25+D25</f>
        <v>0.607</v>
      </c>
      <c r="F25" s="308" t="n">
        <f aca="false">C25*C13+D25*C14</f>
        <v>101.91</v>
      </c>
      <c r="G25" s="309" t="n">
        <f aca="false">IF('Step1-System Details'!E17="DDR3",CLK_PERIOD-I25-G499-I499,"NA")</f>
        <v>1128.04</v>
      </c>
      <c r="H25" s="309" t="n">
        <f aca="false">IF(F25&lt;0.001, 0, F26-F25-I499-G500+CLK_PERIOD/2*INVERT_CLK)</f>
        <v>-323.04</v>
      </c>
      <c r="I25" s="309" t="n">
        <f aca="false">IF('Step1-System Details'!E17="DDR3",IF(E19="1",H25+CLK_PERIOD/2,H25),"NA")</f>
        <v>926.96</v>
      </c>
      <c r="K25" s="310"/>
      <c r="L25" s="306"/>
      <c r="M25" s="306"/>
      <c r="N25" s="306"/>
    </row>
    <row r="26" customFormat="false" ht="13" hidden="false" customHeight="false" outlineLevel="0" collapsed="false">
      <c r="B26" s="293" t="s">
        <v>244</v>
      </c>
      <c r="C26" s="307" t="n">
        <f aca="false">'Step3-Board Details'!F30</f>
        <v>0.393</v>
      </c>
      <c r="D26" s="307" t="n">
        <f aca="false">'Step3-Board Details'!G30</f>
        <v>0.947</v>
      </c>
      <c r="E26" s="307" t="n">
        <f aca="false">C26+D26</f>
        <v>1.34</v>
      </c>
      <c r="F26" s="308" t="n">
        <f aca="false">C26*C13+D26*C14</f>
        <v>223.87</v>
      </c>
      <c r="G26" s="309"/>
      <c r="H26" s="309"/>
      <c r="I26" s="309"/>
      <c r="K26" s="310"/>
      <c r="L26" s="306"/>
      <c r="M26" s="306"/>
      <c r="N26" s="306"/>
      <c r="P26" s="311"/>
      <c r="Q26" s="311"/>
    </row>
    <row r="27" customFormat="false" ht="13" hidden="false" customHeight="false" outlineLevel="0" collapsed="false">
      <c r="B27" s="293" t="s">
        <v>245</v>
      </c>
      <c r="C27" s="307" t="n">
        <f aca="false">'Step3-Board Details'!H31</f>
        <v>0.383</v>
      </c>
      <c r="D27" s="307" t="n">
        <f aca="false">'Step3-Board Details'!I31</f>
        <v>1.169</v>
      </c>
      <c r="E27" s="307" t="n">
        <f aca="false">C27+D27</f>
        <v>1.552</v>
      </c>
      <c r="F27" s="308" t="n">
        <f aca="false">C27*C13+D27*C14</f>
        <v>260.01</v>
      </c>
      <c r="G27" s="309" t="n">
        <f aca="false">IF('Step1-System Details'!E17="DDR3",CLK_PERIOD-I27-G499-I499,"NA")</f>
        <v>899.12</v>
      </c>
      <c r="H27" s="309" t="n">
        <f aca="false">IF(F27&lt;0.001, 0, F28-F27-I499-G500+CLK_PERIOD/2*INVERT_CLK)</f>
        <v>-94.1199999999999</v>
      </c>
      <c r="I27" s="309" t="n">
        <f aca="false">IF('Step1-System Details'!E17="DDR3",IF(E19="1",H27+CLK_PERIOD/2,H27),"NA")</f>
        <v>1155.88</v>
      </c>
      <c r="K27" s="310"/>
      <c r="L27" s="306"/>
      <c r="M27" s="306"/>
      <c r="N27" s="306"/>
      <c r="P27" s="311"/>
      <c r="Q27" s="311"/>
    </row>
    <row r="28" customFormat="false" ht="12.5" hidden="false" customHeight="false" outlineLevel="0" collapsed="false">
      <c r="B28" s="293" t="s">
        <v>246</v>
      </c>
      <c r="C28" s="307" t="n">
        <f aca="false">'Step3-Board Details'!H30</f>
        <v>2.117</v>
      </c>
      <c r="D28" s="307" t="n">
        <f aca="false">'Step3-Board Details'!I30</f>
        <v>1.601</v>
      </c>
      <c r="E28" s="307" t="n">
        <f aca="false">C28+D28</f>
        <v>3.718</v>
      </c>
      <c r="F28" s="308" t="n">
        <f aca="false">C28*C13+D28*C14</f>
        <v>610.89</v>
      </c>
      <c r="G28" s="309"/>
      <c r="H28" s="309"/>
      <c r="I28" s="309"/>
      <c r="K28" s="310"/>
      <c r="L28" s="306"/>
      <c r="M28" s="306"/>
      <c r="N28" s="306"/>
    </row>
    <row r="29" customFormat="false" ht="12.5" hidden="false" customHeight="false" outlineLevel="0" collapsed="false">
      <c r="B29" s="293" t="s">
        <v>247</v>
      </c>
      <c r="C29" s="307" t="n">
        <f aca="false">'Step3-Board Details'!J31</f>
        <v>0.341</v>
      </c>
      <c r="D29" s="307" t="n">
        <f aca="false">'Step3-Board Details'!K31</f>
        <v>1.532</v>
      </c>
      <c r="E29" s="307" t="n">
        <f aca="false">C29+D29</f>
        <v>1.873</v>
      </c>
      <c r="F29" s="308" t="n">
        <f aca="false">C29*C13+D29*C14</f>
        <v>315</v>
      </c>
      <c r="G29" s="309" t="n">
        <f aca="false">IF('Step1-System Details'!E17="DDR3",CLK_PERIOD-I29-G499-I499,"NA")</f>
        <v>829.33</v>
      </c>
      <c r="H29" s="309" t="n">
        <f aca="false">IF(F29&lt;0.001, 0, F30-F29-I499-G500+CLK_PERIOD/2*INVERT_CLK)</f>
        <v>-24.3299999999999</v>
      </c>
      <c r="I29" s="309" t="n">
        <f aca="false">IF('Step1-System Details'!E17="DDR3",IF(E19="1",H29+CLK_PERIOD/2,H29),"NA")</f>
        <v>1225.67</v>
      </c>
      <c r="K29" s="310"/>
      <c r="L29" s="306"/>
      <c r="M29" s="306"/>
      <c r="N29" s="306"/>
    </row>
    <row r="30" customFormat="false" ht="12.5" hidden="false" customHeight="false" outlineLevel="0" collapsed="false">
      <c r="B30" s="293" t="s">
        <v>248</v>
      </c>
      <c r="C30" s="307" t="n">
        <f aca="false">'Step3-Board Details'!J30</f>
        <v>2.117</v>
      </c>
      <c r="D30" s="307" t="n">
        <f aca="false">'Step3-Board Details'!K30</f>
        <v>2.335</v>
      </c>
      <c r="E30" s="307" t="n">
        <f aca="false">C30+D30</f>
        <v>4.452</v>
      </c>
      <c r="F30" s="308" t="n">
        <f aca="false">C30*C13+D30*C14</f>
        <v>735.67</v>
      </c>
      <c r="G30" s="309"/>
      <c r="H30" s="309"/>
      <c r="I30" s="309"/>
      <c r="K30" s="310"/>
      <c r="L30" s="306"/>
      <c r="M30" s="306"/>
      <c r="N30" s="306"/>
    </row>
    <row r="31" customFormat="false" ht="12.5" hidden="false" customHeight="false" outlineLevel="0" collapsed="false">
      <c r="C31" s="312"/>
      <c r="D31" s="313"/>
      <c r="E31" s="313"/>
      <c r="F31" s="312"/>
    </row>
    <row r="32" customFormat="false" ht="13" hidden="false" customHeight="false" outlineLevel="0" collapsed="false">
      <c r="B32" s="314" t="s">
        <v>249</v>
      </c>
    </row>
    <row r="33" customFormat="false" ht="13" hidden="false" customHeight="false" outlineLevel="0" collapsed="false">
      <c r="B33" s="314"/>
    </row>
    <row r="34" customFormat="false" ht="12.5" hidden="false" customHeight="false" outlineLevel="0" collapsed="false">
      <c r="B34" s="270" t="s">
        <v>250</v>
      </c>
      <c r="C34" s="270"/>
      <c r="D34" s="270"/>
      <c r="E34" s="270"/>
      <c r="F34" s="270"/>
      <c r="G34" s="270"/>
      <c r="H34" s="270"/>
      <c r="I34" s="270"/>
      <c r="O34" s="315" t="s">
        <v>251</v>
      </c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</row>
    <row r="35" customFormat="false" ht="13" hidden="false" customHeight="false" outlineLevel="0" collapsed="false">
      <c r="B35" s="270"/>
      <c r="C35" s="270"/>
      <c r="D35" s="270"/>
      <c r="E35" s="270"/>
      <c r="F35" s="270"/>
      <c r="G35" s="270"/>
      <c r="H35" s="270"/>
      <c r="I35" s="270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</row>
    <row r="36" customFormat="false" ht="12.5" hidden="false" customHeight="false" outlineLevel="0" collapsed="false">
      <c r="B36" s="273"/>
      <c r="C36" s="274"/>
      <c r="D36" s="274"/>
      <c r="E36" s="274"/>
      <c r="F36" s="274"/>
      <c r="G36" s="274"/>
      <c r="H36" s="274"/>
      <c r="I36" s="275"/>
      <c r="O36" s="273"/>
      <c r="P36" s="274"/>
      <c r="Q36" s="274"/>
      <c r="R36" s="274"/>
      <c r="S36" s="274"/>
      <c r="T36" s="274"/>
      <c r="U36" s="274"/>
      <c r="V36" s="274"/>
      <c r="W36" s="274"/>
      <c r="X36" s="274"/>
      <c r="Y36" s="274"/>
      <c r="Z36" s="274"/>
      <c r="AA36" s="274"/>
      <c r="AB36" s="274"/>
      <c r="AC36" s="275"/>
    </row>
    <row r="37" customFormat="false" ht="12.5" hidden="false" customHeight="false" outlineLevel="0" collapsed="false">
      <c r="B37" s="276"/>
      <c r="C37" s="272"/>
      <c r="D37" s="272"/>
      <c r="E37" s="272"/>
      <c r="F37" s="272"/>
      <c r="G37" s="272"/>
      <c r="H37" s="272"/>
      <c r="I37" s="277"/>
      <c r="O37" s="276"/>
      <c r="P37" s="272"/>
      <c r="Q37" s="272"/>
      <c r="R37" s="272"/>
      <c r="S37" s="272"/>
      <c r="T37" s="272"/>
      <c r="U37" s="272"/>
      <c r="V37" s="272"/>
      <c r="W37" s="272"/>
      <c r="X37" s="272"/>
      <c r="Y37" s="272"/>
      <c r="Z37" s="272"/>
      <c r="AA37" s="272"/>
      <c r="AB37" s="272"/>
      <c r="AC37" s="277"/>
    </row>
    <row r="38" customFormat="false" ht="12.5" hidden="false" customHeight="false" outlineLevel="0" collapsed="false">
      <c r="B38" s="276"/>
      <c r="C38" s="272"/>
      <c r="D38" s="272"/>
      <c r="E38" s="272"/>
      <c r="F38" s="272"/>
      <c r="G38" s="272"/>
      <c r="H38" s="272"/>
      <c r="I38" s="277"/>
      <c r="O38" s="276"/>
      <c r="P38" s="272"/>
      <c r="Q38" s="272"/>
      <c r="R38" s="272"/>
      <c r="S38" s="272"/>
      <c r="T38" s="272"/>
      <c r="U38" s="272"/>
      <c r="V38" s="272"/>
      <c r="W38" s="272"/>
      <c r="X38" s="272"/>
      <c r="Y38" s="272"/>
      <c r="Z38" s="272"/>
      <c r="AA38" s="272"/>
      <c r="AB38" s="272"/>
      <c r="AC38" s="277"/>
    </row>
    <row r="39" customFormat="false" ht="12.5" hidden="false" customHeight="false" outlineLevel="0" collapsed="false">
      <c r="B39" s="276"/>
      <c r="C39" s="272"/>
      <c r="D39" s="272"/>
      <c r="E39" s="272"/>
      <c r="F39" s="272"/>
      <c r="G39" s="272"/>
      <c r="H39" s="272"/>
      <c r="I39" s="277"/>
      <c r="O39" s="276"/>
      <c r="P39" s="272"/>
      <c r="Q39" s="272"/>
      <c r="R39" s="272"/>
      <c r="S39" s="272"/>
      <c r="T39" s="272"/>
      <c r="U39" s="272"/>
      <c r="V39" s="272"/>
      <c r="W39" s="272"/>
      <c r="X39" s="272"/>
      <c r="Y39" s="272"/>
      <c r="Z39" s="272"/>
      <c r="AA39" s="272"/>
      <c r="AB39" s="272"/>
      <c r="AC39" s="277"/>
      <c r="AD39" s="272"/>
      <c r="AE39" s="272"/>
      <c r="AF39" s="272"/>
    </row>
    <row r="40" customFormat="false" ht="12.5" hidden="false" customHeight="false" outlineLevel="0" collapsed="false">
      <c r="B40" s="276"/>
      <c r="C40" s="272"/>
      <c r="D40" s="272"/>
      <c r="E40" s="272"/>
      <c r="F40" s="272"/>
      <c r="G40" s="272"/>
      <c r="H40" s="272"/>
      <c r="I40" s="277"/>
      <c r="O40" s="276"/>
      <c r="P40" s="272"/>
      <c r="Q40" s="272"/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7"/>
      <c r="AD40" s="272"/>
      <c r="AE40" s="272"/>
      <c r="AF40" s="272"/>
    </row>
    <row r="41" customFormat="false" ht="12.5" hidden="false" customHeight="false" outlineLevel="0" collapsed="false">
      <c r="B41" s="276"/>
      <c r="C41" s="272"/>
      <c r="D41" s="272"/>
      <c r="E41" s="272"/>
      <c r="F41" s="272"/>
      <c r="G41" s="272"/>
      <c r="H41" s="272"/>
      <c r="I41" s="277"/>
      <c r="O41" s="276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2"/>
      <c r="AB41" s="272"/>
      <c r="AC41" s="277"/>
      <c r="AD41" s="272"/>
      <c r="AE41" s="272"/>
      <c r="AF41" s="272"/>
    </row>
    <row r="42" customFormat="false" ht="12.5" hidden="false" customHeight="false" outlineLevel="0" collapsed="false">
      <c r="B42" s="276"/>
      <c r="C42" s="272"/>
      <c r="D42" s="272"/>
      <c r="E42" s="272"/>
      <c r="F42" s="272"/>
      <c r="G42" s="272"/>
      <c r="H42" s="272"/>
      <c r="I42" s="277"/>
      <c r="O42" s="276"/>
      <c r="P42" s="272"/>
      <c r="Q42" s="272"/>
      <c r="R42" s="272"/>
      <c r="S42" s="272"/>
      <c r="T42" s="272"/>
      <c r="U42" s="272"/>
      <c r="V42" s="272"/>
      <c r="W42" s="272"/>
      <c r="X42" s="272"/>
      <c r="Y42" s="272"/>
      <c r="Z42" s="272"/>
      <c r="AA42" s="272"/>
      <c r="AB42" s="272"/>
      <c r="AC42" s="277"/>
      <c r="AD42" s="272"/>
      <c r="AE42" s="272"/>
      <c r="AF42" s="272"/>
    </row>
    <row r="43" customFormat="false" ht="12.5" hidden="false" customHeight="false" outlineLevel="0" collapsed="false">
      <c r="B43" s="276"/>
      <c r="C43" s="272"/>
      <c r="D43" s="272"/>
      <c r="E43" s="272"/>
      <c r="F43" s="272"/>
      <c r="G43" s="272"/>
      <c r="H43" s="272"/>
      <c r="I43" s="277"/>
      <c r="O43" s="276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7"/>
      <c r="AD43" s="272"/>
      <c r="AE43" s="272"/>
      <c r="AF43" s="272"/>
    </row>
    <row r="44" customFormat="false" ht="12.5" hidden="false" customHeight="false" outlineLevel="0" collapsed="false">
      <c r="B44" s="276"/>
      <c r="C44" s="272"/>
      <c r="D44" s="272"/>
      <c r="E44" s="272"/>
      <c r="F44" s="272"/>
      <c r="G44" s="272"/>
      <c r="H44" s="272"/>
      <c r="I44" s="277"/>
      <c r="O44" s="276"/>
      <c r="P44" s="272"/>
      <c r="Q44" s="272"/>
      <c r="R44" s="272"/>
      <c r="S44" s="272"/>
      <c r="T44" s="272"/>
      <c r="U44" s="272"/>
      <c r="V44" s="272"/>
      <c r="W44" s="272"/>
      <c r="X44" s="272"/>
      <c r="Y44" s="272"/>
      <c r="Z44" s="272"/>
      <c r="AA44" s="272"/>
      <c r="AB44" s="272"/>
      <c r="AC44" s="277"/>
      <c r="AD44" s="272"/>
      <c r="AE44" s="272"/>
      <c r="AF44" s="272"/>
    </row>
    <row r="45" customFormat="false" ht="12.5" hidden="false" customHeight="false" outlineLevel="0" collapsed="false">
      <c r="B45" s="276"/>
      <c r="C45" s="272"/>
      <c r="D45" s="272"/>
      <c r="E45" s="272"/>
      <c r="F45" s="272"/>
      <c r="G45" s="272"/>
      <c r="H45" s="272"/>
      <c r="I45" s="277"/>
      <c r="O45" s="276"/>
      <c r="P45" s="272"/>
      <c r="Q45" s="272"/>
      <c r="R45" s="272"/>
      <c r="S45" s="272"/>
      <c r="T45" s="272"/>
      <c r="U45" s="272"/>
      <c r="V45" s="272"/>
      <c r="W45" s="272"/>
      <c r="X45" s="272"/>
      <c r="Y45" s="272"/>
      <c r="Z45" s="272"/>
      <c r="AA45" s="272"/>
      <c r="AB45" s="272"/>
      <c r="AC45" s="277"/>
      <c r="AD45" s="272"/>
      <c r="AE45" s="272"/>
      <c r="AF45" s="272"/>
    </row>
    <row r="46" customFormat="false" ht="12.5" hidden="false" customHeight="false" outlineLevel="0" collapsed="false">
      <c r="B46" s="276"/>
      <c r="C46" s="272"/>
      <c r="D46" s="272"/>
      <c r="E46" s="272"/>
      <c r="F46" s="272"/>
      <c r="G46" s="272"/>
      <c r="H46" s="272"/>
      <c r="I46" s="277"/>
      <c r="O46" s="276"/>
      <c r="P46" s="272"/>
      <c r="Q46" s="272"/>
      <c r="R46" s="272"/>
      <c r="S46" s="272"/>
      <c r="T46" s="272"/>
      <c r="U46" s="272"/>
      <c r="V46" s="272"/>
      <c r="W46" s="272"/>
      <c r="X46" s="272"/>
      <c r="Y46" s="272"/>
      <c r="Z46" s="272"/>
      <c r="AA46" s="272"/>
      <c r="AB46" s="272"/>
      <c r="AC46" s="277"/>
      <c r="AD46" s="272"/>
      <c r="AE46" s="272"/>
      <c r="AF46" s="272"/>
    </row>
    <row r="47" customFormat="false" ht="12.5" hidden="false" customHeight="false" outlineLevel="0" collapsed="false">
      <c r="B47" s="276"/>
      <c r="C47" s="272"/>
      <c r="D47" s="272"/>
      <c r="E47" s="272"/>
      <c r="F47" s="272"/>
      <c r="G47" s="272"/>
      <c r="H47" s="272"/>
      <c r="I47" s="277"/>
      <c r="O47" s="276"/>
      <c r="P47" s="272"/>
      <c r="Q47" s="272"/>
      <c r="R47" s="272"/>
      <c r="S47" s="272"/>
      <c r="T47" s="272"/>
      <c r="U47" s="272"/>
      <c r="V47" s="272"/>
      <c r="W47" s="272"/>
      <c r="X47" s="272"/>
      <c r="Y47" s="272"/>
      <c r="Z47" s="272"/>
      <c r="AA47" s="272"/>
      <c r="AB47" s="272"/>
      <c r="AC47" s="277"/>
      <c r="AD47" s="272"/>
      <c r="AE47" s="272"/>
      <c r="AF47" s="272"/>
    </row>
    <row r="48" customFormat="false" ht="12.5" hidden="false" customHeight="false" outlineLevel="0" collapsed="false">
      <c r="B48" s="276"/>
      <c r="C48" s="272"/>
      <c r="D48" s="272"/>
      <c r="E48" s="272"/>
      <c r="F48" s="272"/>
      <c r="G48" s="272"/>
      <c r="H48" s="272"/>
      <c r="I48" s="277"/>
      <c r="O48" s="276"/>
      <c r="P48" s="272"/>
      <c r="Q48" s="272"/>
      <c r="R48" s="272"/>
      <c r="S48" s="272"/>
      <c r="T48" s="272"/>
      <c r="U48" s="272"/>
      <c r="V48" s="272"/>
      <c r="W48" s="272"/>
      <c r="X48" s="272"/>
      <c r="Y48" s="272"/>
      <c r="Z48" s="272"/>
      <c r="AA48" s="272"/>
      <c r="AB48" s="272"/>
      <c r="AC48" s="277"/>
      <c r="AD48" s="272"/>
      <c r="AE48" s="272"/>
      <c r="AF48" s="272"/>
    </row>
    <row r="49" customFormat="false" ht="12.5" hidden="false" customHeight="false" outlineLevel="0" collapsed="false">
      <c r="B49" s="276"/>
      <c r="C49" s="272"/>
      <c r="D49" s="272"/>
      <c r="E49" s="272"/>
      <c r="F49" s="272"/>
      <c r="G49" s="272"/>
      <c r="H49" s="272"/>
      <c r="I49" s="277"/>
      <c r="O49" s="276"/>
      <c r="P49" s="272"/>
      <c r="Q49" s="272"/>
      <c r="R49" s="272"/>
      <c r="S49" s="272"/>
      <c r="T49" s="272"/>
      <c r="U49" s="272"/>
      <c r="V49" s="272"/>
      <c r="W49" s="272"/>
      <c r="X49" s="272"/>
      <c r="Y49" s="272"/>
      <c r="Z49" s="272"/>
      <c r="AA49" s="272"/>
      <c r="AB49" s="272"/>
      <c r="AC49" s="277"/>
      <c r="AD49" s="272"/>
      <c r="AE49" s="272"/>
      <c r="AF49" s="272"/>
    </row>
    <row r="50" customFormat="false" ht="13" hidden="false" customHeight="false" outlineLevel="0" collapsed="false">
      <c r="B50" s="278"/>
      <c r="C50" s="279"/>
      <c r="D50" s="279"/>
      <c r="E50" s="279"/>
      <c r="F50" s="279"/>
      <c r="G50" s="279"/>
      <c r="H50" s="279"/>
      <c r="I50" s="280"/>
      <c r="O50" s="276"/>
      <c r="P50" s="272"/>
      <c r="Q50" s="272"/>
      <c r="R50" s="272"/>
      <c r="S50" s="272"/>
      <c r="T50" s="272"/>
      <c r="U50" s="272"/>
      <c r="V50" s="272"/>
      <c r="W50" s="272"/>
      <c r="X50" s="272"/>
      <c r="Y50" s="272"/>
      <c r="Z50" s="272"/>
      <c r="AA50" s="272"/>
      <c r="AB50" s="272"/>
      <c r="AC50" s="277"/>
      <c r="AD50" s="272"/>
      <c r="AE50" s="272"/>
      <c r="AF50" s="272"/>
    </row>
    <row r="51" customFormat="false" ht="12.5" hidden="false" customHeight="false" outlineLevel="0" collapsed="false">
      <c r="O51" s="276"/>
      <c r="P51" s="272"/>
      <c r="Q51" s="272"/>
      <c r="R51" s="272"/>
      <c r="S51" s="272"/>
      <c r="T51" s="272"/>
      <c r="U51" s="272"/>
      <c r="V51" s="272"/>
      <c r="W51" s="272"/>
      <c r="X51" s="272"/>
      <c r="Y51" s="272"/>
      <c r="Z51" s="272"/>
      <c r="AA51" s="272"/>
      <c r="AB51" s="272"/>
      <c r="AC51" s="277"/>
      <c r="AD51" s="272"/>
      <c r="AE51" s="272"/>
      <c r="AF51" s="272"/>
    </row>
    <row r="52" customFormat="false" ht="12.5" hidden="false" customHeight="false" outlineLevel="0" collapsed="false">
      <c r="O52" s="276"/>
      <c r="P52" s="272"/>
      <c r="Q52" s="272"/>
      <c r="R52" s="272"/>
      <c r="S52" s="272"/>
      <c r="T52" s="272"/>
      <c r="U52" s="272"/>
      <c r="V52" s="272"/>
      <c r="W52" s="272"/>
      <c r="X52" s="272"/>
      <c r="Y52" s="272"/>
      <c r="Z52" s="272"/>
      <c r="AA52" s="272"/>
      <c r="AB52" s="272"/>
      <c r="AC52" s="277"/>
      <c r="AD52" s="272"/>
      <c r="AE52" s="272"/>
      <c r="AF52" s="272"/>
    </row>
    <row r="53" customFormat="false" ht="12.5" hidden="false" customHeight="false" outlineLevel="0" collapsed="false">
      <c r="B53" s="270" t="s">
        <v>252</v>
      </c>
      <c r="C53" s="270"/>
      <c r="D53" s="270"/>
      <c r="E53" s="270"/>
      <c r="F53" s="270"/>
      <c r="G53" s="270"/>
      <c r="H53" s="270"/>
      <c r="I53" s="270"/>
      <c r="O53" s="276"/>
      <c r="P53" s="272"/>
      <c r="Q53" s="272"/>
      <c r="R53" s="272"/>
      <c r="S53" s="272"/>
      <c r="T53" s="272"/>
      <c r="U53" s="272"/>
      <c r="V53" s="272"/>
      <c r="W53" s="272"/>
      <c r="X53" s="272"/>
      <c r="Y53" s="272"/>
      <c r="Z53" s="272"/>
      <c r="AA53" s="272"/>
      <c r="AB53" s="272"/>
      <c r="AC53" s="277"/>
      <c r="AD53" s="272"/>
      <c r="AE53" s="272"/>
      <c r="AF53" s="272"/>
    </row>
    <row r="54" customFormat="false" ht="13" hidden="false" customHeight="false" outlineLevel="0" collapsed="false">
      <c r="B54" s="270"/>
      <c r="C54" s="270"/>
      <c r="D54" s="270"/>
      <c r="E54" s="270"/>
      <c r="F54" s="270"/>
      <c r="G54" s="270"/>
      <c r="H54" s="270"/>
      <c r="I54" s="270"/>
      <c r="O54" s="276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7"/>
      <c r="AD54" s="272"/>
      <c r="AE54" s="272"/>
      <c r="AF54" s="272"/>
    </row>
    <row r="55" customFormat="false" ht="12.5" hidden="false" customHeight="false" outlineLevel="0" collapsed="false">
      <c r="B55" s="273"/>
      <c r="C55" s="274"/>
      <c r="D55" s="274"/>
      <c r="E55" s="274"/>
      <c r="F55" s="274"/>
      <c r="G55" s="274"/>
      <c r="H55" s="274"/>
      <c r="I55" s="275"/>
      <c r="O55" s="276"/>
      <c r="P55" s="272"/>
      <c r="Q55" s="272"/>
      <c r="R55" s="272"/>
      <c r="S55" s="272"/>
      <c r="T55" s="272"/>
      <c r="U55" s="272"/>
      <c r="V55" s="272"/>
      <c r="W55" s="272"/>
      <c r="X55" s="272"/>
      <c r="Y55" s="272"/>
      <c r="Z55" s="272"/>
      <c r="AA55" s="272"/>
      <c r="AB55" s="272"/>
      <c r="AC55" s="277"/>
      <c r="AD55" s="272"/>
      <c r="AE55" s="272"/>
      <c r="AF55" s="272"/>
    </row>
    <row r="56" customFormat="false" ht="12.5" hidden="false" customHeight="false" outlineLevel="0" collapsed="false">
      <c r="B56" s="276"/>
      <c r="C56" s="272"/>
      <c r="D56" s="272"/>
      <c r="E56" s="272"/>
      <c r="F56" s="272"/>
      <c r="G56" s="272"/>
      <c r="H56" s="272"/>
      <c r="I56" s="277"/>
      <c r="O56" s="276"/>
      <c r="P56" s="272"/>
      <c r="Q56" s="272"/>
      <c r="R56" s="272"/>
      <c r="S56" s="272"/>
      <c r="T56" s="272"/>
      <c r="U56" s="272"/>
      <c r="V56" s="272"/>
      <c r="W56" s="272"/>
      <c r="X56" s="272"/>
      <c r="Y56" s="272"/>
      <c r="Z56" s="272"/>
      <c r="AA56" s="272"/>
      <c r="AB56" s="272"/>
      <c r="AC56" s="277"/>
      <c r="AD56" s="272"/>
      <c r="AE56" s="272"/>
      <c r="AF56" s="272"/>
    </row>
    <row r="57" customFormat="false" ht="12.5" hidden="false" customHeight="false" outlineLevel="0" collapsed="false">
      <c r="B57" s="276"/>
      <c r="C57" s="272"/>
      <c r="D57" s="272"/>
      <c r="E57" s="272"/>
      <c r="F57" s="272"/>
      <c r="G57" s="272"/>
      <c r="H57" s="272"/>
      <c r="I57" s="277"/>
      <c r="O57" s="276"/>
      <c r="P57" s="272"/>
      <c r="Q57" s="272"/>
      <c r="R57" s="272"/>
      <c r="S57" s="272"/>
      <c r="T57" s="272"/>
      <c r="U57" s="272"/>
      <c r="V57" s="272"/>
      <c r="W57" s="272"/>
      <c r="X57" s="272"/>
      <c r="Y57" s="272"/>
      <c r="Z57" s="272"/>
      <c r="AA57" s="272"/>
      <c r="AB57" s="272"/>
      <c r="AC57" s="277"/>
      <c r="AD57" s="272"/>
      <c r="AE57" s="272"/>
      <c r="AF57" s="272"/>
    </row>
    <row r="58" customFormat="false" ht="12.5" hidden="false" customHeight="false" outlineLevel="0" collapsed="false">
      <c r="B58" s="276"/>
      <c r="C58" s="272"/>
      <c r="D58" s="272"/>
      <c r="E58" s="272"/>
      <c r="F58" s="272"/>
      <c r="G58" s="272"/>
      <c r="H58" s="272"/>
      <c r="I58" s="277"/>
      <c r="O58" s="276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7"/>
      <c r="AD58" s="272"/>
      <c r="AE58" s="272"/>
      <c r="AF58" s="272"/>
    </row>
    <row r="59" customFormat="false" ht="12.5" hidden="false" customHeight="false" outlineLevel="0" collapsed="false">
      <c r="B59" s="276"/>
      <c r="C59" s="272"/>
      <c r="D59" s="272"/>
      <c r="E59" s="272"/>
      <c r="F59" s="272"/>
      <c r="G59" s="272"/>
      <c r="H59" s="272"/>
      <c r="I59" s="277"/>
      <c r="O59" s="276"/>
      <c r="P59" s="272"/>
      <c r="Q59" s="272"/>
      <c r="R59" s="272"/>
      <c r="S59" s="272"/>
      <c r="T59" s="272"/>
      <c r="U59" s="272"/>
      <c r="V59" s="272"/>
      <c r="W59" s="272"/>
      <c r="X59" s="272"/>
      <c r="Y59" s="272"/>
      <c r="Z59" s="272"/>
      <c r="AA59" s="272"/>
      <c r="AB59" s="272"/>
      <c r="AC59" s="277"/>
      <c r="AD59" s="272"/>
      <c r="AE59" s="272"/>
      <c r="AF59" s="272"/>
    </row>
    <row r="60" customFormat="false" ht="12.5" hidden="false" customHeight="false" outlineLevel="0" collapsed="false">
      <c r="B60" s="276"/>
      <c r="C60" s="272"/>
      <c r="D60" s="272"/>
      <c r="E60" s="272"/>
      <c r="F60" s="272"/>
      <c r="G60" s="272"/>
      <c r="H60" s="272"/>
      <c r="I60" s="277"/>
      <c r="O60" s="276"/>
      <c r="P60" s="272"/>
      <c r="Q60" s="272"/>
      <c r="R60" s="272"/>
      <c r="S60" s="272"/>
      <c r="T60" s="272"/>
      <c r="U60" s="272"/>
      <c r="V60" s="272"/>
      <c r="W60" s="272"/>
      <c r="X60" s="272"/>
      <c r="Y60" s="272"/>
      <c r="Z60" s="272"/>
      <c r="AA60" s="272"/>
      <c r="AB60" s="272"/>
      <c r="AC60" s="277"/>
      <c r="AD60" s="272"/>
      <c r="AE60" s="272"/>
      <c r="AF60" s="272"/>
    </row>
    <row r="61" customFormat="false" ht="13" hidden="false" customHeight="false" outlineLevel="0" collapsed="false">
      <c r="B61" s="276"/>
      <c r="C61" s="272"/>
      <c r="D61" s="272"/>
      <c r="E61" s="272"/>
      <c r="F61" s="272"/>
      <c r="G61" s="272"/>
      <c r="H61" s="272"/>
      <c r="I61" s="277"/>
      <c r="O61" s="278"/>
      <c r="P61" s="279"/>
      <c r="Q61" s="279"/>
      <c r="R61" s="279"/>
      <c r="S61" s="279"/>
      <c r="T61" s="279"/>
      <c r="U61" s="279"/>
      <c r="V61" s="279"/>
      <c r="W61" s="279"/>
      <c r="X61" s="279"/>
      <c r="Y61" s="279"/>
      <c r="Z61" s="279"/>
      <c r="AA61" s="279"/>
      <c r="AB61" s="279"/>
      <c r="AC61" s="280"/>
      <c r="AD61" s="272"/>
      <c r="AE61" s="272"/>
      <c r="AF61" s="272"/>
    </row>
    <row r="62" customFormat="false" ht="12.5" hidden="false" customHeight="false" outlineLevel="0" collapsed="false">
      <c r="B62" s="276"/>
      <c r="C62" s="272"/>
      <c r="D62" s="272"/>
      <c r="E62" s="272"/>
      <c r="F62" s="272"/>
      <c r="G62" s="272"/>
      <c r="H62" s="272"/>
      <c r="I62" s="277"/>
      <c r="AA62" s="272"/>
      <c r="AB62" s="272"/>
      <c r="AC62" s="272"/>
      <c r="AD62" s="272"/>
      <c r="AE62" s="272"/>
      <c r="AF62" s="272"/>
    </row>
    <row r="63" customFormat="false" ht="12.5" hidden="false" customHeight="false" outlineLevel="0" collapsed="false">
      <c r="B63" s="276"/>
      <c r="C63" s="272"/>
      <c r="D63" s="272"/>
      <c r="E63" s="272"/>
      <c r="F63" s="272"/>
      <c r="G63" s="272"/>
      <c r="H63" s="272"/>
      <c r="I63" s="277"/>
      <c r="AA63" s="272"/>
      <c r="AB63" s="272"/>
      <c r="AC63" s="272"/>
      <c r="AD63" s="272"/>
      <c r="AE63" s="272"/>
      <c r="AF63" s="272"/>
    </row>
    <row r="64" customFormat="false" ht="12.5" hidden="false" customHeight="false" outlineLevel="0" collapsed="false">
      <c r="B64" s="276"/>
      <c r="C64" s="272"/>
      <c r="D64" s="272"/>
      <c r="E64" s="272"/>
      <c r="F64" s="272"/>
      <c r="G64" s="272"/>
      <c r="H64" s="272"/>
      <c r="I64" s="277"/>
      <c r="AA64" s="272"/>
      <c r="AB64" s="272"/>
      <c r="AC64" s="272"/>
      <c r="AD64" s="272"/>
      <c r="AE64" s="272"/>
      <c r="AF64" s="272"/>
    </row>
    <row r="65" customFormat="false" ht="12.5" hidden="false" customHeight="false" outlineLevel="0" collapsed="false">
      <c r="B65" s="276"/>
      <c r="C65" s="272"/>
      <c r="D65" s="272"/>
      <c r="E65" s="272"/>
      <c r="F65" s="272"/>
      <c r="G65" s="272"/>
      <c r="H65" s="272"/>
      <c r="I65" s="277"/>
      <c r="O65" s="272"/>
      <c r="P65" s="272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</row>
    <row r="66" customFormat="false" ht="12.5" hidden="false" customHeight="false" outlineLevel="0" collapsed="false">
      <c r="B66" s="276"/>
      <c r="C66" s="272"/>
      <c r="D66" s="272"/>
      <c r="E66" s="272"/>
      <c r="F66" s="272"/>
      <c r="G66" s="272"/>
      <c r="H66" s="272"/>
      <c r="I66" s="277"/>
      <c r="O66" s="272"/>
      <c r="P66" s="272"/>
      <c r="Q66" s="272"/>
      <c r="R66" s="272"/>
      <c r="S66" s="272"/>
      <c r="T66" s="272"/>
      <c r="U66" s="272"/>
      <c r="V66" s="272"/>
      <c r="W66" s="272"/>
      <c r="X66" s="272"/>
      <c r="Y66" s="272"/>
      <c r="Z66" s="272"/>
      <c r="AA66" s="272"/>
      <c r="AB66" s="272"/>
      <c r="AC66" s="272"/>
      <c r="AD66" s="272"/>
      <c r="AE66" s="272"/>
      <c r="AF66" s="272"/>
    </row>
    <row r="67" customFormat="false" ht="12.5" hidden="false" customHeight="false" outlineLevel="0" collapsed="false">
      <c r="B67" s="276"/>
      <c r="C67" s="272"/>
      <c r="D67" s="272"/>
      <c r="E67" s="272"/>
      <c r="F67" s="272"/>
      <c r="G67" s="272"/>
      <c r="H67" s="272"/>
      <c r="I67" s="277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2"/>
      <c r="AA67" s="272"/>
      <c r="AB67" s="272"/>
      <c r="AC67" s="272"/>
      <c r="AD67" s="272"/>
      <c r="AE67" s="272"/>
      <c r="AF67" s="272"/>
    </row>
    <row r="68" customFormat="false" ht="12.5" hidden="false" customHeight="false" outlineLevel="0" collapsed="false">
      <c r="B68" s="276"/>
      <c r="C68" s="272"/>
      <c r="D68" s="272"/>
      <c r="E68" s="272"/>
      <c r="F68" s="272"/>
      <c r="G68" s="272"/>
      <c r="H68" s="272"/>
      <c r="I68" s="277"/>
      <c r="O68" s="272"/>
      <c r="P68" s="272"/>
      <c r="Q68" s="272"/>
      <c r="R68" s="272"/>
      <c r="S68" s="272"/>
      <c r="T68" s="272"/>
      <c r="U68" s="272"/>
      <c r="V68" s="272"/>
      <c r="W68" s="272"/>
      <c r="X68" s="272"/>
      <c r="Y68" s="272"/>
      <c r="Z68" s="272"/>
      <c r="AA68" s="272"/>
      <c r="AB68" s="272"/>
      <c r="AC68" s="272"/>
      <c r="AD68" s="272"/>
      <c r="AE68" s="272"/>
      <c r="AF68" s="272"/>
    </row>
    <row r="69" customFormat="false" ht="13" hidden="false" customHeight="false" outlineLevel="0" collapsed="false">
      <c r="B69" s="278"/>
      <c r="C69" s="279"/>
      <c r="D69" s="279"/>
      <c r="E69" s="279"/>
      <c r="F69" s="279"/>
      <c r="G69" s="279"/>
      <c r="H69" s="279"/>
      <c r="I69" s="280"/>
      <c r="O69" s="272"/>
      <c r="P69" s="272"/>
      <c r="Q69" s="272"/>
      <c r="R69" s="272"/>
      <c r="S69" s="272"/>
      <c r="T69" s="272"/>
      <c r="U69" s="272"/>
      <c r="V69" s="272"/>
      <c r="W69" s="272"/>
      <c r="X69" s="272"/>
      <c r="Y69" s="272"/>
      <c r="Z69" s="272"/>
      <c r="AA69" s="272"/>
      <c r="AB69" s="272"/>
      <c r="AC69" s="272"/>
      <c r="AD69" s="272"/>
      <c r="AE69" s="272"/>
      <c r="AF69" s="272"/>
    </row>
    <row r="70" customFormat="false" ht="12.5" hidden="false" customHeight="false" outlineLevel="0" collapsed="false">
      <c r="O70" s="272"/>
      <c r="P70" s="272"/>
      <c r="Q70" s="272"/>
      <c r="R70" s="272"/>
      <c r="S70" s="272"/>
      <c r="T70" s="272"/>
      <c r="U70" s="272"/>
      <c r="V70" s="272"/>
      <c r="W70" s="272"/>
      <c r="X70" s="272"/>
      <c r="Y70" s="272"/>
      <c r="Z70" s="272"/>
      <c r="AA70" s="272"/>
      <c r="AB70" s="272"/>
      <c r="AC70" s="272"/>
      <c r="AD70" s="272"/>
      <c r="AE70" s="272"/>
      <c r="AF70" s="272"/>
    </row>
    <row r="71" customFormat="false" ht="12.5" hidden="false" customHeight="false" outlineLevel="0" collapsed="false">
      <c r="O71" s="272"/>
      <c r="P71" s="272"/>
      <c r="Q71" s="272"/>
      <c r="R71" s="272"/>
      <c r="S71" s="272"/>
      <c r="T71" s="272"/>
      <c r="U71" s="272"/>
      <c r="V71" s="272"/>
      <c r="W71" s="272"/>
      <c r="X71" s="272"/>
      <c r="Y71" s="272"/>
      <c r="Z71" s="272"/>
      <c r="AA71" s="272"/>
      <c r="AB71" s="272"/>
      <c r="AC71" s="272"/>
      <c r="AD71" s="272"/>
      <c r="AE71" s="272"/>
      <c r="AF71" s="272"/>
    </row>
    <row r="72" customFormat="false" ht="12.5" hidden="false" customHeight="false" outlineLevel="0" collapsed="false">
      <c r="O72" s="272"/>
      <c r="P72" s="272"/>
      <c r="Q72" s="272"/>
      <c r="R72" s="272"/>
      <c r="S72" s="272"/>
      <c r="T72" s="272"/>
      <c r="U72" s="272"/>
      <c r="V72" s="272"/>
      <c r="W72" s="272"/>
      <c r="X72" s="272"/>
      <c r="Y72" s="272"/>
      <c r="Z72" s="272"/>
      <c r="AA72" s="272"/>
      <c r="AB72" s="272"/>
      <c r="AC72" s="272"/>
      <c r="AD72" s="272"/>
      <c r="AE72" s="272"/>
      <c r="AF72" s="272"/>
    </row>
    <row r="73" customFormat="false" ht="12.5" hidden="false" customHeight="false" outlineLevel="0" collapsed="false">
      <c r="O73" s="272"/>
      <c r="P73" s="272"/>
      <c r="Q73" s="272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72"/>
      <c r="AC73" s="272"/>
      <c r="AD73" s="272"/>
      <c r="AE73" s="272"/>
      <c r="AF73" s="272"/>
    </row>
    <row r="74" customFormat="false" ht="12.5" hidden="false" customHeight="false" outlineLevel="0" collapsed="false">
      <c r="AA74" s="272"/>
      <c r="AB74" s="272"/>
      <c r="AC74" s="272"/>
    </row>
    <row r="75" customFormat="false" ht="12.5" hidden="false" customHeight="false" outlineLevel="0" collapsed="false">
      <c r="AA75" s="272"/>
      <c r="AB75" s="272"/>
      <c r="AC75" s="272"/>
    </row>
    <row r="76" customFormat="false" ht="12.5" hidden="false" customHeight="false" outlineLevel="0" collapsed="false">
      <c r="AA76" s="272"/>
      <c r="AB76" s="272"/>
      <c r="AC76" s="272"/>
    </row>
    <row r="77" customFormat="false" ht="12.5" hidden="false" customHeight="false" outlineLevel="0" collapsed="false">
      <c r="AA77" s="272"/>
      <c r="AB77" s="272"/>
      <c r="AC77" s="272"/>
    </row>
    <row r="78" customFormat="false" ht="12.5" hidden="false" customHeight="false" outlineLevel="0" collapsed="false">
      <c r="AA78" s="272"/>
      <c r="AB78" s="272"/>
      <c r="AC78" s="272"/>
    </row>
    <row r="79" customFormat="false" ht="12.5" hidden="false" customHeight="false" outlineLevel="0" collapsed="false">
      <c r="AA79" s="272"/>
      <c r="AB79" s="272"/>
      <c r="AC79" s="272"/>
    </row>
    <row r="80" customFormat="false" ht="12.5" hidden="false" customHeight="false" outlineLevel="0" collapsed="false">
      <c r="AA80" s="272"/>
      <c r="AB80" s="272"/>
      <c r="AC80" s="272"/>
    </row>
    <row r="498" customFormat="false" ht="12.5" hidden="true" customHeight="false" outlineLevel="0" collapsed="false">
      <c r="C498" s="156" t="s">
        <v>221</v>
      </c>
      <c r="D498" s="156" t="s">
        <v>222</v>
      </c>
      <c r="E498" s="156" t="s">
        <v>253</v>
      </c>
      <c r="F498" s="156" t="s">
        <v>254</v>
      </c>
      <c r="G498" s="156"/>
      <c r="I498" s="316" t="s">
        <v>255</v>
      </c>
    </row>
    <row r="499" customFormat="false" ht="12.5" hidden="true" customHeight="false" outlineLevel="0" collapsed="false">
      <c r="C499" s="156" t="n">
        <v>800</v>
      </c>
      <c r="D499" s="156" t="n">
        <v>400</v>
      </c>
      <c r="E499" s="156" t="n">
        <v>325</v>
      </c>
      <c r="F499" s="156" t="n">
        <v>325</v>
      </c>
      <c r="G499" s="156" t="n">
        <f aca="false">IF('Step1-System Details'!E17="DDR3",VLOOKUP(C15,C499:F504,3,0),"")</f>
        <v>245</v>
      </c>
      <c r="I499" s="156" t="n">
        <v>200</v>
      </c>
    </row>
    <row r="500" customFormat="false" ht="12.5" hidden="true" customHeight="false" outlineLevel="0" collapsed="false">
      <c r="C500" s="156" t="n">
        <v>1066</v>
      </c>
      <c r="D500" s="156" t="n">
        <v>533</v>
      </c>
      <c r="E500" s="156" t="n">
        <v>245</v>
      </c>
      <c r="F500" s="156" t="n">
        <v>245</v>
      </c>
      <c r="G500" s="156" t="n">
        <f aca="false">IF('Step1-System Details'!E17="DDR3",VLOOKUP(C15,C499:F504,4,0),"")</f>
        <v>245</v>
      </c>
      <c r="H500" s="156"/>
    </row>
    <row r="501" customFormat="false" ht="12.5" hidden="true" customHeight="false" outlineLevel="0" collapsed="false">
      <c r="C501" s="156" t="n">
        <v>1333</v>
      </c>
      <c r="D501" s="156" t="n">
        <v>667</v>
      </c>
      <c r="E501" s="156" t="n">
        <v>195</v>
      </c>
      <c r="F501" s="156" t="n">
        <v>195</v>
      </c>
      <c r="G501" s="156"/>
      <c r="H501" s="156"/>
    </row>
    <row r="502" customFormat="false" ht="12.5" hidden="true" customHeight="false" outlineLevel="0" collapsed="false">
      <c r="C502" s="156" t="n">
        <v>1600</v>
      </c>
      <c r="D502" s="156" t="n">
        <v>800</v>
      </c>
      <c r="E502" s="156" t="n">
        <v>165</v>
      </c>
      <c r="F502" s="156" t="n">
        <v>165</v>
      </c>
      <c r="G502" s="156"/>
      <c r="H502" s="156"/>
    </row>
    <row r="503" customFormat="false" ht="12.5" hidden="true" customHeight="false" outlineLevel="0" collapsed="false">
      <c r="C503" s="156" t="n">
        <v>1866</v>
      </c>
      <c r="D503" s="156" t="n">
        <v>933</v>
      </c>
      <c r="E503" s="156" t="n">
        <v>140</v>
      </c>
      <c r="F503" s="156" t="n">
        <v>140</v>
      </c>
      <c r="G503" s="156"/>
      <c r="H503" s="156"/>
    </row>
    <row r="504" customFormat="false" ht="12.5" hidden="true" customHeight="false" outlineLevel="0" collapsed="false">
      <c r="C504" s="156" t="n">
        <v>2133</v>
      </c>
      <c r="D504" s="156" t="n">
        <v>1067</v>
      </c>
      <c r="E504" s="156" t="n">
        <v>125</v>
      </c>
      <c r="F504" s="156" t="n">
        <v>125</v>
      </c>
      <c r="G504" s="156"/>
      <c r="H504" s="156"/>
    </row>
    <row r="505" customFormat="false" ht="12.5" hidden="false" customHeight="false" outlineLevel="0" collapsed="false">
      <c r="C505" s="156"/>
      <c r="D505" s="156"/>
      <c r="E505" s="156"/>
      <c r="F505" s="156"/>
      <c r="G505" s="156"/>
      <c r="H505" s="156"/>
    </row>
    <row r="506" customFormat="false" ht="12.5" hidden="false" customHeight="false" outlineLevel="0" collapsed="false">
      <c r="C506" s="156"/>
      <c r="D506" s="156"/>
      <c r="E506" s="156"/>
      <c r="F506" s="156"/>
      <c r="G506" s="156"/>
      <c r="H506" s="156"/>
    </row>
  </sheetData>
  <sheetProtection sheet="true" password="df21" objects="true" scenarios="true"/>
  <mergeCells count="18">
    <mergeCell ref="B2:S2"/>
    <mergeCell ref="B3:S3"/>
    <mergeCell ref="B4:S6"/>
    <mergeCell ref="B7:S8"/>
    <mergeCell ref="F19:G19"/>
    <mergeCell ref="F20:G20"/>
    <mergeCell ref="B21:B22"/>
    <mergeCell ref="C21:E22"/>
    <mergeCell ref="F21:F22"/>
    <mergeCell ref="G21:G22"/>
    <mergeCell ref="H21:H22"/>
    <mergeCell ref="I21:I22"/>
    <mergeCell ref="O23:U24"/>
    <mergeCell ref="P26:Q26"/>
    <mergeCell ref="P27:Q27"/>
    <mergeCell ref="B34:I35"/>
    <mergeCell ref="O34:AC35"/>
    <mergeCell ref="B53:I54"/>
  </mergeCells>
  <conditionalFormatting sqref="O23">
    <cfRule type="containsText" priority="2" operator="containsText" aboveAverage="0" equalAverage="0" bottom="0" percent="0" rank="0" text="ERROR - Invert Clock must be a 1" dxfId="29">
      <formula>NOT(ISERROR(SEARCH("ERROR - Invert Clock must be a 1",O23)))</formula>
    </cfRule>
  </conditionalFormatting>
  <conditionalFormatting sqref="P27:Q27">
    <cfRule type="containsText" priority="3" operator="containsText" aboveAverage="0" equalAverage="0" bottom="0" percent="0" rank="0" text="ERROR - Invert Clock must be a 1" dxfId="30">
      <formula>NOT(ISERROR(SEARCH("ERROR - Invert Clock must be a 1",P27)))</formula>
    </cfRule>
  </conditionalFormatting>
  <conditionalFormatting sqref="P26:Q26">
    <cfRule type="containsText" priority="4" operator="containsText" aboveAverage="0" equalAverage="0" bottom="0" percent="0" rank="0" text="ERROR - Invert Clock must be a 1" dxfId="31">
      <formula>NOT(ISERROR(SEARCH("ERROR - Invert Clock must be a 1",P26)))</formula>
    </cfRule>
  </conditionalFormatting>
  <dataValidations count="2">
    <dataValidation allowBlank="true" error="Routing Limit Exceeded" operator="lessThan" showDropDown="false" showErrorMessage="true" showInputMessage="true" sqref="K24" type="decimal">
      <formula1>2.5</formula1>
      <formula2>0</formula2>
    </dataValidation>
    <dataValidation allowBlank="true" error="Routing Limit Exceeded" operator="between" showDropDown="false" showErrorMessage="true" showInputMessage="true" sqref="C23:D30" type="custom">
      <formula1>C23+D23&lt;=2.5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3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1" topLeftCell="A16" activePane="bottomLeft" state="frozen"/>
      <selection pane="topLeft" activeCell="A1" activeCellId="0" sqref="A1"/>
      <selection pane="bottomLeft" activeCell="C39" activeCellId="0" sqref="C39"/>
    </sheetView>
  </sheetViews>
  <sheetFormatPr defaultColWidth="9.19140625" defaultRowHeight="12.5" zeroHeight="false" outlineLevelRow="0" outlineLevelCol="0"/>
  <cols>
    <col collapsed="false" customWidth="true" hidden="false" outlineLevel="0" max="1" min="1" style="317" width="2.99"/>
    <col collapsed="false" customWidth="true" hidden="false" outlineLevel="0" max="2" min="2" style="317" width="27.54"/>
    <col collapsed="false" customWidth="true" hidden="false" outlineLevel="0" max="3" min="3" style="317" width="19.99"/>
    <col collapsed="false" customWidth="true" hidden="false" outlineLevel="0" max="4" min="4" style="317" width="25.72"/>
    <col collapsed="false" customWidth="true" hidden="false" outlineLevel="0" max="5" min="5" style="317" width="24.18"/>
    <col collapsed="false" customWidth="true" hidden="false" outlineLevel="0" max="6" min="6" style="317" width="27.18"/>
    <col collapsed="false" customWidth="true" hidden="false" outlineLevel="0" max="7" min="7" style="317" width="25.27"/>
    <col collapsed="false" customWidth="true" hidden="false" outlineLevel="0" max="8" min="8" style="317" width="24.54"/>
    <col collapsed="false" customWidth="true" hidden="false" outlineLevel="0" max="9" min="9" style="317" width="27.27"/>
    <col collapsed="false" customWidth="true" hidden="false" outlineLevel="0" max="10" min="10" style="317" width="24.54"/>
    <col collapsed="false" customWidth="true" hidden="false" outlineLevel="0" max="11" min="11" style="318" width="24.82"/>
    <col collapsed="false" customWidth="true" hidden="false" outlineLevel="0" max="12" min="12" style="317" width="27"/>
    <col collapsed="false" customWidth="true" hidden="false" outlineLevel="0" max="13" min="13" style="317" width="24.54"/>
    <col collapsed="false" customWidth="true" hidden="false" outlineLevel="0" max="14" min="14" style="317" width="15"/>
    <col collapsed="false" customWidth="true" hidden="false" outlineLevel="0" max="15" min="15" style="317" width="14.72"/>
    <col collapsed="false" customWidth="true" hidden="false" outlineLevel="0" max="16" min="16" style="317" width="14.45"/>
    <col collapsed="false" customWidth="false" hidden="false" outlineLevel="0" max="17" min="17" style="317" width="9.18"/>
    <col collapsed="false" customWidth="false" hidden="true" outlineLevel="0" max="23" min="18" style="317" width="9.18"/>
    <col collapsed="false" customWidth="false" hidden="false" outlineLevel="0" max="257" min="24" style="317" width="9.18"/>
    <col collapsed="false" customWidth="true" hidden="false" outlineLevel="0" max="258" min="258" style="317" width="22.72"/>
    <col collapsed="false" customWidth="true" hidden="false" outlineLevel="0" max="259" min="259" style="317" width="22.55"/>
    <col collapsed="false" customWidth="true" hidden="false" outlineLevel="0" max="260" min="260" style="317" width="18.54"/>
    <col collapsed="false" customWidth="true" hidden="false" outlineLevel="0" max="261" min="261" style="317" width="24.45"/>
    <col collapsed="false" customWidth="true" hidden="false" outlineLevel="0" max="262" min="262" style="317" width="20.99"/>
    <col collapsed="false" customWidth="true" hidden="false" outlineLevel="0" max="263" min="263" style="317" width="19"/>
    <col collapsed="false" customWidth="true" hidden="false" outlineLevel="0" max="264" min="264" style="317" width="21.28"/>
    <col collapsed="false" customWidth="true" hidden="false" outlineLevel="0" max="265" min="265" style="317" width="42.72"/>
    <col collapsed="false" customWidth="true" hidden="false" outlineLevel="0" max="266" min="266" style="317" width="16.72"/>
    <col collapsed="false" customWidth="true" hidden="false" outlineLevel="0" max="267" min="267" style="317" width="34"/>
    <col collapsed="false" customWidth="true" hidden="true" outlineLevel="0" max="275" min="268" style="317" width="11.52"/>
    <col collapsed="false" customWidth="false" hidden="false" outlineLevel="0" max="513" min="276" style="317" width="9.18"/>
    <col collapsed="false" customWidth="true" hidden="false" outlineLevel="0" max="514" min="514" style="317" width="22.72"/>
    <col collapsed="false" customWidth="true" hidden="false" outlineLevel="0" max="515" min="515" style="317" width="22.55"/>
    <col collapsed="false" customWidth="true" hidden="false" outlineLevel="0" max="516" min="516" style="317" width="18.54"/>
    <col collapsed="false" customWidth="true" hidden="false" outlineLevel="0" max="517" min="517" style="317" width="24.45"/>
    <col collapsed="false" customWidth="true" hidden="false" outlineLevel="0" max="518" min="518" style="317" width="20.99"/>
    <col collapsed="false" customWidth="true" hidden="false" outlineLevel="0" max="519" min="519" style="317" width="19"/>
    <col collapsed="false" customWidth="true" hidden="false" outlineLevel="0" max="520" min="520" style="317" width="21.28"/>
    <col collapsed="false" customWidth="true" hidden="false" outlineLevel="0" max="521" min="521" style="317" width="42.72"/>
    <col collapsed="false" customWidth="true" hidden="false" outlineLevel="0" max="522" min="522" style="317" width="16.72"/>
    <col collapsed="false" customWidth="true" hidden="false" outlineLevel="0" max="523" min="523" style="317" width="34"/>
    <col collapsed="false" customWidth="true" hidden="true" outlineLevel="0" max="531" min="524" style="317" width="11.52"/>
    <col collapsed="false" customWidth="false" hidden="false" outlineLevel="0" max="769" min="532" style="317" width="9.18"/>
    <col collapsed="false" customWidth="true" hidden="false" outlineLevel="0" max="770" min="770" style="317" width="22.72"/>
    <col collapsed="false" customWidth="true" hidden="false" outlineLevel="0" max="771" min="771" style="317" width="22.55"/>
    <col collapsed="false" customWidth="true" hidden="false" outlineLevel="0" max="772" min="772" style="317" width="18.54"/>
    <col collapsed="false" customWidth="true" hidden="false" outlineLevel="0" max="773" min="773" style="317" width="24.45"/>
    <col collapsed="false" customWidth="true" hidden="false" outlineLevel="0" max="774" min="774" style="317" width="20.99"/>
    <col collapsed="false" customWidth="true" hidden="false" outlineLevel="0" max="775" min="775" style="317" width="19"/>
    <col collapsed="false" customWidth="true" hidden="false" outlineLevel="0" max="776" min="776" style="317" width="21.28"/>
    <col collapsed="false" customWidth="true" hidden="false" outlineLevel="0" max="777" min="777" style="317" width="42.72"/>
    <col collapsed="false" customWidth="true" hidden="false" outlineLevel="0" max="778" min="778" style="317" width="16.72"/>
    <col collapsed="false" customWidth="true" hidden="false" outlineLevel="0" max="779" min="779" style="317" width="34"/>
    <col collapsed="false" customWidth="true" hidden="true" outlineLevel="0" max="787" min="780" style="317" width="11.52"/>
    <col collapsed="false" customWidth="false" hidden="false" outlineLevel="0" max="1024" min="788" style="317" width="9.18"/>
  </cols>
  <sheetData>
    <row r="1" s="53" customFormat="true" ht="12.75" hidden="false" customHeight="true" outlineLevel="0" collapsed="false">
      <c r="A1" s="54"/>
      <c r="B1" s="55"/>
      <c r="C1" s="55"/>
      <c r="D1" s="55"/>
      <c r="E1" s="55"/>
      <c r="F1" s="55"/>
      <c r="G1" s="56"/>
      <c r="H1" s="56"/>
      <c r="I1" s="55"/>
      <c r="J1" s="55"/>
    </row>
    <row r="2" s="53" customFormat="true" ht="12.75" hidden="false" customHeight="true" outlineLevel="0" collapsed="false">
      <c r="A2" s="54"/>
      <c r="B2" s="57"/>
      <c r="C2" s="57"/>
      <c r="D2" s="57"/>
      <c r="E2" s="57"/>
      <c r="F2" s="57"/>
      <c r="G2" s="57"/>
      <c r="H2" s="57"/>
      <c r="I2" s="57"/>
      <c r="J2" s="55"/>
    </row>
    <row r="3" s="53" customFormat="true" ht="12.75" hidden="false" customHeight="true" outlineLevel="0" collapsed="false">
      <c r="A3" s="54"/>
      <c r="B3" s="57"/>
      <c r="C3" s="57"/>
      <c r="D3" s="57"/>
      <c r="E3" s="57"/>
      <c r="F3" s="57"/>
      <c r="G3" s="57"/>
      <c r="H3" s="57"/>
      <c r="I3" s="57"/>
      <c r="J3" s="55"/>
    </row>
    <row r="4" s="53" customFormat="true" ht="12.75" hidden="false" customHeight="true" outlineLevel="0" collapsed="false">
      <c r="A4" s="54"/>
      <c r="B4" s="58" t="s">
        <v>256</v>
      </c>
      <c r="C4" s="58"/>
      <c r="D4" s="58"/>
      <c r="E4" s="58"/>
      <c r="F4" s="58"/>
      <c r="G4" s="58"/>
      <c r="H4" s="58"/>
      <c r="I4" s="58"/>
      <c r="J4" s="59"/>
    </row>
    <row r="5" s="53" customFormat="true" ht="12.75" hidden="false" customHeight="true" outlineLevel="0" collapsed="false">
      <c r="A5" s="54"/>
      <c r="B5" s="58"/>
      <c r="C5" s="58"/>
      <c r="D5" s="58"/>
      <c r="E5" s="58"/>
      <c r="F5" s="58"/>
      <c r="G5" s="58"/>
      <c r="H5" s="58"/>
      <c r="I5" s="58"/>
      <c r="J5" s="59"/>
    </row>
    <row r="6" s="53" customFormat="true" ht="12.75" hidden="false" customHeight="true" outlineLevel="0" collapsed="false">
      <c r="A6" s="54"/>
      <c r="B6" s="58"/>
      <c r="C6" s="58"/>
      <c r="D6" s="58"/>
      <c r="E6" s="58"/>
      <c r="F6" s="58"/>
      <c r="G6" s="58"/>
      <c r="H6" s="58"/>
      <c r="I6" s="58"/>
      <c r="J6" s="59"/>
    </row>
    <row r="7" s="53" customFormat="true" ht="12.75" hidden="false" customHeight="true" outlineLevel="0" collapsed="false">
      <c r="A7" s="54"/>
      <c r="B7" s="60" t="s">
        <v>28</v>
      </c>
      <c r="C7" s="60"/>
      <c r="D7" s="60"/>
      <c r="E7" s="60"/>
      <c r="F7" s="60"/>
      <c r="G7" s="60"/>
      <c r="H7" s="60"/>
      <c r="I7" s="60"/>
      <c r="J7" s="61"/>
    </row>
    <row r="8" s="53" customFormat="true" ht="12.75" hidden="false" customHeight="true" outlineLevel="0" collapsed="false">
      <c r="A8" s="54"/>
      <c r="B8" s="60"/>
      <c r="C8" s="60"/>
      <c r="D8" s="60"/>
      <c r="E8" s="60"/>
      <c r="F8" s="60"/>
      <c r="G8" s="60"/>
      <c r="H8" s="60"/>
      <c r="I8" s="60"/>
      <c r="J8" s="61"/>
    </row>
    <row r="9" s="53" customFormat="true" ht="12.75" hidden="false" customHeight="true" outlineLevel="0" collapsed="false">
      <c r="A9" s="54"/>
      <c r="B9" s="62"/>
      <c r="C9" s="284" t="s">
        <v>12</v>
      </c>
      <c r="D9" s="63" t="s">
        <v>228</v>
      </c>
      <c r="E9" s="64"/>
      <c r="F9" s="64"/>
      <c r="G9" s="65"/>
      <c r="H9" s="65"/>
      <c r="I9" s="66"/>
      <c r="J9" s="67"/>
    </row>
    <row r="10" s="53" customFormat="true" ht="12.75" hidden="false" customHeight="true" outlineLevel="0" collapsed="false">
      <c r="A10" s="68"/>
      <c r="B10" s="75"/>
      <c r="C10" s="76"/>
      <c r="D10" s="77"/>
      <c r="E10" s="78"/>
      <c r="F10" s="78"/>
      <c r="G10" s="79"/>
      <c r="H10" s="79"/>
      <c r="I10" s="80"/>
      <c r="J10" s="67"/>
    </row>
    <row r="11" s="53" customFormat="true" ht="12.75" hidden="false" customHeight="true" outlineLevel="0" collapsed="false">
      <c r="A11" s="68"/>
      <c r="B11" s="81"/>
      <c r="C11" s="81"/>
      <c r="D11" s="81"/>
      <c r="E11" s="81"/>
      <c r="F11" s="81"/>
      <c r="G11" s="82"/>
      <c r="H11" s="82"/>
      <c r="I11" s="81"/>
      <c r="J11" s="55"/>
    </row>
    <row r="12" s="53" customFormat="true" ht="12.75" hidden="false" customHeight="true" outlineLevel="0" collapsed="false">
      <c r="A12" s="319"/>
      <c r="B12" s="319"/>
      <c r="C12" s="319"/>
      <c r="D12" s="319"/>
      <c r="E12" s="319"/>
      <c r="F12" s="319"/>
      <c r="G12" s="320"/>
      <c r="H12" s="320"/>
      <c r="I12" s="319"/>
      <c r="J12" s="319"/>
    </row>
    <row r="13" customFormat="false" ht="18" hidden="false" customHeight="true" outlineLevel="0" collapsed="false">
      <c r="B13" s="321"/>
      <c r="F13" s="322"/>
      <c r="G13" s="323"/>
      <c r="H13" s="323"/>
    </row>
    <row r="14" customFormat="false" ht="13.5" hidden="false" customHeight="false" outlineLevel="0" collapsed="false">
      <c r="B14" s="324" t="s">
        <v>257</v>
      </c>
      <c r="C14" s="325"/>
      <c r="D14" s="326"/>
      <c r="E14" s="326"/>
      <c r="F14" s="326"/>
      <c r="G14" s="326"/>
      <c r="H14" s="326"/>
      <c r="I14" s="326"/>
      <c r="J14" s="327"/>
    </row>
    <row r="15" customFormat="false" ht="13.5" hidden="false" customHeight="false" outlineLevel="0" collapsed="false">
      <c r="B15" s="328"/>
      <c r="C15" s="329" t="s">
        <v>258</v>
      </c>
      <c r="D15" s="330" t="s">
        <v>259</v>
      </c>
      <c r="E15" s="330" t="s">
        <v>260</v>
      </c>
      <c r="F15" s="330" t="s">
        <v>261</v>
      </c>
      <c r="G15" s="330" t="s">
        <v>262</v>
      </c>
      <c r="H15" s="330" t="s">
        <v>263</v>
      </c>
      <c r="I15" s="330" t="s">
        <v>264</v>
      </c>
      <c r="J15" s="331" t="s">
        <v>265</v>
      </c>
    </row>
    <row r="16" customFormat="false" ht="12.5" hidden="false" customHeight="false" outlineLevel="0" collapsed="false">
      <c r="B16" s="332" t="s">
        <v>266</v>
      </c>
      <c r="C16" s="333" t="str">
        <f aca="false">DEC2HEX('Step2-DDR Timings'!G29)</f>
        <v>7</v>
      </c>
      <c r="D16" s="334" t="str">
        <f aca="false">DEC2HEX('Step2-DDR Timings'!G30)</f>
        <v>5</v>
      </c>
      <c r="E16" s="334" t="str">
        <f aca="false">DEC2HEX('Step2-DDR Timings'!G31)</f>
        <v>5</v>
      </c>
      <c r="F16" s="334" t="str">
        <f aca="false">DEC2HEX('Step2-DDR Timings'!G32)</f>
        <v>5</v>
      </c>
      <c r="G16" s="334" t="str">
        <f aca="false">DEC2HEX('Step2-DDR Timings'!G33)</f>
        <v>E</v>
      </c>
      <c r="H16" s="334" t="str">
        <f aca="false">DEC2HEX('Step2-DDR Timings'!G34)</f>
        <v>14</v>
      </c>
      <c r="I16" s="334" t="str">
        <f aca="false">DEC2HEX('Step2-DDR Timings'!G36)</f>
        <v>3</v>
      </c>
      <c r="J16" s="335" t="str">
        <f aca="false">DEC2HEX('Step2-DDR Timings'!G37)</f>
        <v>3</v>
      </c>
      <c r="R16" s="317" t="s">
        <v>267</v>
      </c>
      <c r="W16" s="317" t="s">
        <v>268</v>
      </c>
    </row>
    <row r="17" customFormat="false" ht="13" hidden="false" customHeight="false" outlineLevel="0" collapsed="false">
      <c r="B17" s="336" t="s">
        <v>269</v>
      </c>
      <c r="C17" s="337" t="str">
        <f aca="false">HEX2BIN(C16,3)</f>
        <v>111</v>
      </c>
      <c r="D17" s="338" t="str">
        <f aca="false">HEX2BIN(D16,4)</f>
        <v>0101</v>
      </c>
      <c r="E17" s="338" t="str">
        <f aca="false">HEX2BIN(E16,4)</f>
        <v>0101</v>
      </c>
      <c r="F17" s="338" t="str">
        <f aca="false">HEX2BIN(F16,4)</f>
        <v>0101</v>
      </c>
      <c r="G17" s="338" t="str">
        <f aca="false">HEX2BIN(G16,5)</f>
        <v>01110</v>
      </c>
      <c r="H17" s="338" t="str">
        <f aca="false">HEX2BIN(H16,6)</f>
        <v>010100</v>
      </c>
      <c r="I17" s="338" t="str">
        <f aca="false">HEX2BIN(I16,3)</f>
        <v>011</v>
      </c>
      <c r="J17" s="339" t="str">
        <f aca="false">HEX2BIN(J16,3)</f>
        <v>011</v>
      </c>
      <c r="K17" s="340"/>
      <c r="L17" s="318"/>
      <c r="R17" s="317" t="str">
        <f aca="false">CONCATENATE(C17,D17,E17,F17,G17,H17,I17,J17)</f>
        <v>11101010101010101110010100011011</v>
      </c>
      <c r="W17" s="317" t="str">
        <f aca="false">CONCATENATE(C20,D20,E20,F20,G20,H20,I20,J20)</f>
        <v/>
      </c>
    </row>
    <row r="18" customFormat="false" ht="13.5" hidden="false" customHeight="false" outlineLevel="0" collapsed="false">
      <c r="B18" s="341" t="s">
        <v>270</v>
      </c>
      <c r="C18" s="342" t="str">
        <f aca="false">CONCATENATE(R18,R19,R20,R21,R22,R23,R24,R25)</f>
        <v>EAAAE51B</v>
      </c>
      <c r="K18" s="343"/>
      <c r="L18" s="318"/>
      <c r="R18" s="317" t="str">
        <f aca="false">BIN2HEX(RIGHT((LEFT(R17,4)),4))</f>
        <v>E</v>
      </c>
      <c r="W18" s="317" t="str">
        <f aca="false">BIN2HEX(RIGHT((LEFT(W17,4)),4))</f>
        <v>0</v>
      </c>
    </row>
    <row r="19" customFormat="false" ht="12.5" hidden="false" customHeight="false" outlineLevel="0" collapsed="false">
      <c r="C19" s="344"/>
      <c r="D19" s="344"/>
      <c r="K19" s="345"/>
      <c r="L19" s="318"/>
      <c r="R19" s="317" t="str">
        <f aca="false">BIN2HEX(RIGHT((LEFT(R17,8)),4))</f>
        <v>A</v>
      </c>
      <c r="W19" s="317" t="str">
        <f aca="false">BIN2HEX(RIGHT((LEFT(W17,8)),4))</f>
        <v>0</v>
      </c>
    </row>
    <row r="20" customFormat="false" ht="13" hidden="false" customHeight="false" outlineLevel="0" collapsed="false">
      <c r="B20" s="346"/>
      <c r="C20" s="345"/>
      <c r="D20" s="345"/>
      <c r="E20" s="345"/>
      <c r="F20" s="345"/>
      <c r="G20" s="345"/>
      <c r="H20" s="345"/>
      <c r="I20" s="345"/>
      <c r="J20" s="345"/>
      <c r="K20" s="345"/>
      <c r="L20" s="318"/>
      <c r="R20" s="317" t="str">
        <f aca="false">BIN2HEX(RIGHT((LEFT(R17,12)),4))</f>
        <v>A</v>
      </c>
      <c r="W20" s="317" t="str">
        <f aca="false">BIN2HEX(RIGHT((LEFT(W17,12)),4))</f>
        <v>0</v>
      </c>
    </row>
    <row r="21" customFormat="false" ht="13.5" hidden="false" customHeight="false" outlineLevel="0" collapsed="false">
      <c r="B21" s="324" t="s">
        <v>271</v>
      </c>
      <c r="C21" s="326"/>
      <c r="D21" s="326"/>
      <c r="E21" s="326"/>
      <c r="F21" s="326"/>
      <c r="G21" s="326"/>
      <c r="H21" s="326"/>
      <c r="I21" s="327"/>
      <c r="J21" s="344"/>
      <c r="K21" s="345"/>
      <c r="L21" s="318"/>
      <c r="R21" s="317" t="str">
        <f aca="false">BIN2HEX(RIGHT((LEFT(R17,16)),4))</f>
        <v>A</v>
      </c>
      <c r="W21" s="317" t="str">
        <f aca="false">BIN2HEX(RIGHT((LEFT(W17,16)),4))</f>
        <v>0</v>
      </c>
    </row>
    <row r="22" s="317" customFormat="true" ht="13.5" hidden="false" customHeight="false" outlineLevel="0" collapsed="false">
      <c r="B22" s="328"/>
      <c r="C22" s="347" t="s">
        <v>272</v>
      </c>
      <c r="D22" s="348" t="s">
        <v>273</v>
      </c>
      <c r="E22" s="348" t="s">
        <v>274</v>
      </c>
      <c r="F22" s="348" t="s">
        <v>275</v>
      </c>
      <c r="G22" s="348" t="s">
        <v>276</v>
      </c>
      <c r="H22" s="348" t="s">
        <v>277</v>
      </c>
      <c r="I22" s="349" t="s">
        <v>278</v>
      </c>
      <c r="L22" s="318"/>
      <c r="R22" s="317" t="str">
        <f aca="false">BIN2HEX(RIGHT((LEFT(R17,20)),4))</f>
        <v>E</v>
      </c>
      <c r="W22" s="317" t="str">
        <f aca="false">BIN2HEX(RIGHT((LEFT(W17,20)),4))</f>
        <v>0</v>
      </c>
    </row>
    <row r="23" s="317" customFormat="true" ht="13" hidden="false" customHeight="false" outlineLevel="0" collapsed="false">
      <c r="B23" s="332" t="s">
        <v>266</v>
      </c>
      <c r="C23" s="333" t="n">
        <v>0</v>
      </c>
      <c r="D23" s="334" t="str">
        <f aca="false">DEC2HEX('Step2-DDR Timings'!G38)</f>
        <v>2</v>
      </c>
      <c r="E23" s="334" t="n">
        <f aca="false">IF('Step1-System Details'!E17="DDR3",'Step2-DDR Timings'!E28-2,0)</f>
        <v>3</v>
      </c>
      <c r="F23" s="334" t="str">
        <f aca="false">DEC2HEX('Step2-DDR Timings'!G40)</f>
        <v>6B</v>
      </c>
      <c r="G23" s="334" t="str">
        <f aca="false">IF('Step1-System Details'!E17="DDR3",DEC2HEX('Step2-DDR Timings'!G41),DEC2HEX('Step2-DDR Timings'!G40))</f>
        <v>1FF</v>
      </c>
      <c r="H23" s="334" t="str">
        <f aca="false">DEC2HEX('Step2-DDR Timings'!G42)</f>
        <v>3</v>
      </c>
      <c r="I23" s="335" t="str">
        <f aca="false">DEC2HEX('Step2-DDR Timings'!G43)</f>
        <v>2</v>
      </c>
      <c r="J23" s="350"/>
      <c r="L23" s="318"/>
      <c r="R23" s="317" t="str">
        <f aca="false">BIN2HEX(RIGHT((LEFT(R17,24)),4))</f>
        <v>5</v>
      </c>
      <c r="W23" s="317" t="str">
        <f aca="false">BIN2HEX(RIGHT((LEFT(W17,24)),4))</f>
        <v>0</v>
      </c>
    </row>
    <row r="24" s="317" customFormat="true" ht="13.5" hidden="false" customHeight="false" outlineLevel="0" collapsed="false">
      <c r="B24" s="351" t="s">
        <v>269</v>
      </c>
      <c r="C24" s="337" t="n">
        <v>0</v>
      </c>
      <c r="D24" s="338" t="str">
        <f aca="false">HEX2BIN(D23,3)</f>
        <v>010</v>
      </c>
      <c r="E24" s="338" t="str">
        <f aca="false">HEX2BIN(E23,3)</f>
        <v>011</v>
      </c>
      <c r="F24" s="338" t="str">
        <f aca="false">HEX2BIN(F23,9)</f>
        <v>001101011</v>
      </c>
      <c r="G24" s="338" t="str">
        <f aca="false">HEX2BIN(G23,10)</f>
        <v>0111111111</v>
      </c>
      <c r="H24" s="338" t="str">
        <f aca="false">HEX2BIN(H23,3)</f>
        <v>011</v>
      </c>
      <c r="I24" s="339" t="str">
        <f aca="false">HEX2BIN(I23,3)</f>
        <v>010</v>
      </c>
      <c r="J24" s="352"/>
      <c r="L24" s="318"/>
      <c r="R24" s="317" t="str">
        <f aca="false">BIN2HEX(RIGHT((LEFT(R17,28)),4))</f>
        <v>1</v>
      </c>
      <c r="W24" s="317" t="str">
        <f aca="false">BIN2HEX(RIGHT((LEFT(W17,28)),4))</f>
        <v>0</v>
      </c>
    </row>
    <row r="25" s="317" customFormat="true" ht="13" hidden="false" customHeight="false" outlineLevel="0" collapsed="false">
      <c r="B25" s="353" t="s">
        <v>270</v>
      </c>
      <c r="C25" s="342" t="str">
        <f aca="false">CONCATENATE(R29,R30,R31,R32,R33,R34,R35,R36)</f>
        <v>266B7FDA</v>
      </c>
      <c r="J25" s="340"/>
      <c r="L25" s="318"/>
      <c r="R25" s="317" t="str">
        <f aca="false">BIN2HEX(RIGHT((LEFT(R17,33)),4))</f>
        <v>B</v>
      </c>
      <c r="W25" s="317" t="str">
        <f aca="false">BIN2HEX(RIGHT((LEFT(W17,33)),4))</f>
        <v>0</v>
      </c>
    </row>
    <row r="26" customFormat="false" ht="13" hidden="false" customHeight="false" outlineLevel="0" collapsed="false">
      <c r="J26" s="345"/>
      <c r="K26" s="354"/>
      <c r="L26" s="318"/>
    </row>
    <row r="27" customFormat="false" ht="13.5" hidden="false" customHeight="false" outlineLevel="0" collapsed="false">
      <c r="K27" s="355"/>
      <c r="L27" s="318"/>
      <c r="R27" s="317" t="s">
        <v>279</v>
      </c>
      <c r="W27" s="317" t="s">
        <v>280</v>
      </c>
    </row>
    <row r="28" customFormat="false" ht="13.5" hidden="false" customHeight="false" outlineLevel="0" collapsed="false">
      <c r="B28" s="324" t="s">
        <v>281</v>
      </c>
      <c r="C28" s="326"/>
      <c r="D28" s="326"/>
      <c r="E28" s="326"/>
      <c r="F28" s="326"/>
      <c r="G28" s="326"/>
      <c r="H28" s="326"/>
      <c r="I28" s="327"/>
      <c r="K28" s="345"/>
      <c r="L28" s="318"/>
      <c r="R28" s="317" t="str">
        <f aca="false">CONCATENATE(C24,D24,E24,F24,G24,H24,I24)</f>
        <v>00100110011010110111111111011010</v>
      </c>
      <c r="W28" s="317" t="e">
        <f aca="false">CONCATENATE(#REF!,#REF!,#REF!,#REF!,#REF!,#REF!,#REF!)</f>
        <v>#REF!</v>
      </c>
    </row>
    <row r="29" customFormat="false" ht="13.5" hidden="false" customHeight="false" outlineLevel="0" collapsed="false">
      <c r="B29" s="328"/>
      <c r="C29" s="347" t="s">
        <v>282</v>
      </c>
      <c r="D29" s="348" t="s">
        <v>283</v>
      </c>
      <c r="E29" s="356" t="s">
        <v>284</v>
      </c>
      <c r="F29" s="348" t="s">
        <v>285</v>
      </c>
      <c r="G29" s="348" t="str">
        <f aca="false">IF('Step1-System Details'!E17="DDR3_L","Reserved [14:13]","T_TDQSCKMAX [14:13]")</f>
        <v>T_TDQSCKMAX [14:13]</v>
      </c>
      <c r="H29" s="348" t="s">
        <v>286</v>
      </c>
      <c r="I29" s="349" t="s">
        <v>287</v>
      </c>
      <c r="K29" s="345"/>
      <c r="L29" s="318"/>
      <c r="R29" s="317" t="str">
        <f aca="false">BIN2HEX(RIGHT((LEFT(R28,4)),4))</f>
        <v>2</v>
      </c>
      <c r="W29" s="317" t="e">
        <f aca="false">BIN2HEX(RIGHT((LEFT(W28,4)),4))</f>
        <v>#REF!</v>
      </c>
    </row>
    <row r="30" s="317" customFormat="true" ht="12.5" hidden="false" customHeight="false" outlineLevel="0" collapsed="false">
      <c r="B30" s="332" t="s">
        <v>266</v>
      </c>
      <c r="C30" s="333" t="n">
        <f aca="false">'Step2-DDR Timings'!G44</f>
        <v>5</v>
      </c>
      <c r="D30" s="334" t="str">
        <f aca="false">DEC2HEX('Step2-DDR Timings'!G45)</f>
        <v>F</v>
      </c>
      <c r="E30" s="334" t="str">
        <f aca="false">DEC2HEX('Step2-DDR Timings'!G46)</f>
        <v>3</v>
      </c>
      <c r="F30" s="334" t="str">
        <f aca="false">DEC2HEX('Step2-DDR Timings'!G47)</f>
        <v>3F</v>
      </c>
      <c r="G30" s="334" t="n">
        <f aca="false">IF('Step1-System Details'!E17="DDR3",0,'Step2-DDR Timings'!G48)</f>
        <v>0</v>
      </c>
      <c r="H30" s="334" t="str">
        <f aca="false">DEC2HEX('Step2-DDR Timings'!G49)</f>
        <v>67</v>
      </c>
      <c r="I30" s="335" t="str">
        <f aca="false">DEC2HEX('Step2-DDR Timings'!G50)</f>
        <v>F</v>
      </c>
      <c r="L30" s="318"/>
      <c r="R30" s="317" t="str">
        <f aca="false">BIN2HEX(RIGHT((LEFT(R28,8)),4))</f>
        <v>6</v>
      </c>
      <c r="W30" s="317" t="e">
        <f aca="false">BIN2HEX(RIGHT((LEFT(W28,8)),4))</f>
        <v>#REF!</v>
      </c>
    </row>
    <row r="31" s="317" customFormat="true" ht="13.5" hidden="false" customHeight="false" outlineLevel="0" collapsed="false">
      <c r="B31" s="357" t="s">
        <v>269</v>
      </c>
      <c r="C31" s="358" t="str">
        <f aca="false">HEX2BIN(C30,4)</f>
        <v>0101</v>
      </c>
      <c r="D31" s="338" t="str">
        <f aca="false">HEX2BIN(D30,4)</f>
        <v>1111</v>
      </c>
      <c r="E31" s="338" t="str">
        <f aca="false">HEX2BIN(E30,3)</f>
        <v>011</v>
      </c>
      <c r="F31" s="338" t="str">
        <f aca="false">HEX2BIN(F30,6)</f>
        <v>111111</v>
      </c>
      <c r="G31" s="338" t="str">
        <f aca="false">HEX2BIN(G30,2)</f>
        <v>00</v>
      </c>
      <c r="H31" s="338" t="str">
        <f aca="false">HEX2BIN(H30,9)</f>
        <v>001100111</v>
      </c>
      <c r="I31" s="339" t="str">
        <f aca="false">HEX2BIN(I30,4)</f>
        <v>1111</v>
      </c>
      <c r="J31" s="355"/>
      <c r="L31" s="318"/>
      <c r="R31" s="317" t="str">
        <f aca="false">BIN2HEX(RIGHT((LEFT(R28,12)),4))</f>
        <v>6</v>
      </c>
      <c r="W31" s="317" t="e">
        <f aca="false">BIN2HEX(RIGHT((LEFT(W28,12)),4))</f>
        <v>#REF!</v>
      </c>
    </row>
    <row r="32" customFormat="false" ht="13.5" hidden="false" customHeight="false" outlineLevel="0" collapsed="false">
      <c r="B32" s="353" t="s">
        <v>270</v>
      </c>
      <c r="C32" s="342" t="str">
        <f aca="false">CONCATENATE(R41,R42,R43,R44,R45,R46,R47,R48)</f>
        <v>5F7F867F</v>
      </c>
      <c r="J32" s="345"/>
      <c r="K32" s="354"/>
      <c r="L32" s="354"/>
      <c r="R32" s="317" t="str">
        <f aca="false">BIN2HEX(RIGHT((LEFT(R28,16)),4))</f>
        <v>B</v>
      </c>
      <c r="W32" s="317" t="e">
        <f aca="false">BIN2HEX(RIGHT((LEFT(W28,16)),4))</f>
        <v>#REF!</v>
      </c>
    </row>
    <row r="33" customFormat="false" ht="13" hidden="false" customHeight="false" outlineLevel="0" collapsed="false">
      <c r="J33" s="345"/>
      <c r="K33" s="355"/>
      <c r="L33" s="355"/>
      <c r="R33" s="317" t="str">
        <f aca="false">BIN2HEX(RIGHT((LEFT(R28,20)),4))</f>
        <v>7</v>
      </c>
      <c r="W33" s="317" t="e">
        <f aca="false">BIN2HEX(RIGHT((LEFT(W28,20)),4))</f>
        <v>#REF!</v>
      </c>
    </row>
    <row r="34" customFormat="false" ht="13" hidden="false" customHeight="false" outlineLevel="0" collapsed="false">
      <c r="K34" s="345"/>
      <c r="L34" s="345"/>
      <c r="R34" s="317" t="str">
        <f aca="false">BIN2HEX(RIGHT((LEFT(R28,24)),4))</f>
        <v>F</v>
      </c>
      <c r="W34" s="317" t="e">
        <f aca="false">BIN2HEX(RIGHT((LEFT(W28,24)),4))</f>
        <v>#REF!</v>
      </c>
    </row>
    <row r="35" customFormat="false" ht="13.5" hidden="false" customHeight="false" outlineLevel="0" collapsed="false">
      <c r="B35" s="324" t="s">
        <v>288</v>
      </c>
      <c r="C35" s="326"/>
      <c r="D35" s="326"/>
      <c r="E35" s="326"/>
      <c r="F35" s="326"/>
      <c r="G35" s="326"/>
      <c r="H35" s="326"/>
      <c r="I35" s="326"/>
      <c r="J35" s="326"/>
      <c r="K35" s="326"/>
      <c r="L35" s="326"/>
      <c r="M35" s="326"/>
      <c r="N35" s="326"/>
      <c r="O35" s="326"/>
      <c r="P35" s="327"/>
      <c r="R35" s="317" t="str">
        <f aca="false">BIN2HEX(RIGHT((LEFT(R28,28)),4))</f>
        <v>D</v>
      </c>
      <c r="W35" s="317" t="e">
        <f aca="false">BIN2HEX(RIGHT((LEFT(W28,28)),4))</f>
        <v>#REF!</v>
      </c>
    </row>
    <row r="36" customFormat="false" ht="13.5" hidden="false" customHeight="false" outlineLevel="0" collapsed="false">
      <c r="B36" s="328"/>
      <c r="C36" s="359" t="s">
        <v>289</v>
      </c>
      <c r="D36" s="360" t="s">
        <v>290</v>
      </c>
      <c r="E36" s="360" t="s">
        <v>291</v>
      </c>
      <c r="F36" s="360" t="s">
        <v>292</v>
      </c>
      <c r="G36" s="360" t="s">
        <v>293</v>
      </c>
      <c r="H36" s="360" t="s">
        <v>294</v>
      </c>
      <c r="I36" s="360" t="s">
        <v>295</v>
      </c>
      <c r="J36" s="360" t="s">
        <v>296</v>
      </c>
      <c r="K36" s="361" t="s">
        <v>297</v>
      </c>
      <c r="L36" s="360" t="s">
        <v>298</v>
      </c>
      <c r="M36" s="360" t="s">
        <v>299</v>
      </c>
      <c r="N36" s="360" t="s">
        <v>300</v>
      </c>
      <c r="O36" s="360" t="s">
        <v>301</v>
      </c>
      <c r="P36" s="349" t="s">
        <v>302</v>
      </c>
      <c r="R36" s="317" t="str">
        <f aca="false">BIN2HEX(RIGHT((LEFT(R28,33)),4))</f>
        <v>A</v>
      </c>
      <c r="W36" s="317" t="e">
        <f aca="false">BIN2HEX(RIGHT((LEFT(W28,33)),4))</f>
        <v>#REF!</v>
      </c>
    </row>
    <row r="37" customFormat="false" ht="12.5" hidden="false" customHeight="false" outlineLevel="0" collapsed="false">
      <c r="B37" s="332" t="s">
        <v>266</v>
      </c>
      <c r="C37" s="362" t="str">
        <f aca="false">DEC2HEX(IF('Step1-System Details'!E17="DDR3","3","4"))</f>
        <v>3</v>
      </c>
      <c r="D37" s="334" t="n">
        <v>0</v>
      </c>
      <c r="E37" s="334" t="str">
        <f aca="false">DEC2HEX(IF('Step1-System Details'!E45="Disable","0",IF('Step1-System Details'!E45="RZQ/4","1",IF('Step1-System Details'!E45="RZQ/2","2",IF('Step1-System Details'!E45="RZQ/6","3",IF('Step1-System Details'!E45="RZQ/12","4","5"))))))</f>
        <v>1</v>
      </c>
      <c r="F37" s="334" t="str">
        <f aca="false">DEC2HEX(IF('Step1-System Details'!E20="Single Ended",0,1))</f>
        <v>1</v>
      </c>
      <c r="G37" s="334" t="str">
        <f aca="false">DEC2HEX(IF('Step1-System Details'!E46="NA","0",IF('Step1-System Details'!E46="Disabled","0",IF('Step1-System Details'!E46="RZQ/4","1","2"))))</f>
        <v>1</v>
      </c>
      <c r="H37" s="334" t="n">
        <v>0</v>
      </c>
      <c r="I37" s="334" t="str">
        <f aca="false">DEC2HEX(IF('Step1-System Details'!E47="RZQ/6","0",IF('Step1-System Details'!E47="Normal","0","1")))</f>
        <v>0</v>
      </c>
      <c r="J37" s="334" t="str">
        <f aca="false">IF('Step1-System Details'!E17="DDR3",DEC2HEX(IF('Step2-DDR Timings'!G28=5,"0",IF('Step2-DDR Timings'!G28=6,"1",IF('Step2-DDR Timings'!G28=7,"2","3")))),"0")</f>
        <v>0</v>
      </c>
      <c r="K37" s="334" t="str">
        <f aca="false">DEC2HEX(IF('Step1-System Details'!E19=16,"1","0"))</f>
        <v>1</v>
      </c>
      <c r="L37" s="334" t="str">
        <f aca="false">DEC2HEX(IF('Step1-System Details'!E17="DDR3",IF('Step2-DDR Timings'!G27=5,"2",IF('Step2-DDR Timings'!G27=6,"4",IF('Step2-DDR Timings'!G27=7,"6",IF('Step2-DDR Timings'!G27=8,"8",IF('Step2-DDR Timings'!G27=9,"10",IF('Step2-DDR Timings'!G27=10,"12",IF('Step2-DDR Timings'!G27=11,"14","0"))))))),IF('Step2-DDR Timings'!G27=3,"3",IF('Step2-DDR Timings'!G27=4,"4",IF('Step2-DDR Timings'!G27=5,"5",IF('Step2-DDR Timings'!G27=6,"6",IF('Step2-DDR Timings'!G27=7,"7",IF('Step2-DDR Timings'!G27=8,"8","0"))))))))</f>
        <v>4</v>
      </c>
      <c r="M37" s="334" t="str">
        <f aca="false">DEC2HEX(IF('Step1-System Details'!E35=9,"0",IF('Step1-System Details'!E35=10,"1",IF('Step1-System Details'!E35=11,"2",IF('Step1-System Details'!E35=12,"3",IF('Step1-System Details'!E35=13,"4",IF('Step1-System Details'!E35=14,"5",IF('Step1-System Details'!E35=15,"6","7"))))))))</f>
        <v>6</v>
      </c>
      <c r="N37" s="334" t="str">
        <f aca="false">DEC2HEX(IF('Step1-System Details'!E37=1,"0",IF('Step1-System Details'!E37=2,"1",IF('Step1-System Details'!E37=4,"2","3"))))</f>
        <v>3</v>
      </c>
      <c r="O37" s="334" t="str">
        <f aca="false">DEC2HEX(IF('Step1-System Details'!E21="Dual Rank",1,0))</f>
        <v>0</v>
      </c>
      <c r="P37" s="335" t="str">
        <f aca="false">DEC2HEX(IF('Step1-System Details'!E36=8,"0",IF('Step1-System Details'!E36=9,"1",IF('Step1-System Details'!E36=10,"2","3"))))</f>
        <v>2</v>
      </c>
    </row>
    <row r="38" customFormat="false" ht="13" hidden="false" customHeight="false" outlineLevel="0" collapsed="false">
      <c r="B38" s="351" t="s">
        <v>269</v>
      </c>
      <c r="C38" s="358" t="str">
        <f aca="false">HEX2BIN(C37,3)</f>
        <v>011</v>
      </c>
      <c r="D38" s="358" t="str">
        <f aca="false">HEX2BIN(D37,2)</f>
        <v>00</v>
      </c>
      <c r="E38" s="338" t="str">
        <f aca="false">HEX2BIN(E37,3)</f>
        <v>001</v>
      </c>
      <c r="F38" s="338" t="str">
        <f aca="false">HEX2BIN(F37,1)</f>
        <v>1</v>
      </c>
      <c r="G38" s="338" t="str">
        <f aca="false">HEX2BIN(G37,2)</f>
        <v>01</v>
      </c>
      <c r="H38" s="338" t="str">
        <f aca="false">HEX2BIN(H37,1)</f>
        <v>0</v>
      </c>
      <c r="I38" s="338" t="str">
        <f aca="false">HEX2BIN(I37,2)</f>
        <v>00</v>
      </c>
      <c r="J38" s="338" t="str">
        <f aca="false">HEX2BIN(J37,2)</f>
        <v>00</v>
      </c>
      <c r="K38" s="338" t="str">
        <f aca="false">HEX2BIN(K37,2)</f>
        <v>01</v>
      </c>
      <c r="L38" s="338" t="str">
        <f aca="false">HEX2BIN(L37,4)</f>
        <v>0100</v>
      </c>
      <c r="M38" s="338" t="str">
        <f aca="false">HEX2BIN(M37,3)</f>
        <v>110</v>
      </c>
      <c r="N38" s="338" t="str">
        <f aca="false">HEX2BIN(N37,3)</f>
        <v>011</v>
      </c>
      <c r="O38" s="338" t="str">
        <f aca="false">HEX2BIN(O37,1)</f>
        <v>0</v>
      </c>
      <c r="P38" s="339" t="str">
        <f aca="false">HEX2BIN(P37,3)</f>
        <v>010</v>
      </c>
    </row>
    <row r="39" customFormat="false" ht="13" hidden="false" customHeight="false" outlineLevel="0" collapsed="false">
      <c r="B39" s="353" t="s">
        <v>270</v>
      </c>
      <c r="C39" s="342" t="str">
        <f aca="false">CONCATENATE(R54,R55,R56,R57,R58,R59,R60,R61)</f>
        <v>61A05332</v>
      </c>
      <c r="R39" s="317" t="s">
        <v>303</v>
      </c>
      <c r="W39" s="317" t="s">
        <v>304</v>
      </c>
    </row>
    <row r="40" customFormat="false" ht="12.5" hidden="false" customHeight="false" outlineLevel="0" collapsed="false">
      <c r="R40" s="317" t="str">
        <f aca="false">CONCATENATE(C31,D31,E31,F31,G31,H31,I31)</f>
        <v>01011111011111111000011001111111</v>
      </c>
      <c r="W40" s="317" t="e">
        <f aca="false">CONCATENATE(#REF!,#REF!,#REF!,#REF!,#REF!,#REF!,#REF!)</f>
        <v>#REF!</v>
      </c>
    </row>
    <row r="41" customFormat="false" ht="13" hidden="false" customHeight="false" outlineLevel="0" collapsed="false">
      <c r="R41" s="317" t="str">
        <f aca="false">BIN2HEX(RIGHT((LEFT(R40,4)),4))</f>
        <v>5</v>
      </c>
      <c r="W41" s="317" t="e">
        <f aca="false">BIN2HEX(RIGHT((LEFT(W40,4)),4))</f>
        <v>#REF!</v>
      </c>
    </row>
    <row r="42" customFormat="false" ht="13.5" hidden="false" customHeight="false" outlineLevel="0" collapsed="false">
      <c r="B42" s="324" t="s">
        <v>305</v>
      </c>
      <c r="C42" s="326"/>
      <c r="D42" s="326"/>
      <c r="E42" s="326"/>
      <c r="F42" s="326"/>
      <c r="G42" s="326"/>
      <c r="H42" s="326"/>
      <c r="I42" s="326"/>
      <c r="J42" s="326"/>
      <c r="K42" s="326"/>
      <c r="L42" s="327"/>
      <c r="R42" s="317" t="str">
        <f aca="false">BIN2HEX(RIGHT((LEFT(R40,8)),4))</f>
        <v>F</v>
      </c>
      <c r="W42" s="317" t="e">
        <f aca="false">BIN2HEX(RIGHT((LEFT(W40,8)),4))</f>
        <v>#REF!</v>
      </c>
    </row>
    <row r="43" customFormat="false" ht="13.5" hidden="false" customHeight="false" outlineLevel="0" collapsed="false">
      <c r="B43" s="328"/>
      <c r="C43" s="359" t="s">
        <v>306</v>
      </c>
      <c r="D43" s="360" t="s">
        <v>307</v>
      </c>
      <c r="E43" s="360" t="s">
        <v>308</v>
      </c>
      <c r="F43" s="360" t="s">
        <v>309</v>
      </c>
      <c r="G43" s="360" t="s">
        <v>310</v>
      </c>
      <c r="H43" s="360" t="s">
        <v>311</v>
      </c>
      <c r="I43" s="359" t="s">
        <v>312</v>
      </c>
      <c r="J43" s="360" t="s">
        <v>313</v>
      </c>
      <c r="K43" s="359" t="s">
        <v>314</v>
      </c>
      <c r="L43" s="363" t="s">
        <v>315</v>
      </c>
      <c r="R43" s="317" t="str">
        <f aca="false">BIN2HEX(RIGHT((LEFT(R40,12)),4))</f>
        <v>7</v>
      </c>
      <c r="W43" s="317" t="e">
        <f aca="false">BIN2HEX(RIGHT((LEFT(W40,12)),4))</f>
        <v>#REF!</v>
      </c>
    </row>
    <row r="44" customFormat="false" ht="12.5" hidden="false" customHeight="false" outlineLevel="0" collapsed="false">
      <c r="B44" s="332" t="s">
        <v>266</v>
      </c>
      <c r="C44" s="362" t="n">
        <v>0</v>
      </c>
      <c r="D44" s="334" t="str">
        <f aca="false">DEC2HEX(0)</f>
        <v>0</v>
      </c>
      <c r="E44" s="334" t="n">
        <v>0</v>
      </c>
      <c r="F44" s="334" t="n">
        <v>0</v>
      </c>
      <c r="G44" s="334" t="n">
        <v>0</v>
      </c>
      <c r="H44" s="334" t="n">
        <v>0</v>
      </c>
      <c r="I44" s="334" t="n">
        <v>0</v>
      </c>
      <c r="J44" s="334" t="str">
        <f aca="false">DEC2HEX(IF('Step1-System Details'!E25="NA","0",IF('Step1-System Details'!E25=1,"0",IF('Step1-System Details'!E25=2,"1",IF('Step1-System Details'!E25=4,"2","3")))))</f>
        <v>0</v>
      </c>
      <c r="K44" s="334" t="n">
        <v>0</v>
      </c>
      <c r="L44" s="335" t="str">
        <f aca="false">DEC2HEX(IF('Step1-System Details'!E26=32,"0",IF('Step1-System Details'!E26=64,"1",IF('Step1-System Details'!E26=128,"2",IF('Step1-System Details'!E26=256,"3",IF('Step1-System Details'!E26=512,"4",IF('Step1-System Details'!E26=1024,"5",IF('Step1-System Details'!E26=2048,"6",IF('Step1-System Details'!E26=4096,"7","0")))))))))</f>
        <v>0</v>
      </c>
      <c r="R44" s="317" t="str">
        <f aca="false">BIN2HEX(RIGHT((LEFT(R40,16)),4))</f>
        <v>F</v>
      </c>
      <c r="W44" s="317" t="e">
        <f aca="false">BIN2HEX(RIGHT((LEFT(W40,16)),4))</f>
        <v>#REF!</v>
      </c>
    </row>
    <row r="45" customFormat="false" ht="13" hidden="false" customHeight="false" outlineLevel="0" collapsed="false">
      <c r="B45" s="351" t="s">
        <v>269</v>
      </c>
      <c r="C45" s="358" t="str">
        <f aca="false">HEX2BIN(C44,1)</f>
        <v>0</v>
      </c>
      <c r="D45" s="358" t="str">
        <f aca="false">HEX2BIN(D44,1)</f>
        <v>0</v>
      </c>
      <c r="E45" s="338" t="str">
        <f aca="false">HEX2BIN(E44,2)</f>
        <v>00</v>
      </c>
      <c r="F45" s="338" t="str">
        <f aca="false">HEX2BIN(F44,1)</f>
        <v>0</v>
      </c>
      <c r="G45" s="338" t="str">
        <f aca="false">HEX2BIN(G44,10)</f>
        <v>0000000000</v>
      </c>
      <c r="H45" s="338" t="str">
        <f aca="false">HEX2BIN(H44,10)</f>
        <v>0000000000</v>
      </c>
      <c r="I45" s="358" t="str">
        <f aca="false">HEX2BIN(I44,1)</f>
        <v>0</v>
      </c>
      <c r="J45" s="338" t="str">
        <f aca="false">HEX2BIN(J44,2)</f>
        <v>00</v>
      </c>
      <c r="K45" s="338" t="str">
        <f aca="false">HEX2BIN(K44,1)</f>
        <v>0</v>
      </c>
      <c r="L45" s="339" t="str">
        <f aca="false">HEX2BIN(L44,3)</f>
        <v>000</v>
      </c>
      <c r="R45" s="317" t="str">
        <f aca="false">BIN2HEX(RIGHT((LEFT(R40,20)),4))</f>
        <v>8</v>
      </c>
      <c r="T45" s="318"/>
      <c r="W45" s="317" t="e">
        <f aca="false">BIN2HEX(RIGHT((LEFT(W40,20)),4))</f>
        <v>#REF!</v>
      </c>
    </row>
    <row r="46" customFormat="false" ht="13" hidden="false" customHeight="false" outlineLevel="0" collapsed="false">
      <c r="B46" s="353" t="s">
        <v>270</v>
      </c>
      <c r="C46" s="342" t="str">
        <f aca="false">CONCATENATE(R65,R66,R67,R68,R69,R70,R71,R72)</f>
        <v>00000000</v>
      </c>
      <c r="R46" s="317" t="str">
        <f aca="false">BIN2HEX(RIGHT((LEFT(R40,24)),4))</f>
        <v>6</v>
      </c>
      <c r="W46" s="317" t="e">
        <f aca="false">BIN2HEX(RIGHT((LEFT(W40,24)),4))</f>
        <v>#REF!</v>
      </c>
    </row>
    <row r="47" customFormat="false" ht="12.5" hidden="false" customHeight="false" outlineLevel="0" collapsed="false">
      <c r="R47" s="317" t="str">
        <f aca="false">BIN2HEX(RIGHT((LEFT(R40,28)),4))</f>
        <v>7</v>
      </c>
      <c r="W47" s="317" t="e">
        <f aca="false">BIN2HEX(RIGHT((LEFT(W40,28)),4))</f>
        <v>#REF!</v>
      </c>
    </row>
    <row r="48" customFormat="false" ht="13" hidden="false" customHeight="false" outlineLevel="0" collapsed="false">
      <c r="R48" s="317" t="str">
        <f aca="false">BIN2HEX(RIGHT((LEFT(R40,33)),4))</f>
        <v>F</v>
      </c>
      <c r="W48" s="317" t="e">
        <f aca="false">BIN2HEX(RIGHT((LEFT(W40,33)),4))</f>
        <v>#REF!</v>
      </c>
    </row>
    <row r="49" customFormat="false" ht="13.5" hidden="false" customHeight="false" outlineLevel="0" collapsed="false">
      <c r="B49" s="324" t="s">
        <v>316</v>
      </c>
      <c r="C49" s="326"/>
      <c r="D49" s="326"/>
      <c r="E49" s="326"/>
      <c r="F49" s="326"/>
      <c r="G49" s="326"/>
      <c r="H49" s="326"/>
      <c r="I49" s="326"/>
      <c r="J49" s="326"/>
      <c r="K49" s="327"/>
    </row>
    <row r="50" customFormat="false" ht="13.5" hidden="false" customHeight="false" outlineLevel="0" collapsed="false">
      <c r="B50" s="328"/>
      <c r="C50" s="359" t="s">
        <v>317</v>
      </c>
      <c r="D50" s="360" t="s">
        <v>318</v>
      </c>
      <c r="E50" s="360" t="s">
        <v>319</v>
      </c>
      <c r="F50" s="360" t="s">
        <v>320</v>
      </c>
      <c r="G50" s="360" t="s">
        <v>321</v>
      </c>
      <c r="H50" s="360" t="s">
        <v>322</v>
      </c>
      <c r="I50" s="360" t="s">
        <v>323</v>
      </c>
      <c r="J50" s="360" t="s">
        <v>324</v>
      </c>
      <c r="K50" s="349" t="s">
        <v>325</v>
      </c>
    </row>
    <row r="51" customFormat="false" ht="12.5" hidden="false" customHeight="false" outlineLevel="0" collapsed="false">
      <c r="B51" s="332" t="s">
        <v>266</v>
      </c>
      <c r="C51" s="362" t="n">
        <v>0</v>
      </c>
      <c r="D51" s="334" t="n">
        <v>0</v>
      </c>
      <c r="E51" s="334" t="n">
        <v>0</v>
      </c>
      <c r="F51" s="334" t="n">
        <v>0</v>
      </c>
      <c r="G51" s="334" t="n">
        <v>0</v>
      </c>
      <c r="H51" s="334" t="n">
        <v>0</v>
      </c>
      <c r="I51" s="334" t="n">
        <v>0</v>
      </c>
      <c r="J51" s="334" t="str">
        <f aca="false">LEFT(DEC2HEX('Step2-DDR Timings'!G51,4),2)</f>
        <v>0C</v>
      </c>
      <c r="K51" s="335" t="str">
        <f aca="false">RIGHT(DEC2HEX('Step2-DDR Timings'!G51,4),2)</f>
        <v>30</v>
      </c>
    </row>
    <row r="52" customFormat="false" ht="13" hidden="false" customHeight="false" outlineLevel="0" collapsed="false">
      <c r="B52" s="351" t="s">
        <v>269</v>
      </c>
      <c r="C52" s="358" t="str">
        <f aca="false">HEX2BIN(C51,1)</f>
        <v>0</v>
      </c>
      <c r="D52" s="358" t="str">
        <f aca="false">HEX2BIN(D51,1)</f>
        <v>0</v>
      </c>
      <c r="E52" s="338" t="str">
        <f aca="false">HEX2BIN(E51,1)</f>
        <v>0</v>
      </c>
      <c r="F52" s="338" t="str">
        <f aca="false">HEX2BIN(F51,1)</f>
        <v>0</v>
      </c>
      <c r="G52" s="338" t="str">
        <f aca="false">HEX2BIN(G51,1)</f>
        <v>0</v>
      </c>
      <c r="H52" s="338" t="str">
        <f aca="false">HEX2BIN(H51,3)</f>
        <v>000</v>
      </c>
      <c r="I52" s="338" t="str">
        <f aca="false">HEX2BIN(I51,8)</f>
        <v>00000000</v>
      </c>
      <c r="J52" s="338" t="str">
        <f aca="false">HEX2BIN(J51,8)</f>
        <v>00001100</v>
      </c>
      <c r="K52" s="339" t="str">
        <f aca="false">HEX2BIN(K51,8)</f>
        <v>00110000</v>
      </c>
      <c r="R52" s="317" t="s">
        <v>326</v>
      </c>
    </row>
    <row r="53" customFormat="false" ht="13" hidden="false" customHeight="false" outlineLevel="0" collapsed="false">
      <c r="B53" s="353" t="s">
        <v>270</v>
      </c>
      <c r="C53" s="342" t="str">
        <f aca="false">CONCATENATE(R76,R77,R78,R79,R80,R81,R82,R83)</f>
        <v>00000C30</v>
      </c>
      <c r="R53" s="317" t="str">
        <f aca="false">CONCATENATE(C38,D38,E38,F38,G38,H38,I38,J38,K38,L38,M38,N38,O38,P38)</f>
        <v>01100001101000000101001100110010</v>
      </c>
    </row>
    <row r="54" customFormat="false" ht="12.5" hidden="false" customHeight="false" outlineLevel="0" collapsed="false">
      <c r="R54" s="317" t="str">
        <f aca="false">BIN2HEX(RIGHT((LEFT(R53,4)),4))</f>
        <v>6</v>
      </c>
    </row>
    <row r="55" customFormat="false" ht="13" hidden="false" customHeight="false" outlineLevel="0" collapsed="false">
      <c r="R55" s="317" t="str">
        <f aca="false">BIN2HEX(RIGHT((LEFT(R53,8)),4))</f>
        <v>1</v>
      </c>
    </row>
    <row r="56" customFormat="false" ht="13.5" hidden="true" customHeight="false" outlineLevel="0" collapsed="false">
      <c r="B56" s="324" t="s">
        <v>327</v>
      </c>
      <c r="C56" s="326"/>
      <c r="D56" s="326"/>
      <c r="E56" s="326"/>
      <c r="F56" s="326"/>
      <c r="G56" s="326"/>
      <c r="H56" s="327"/>
      <c r="R56" s="317" t="str">
        <f aca="false">BIN2HEX(RIGHT((LEFT(R53,12)),4))</f>
        <v>A</v>
      </c>
    </row>
    <row r="57" customFormat="false" ht="13.5" hidden="true" customHeight="false" outlineLevel="0" collapsed="false">
      <c r="B57" s="328"/>
      <c r="C57" s="347" t="s">
        <v>328</v>
      </c>
      <c r="D57" s="364" t="s">
        <v>329</v>
      </c>
      <c r="E57" s="364" t="s">
        <v>330</v>
      </c>
      <c r="F57" s="364" t="s">
        <v>331</v>
      </c>
      <c r="G57" s="364" t="s">
        <v>332</v>
      </c>
      <c r="H57" s="349" t="s">
        <v>333</v>
      </c>
      <c r="R57" s="317" t="str">
        <f aca="false">BIN2HEX(RIGHT((LEFT(R53,16)),4))</f>
        <v>0</v>
      </c>
    </row>
    <row r="58" customFormat="false" ht="12.5" hidden="true" customHeight="false" outlineLevel="0" collapsed="false">
      <c r="B58" s="332" t="s">
        <v>266</v>
      </c>
      <c r="C58" s="333" t="str">
        <f aca="false">DEC2HEX(IF('Step1-System Details'!E21="NA",0,IF('Step1-System Details'!E21="CS0",0,1)))</f>
        <v>1</v>
      </c>
      <c r="D58" s="334" t="str">
        <f aca="false">DEC2HEX(IF('Step1-System Details'!E22="NA",0,IF('Step1-System Details'!E22=0,0,1)))</f>
        <v>0</v>
      </c>
      <c r="E58" s="334" t="n">
        <v>0</v>
      </c>
      <c r="F58" s="334" t="n">
        <v>0</v>
      </c>
      <c r="G58" s="334" t="n">
        <v>0</v>
      </c>
      <c r="H58" s="335" t="str">
        <f aca="false">DEC2HEX(IF('Step1-System Details'!E23="NA","0",IF('Step1-System Details'!E23="MR1","1",IF('Step1-System Details'!E23="MR2","2","10"))))</f>
        <v>0</v>
      </c>
      <c r="R58" s="317" t="str">
        <f aca="false">BIN2HEX(RIGHT((LEFT(R53,20)),4))</f>
        <v>5</v>
      </c>
    </row>
    <row r="59" customFormat="false" ht="13" hidden="true" customHeight="false" outlineLevel="0" collapsed="false">
      <c r="B59" s="357" t="s">
        <v>269</v>
      </c>
      <c r="C59" s="358" t="str">
        <f aca="false">HEX2BIN(C58,1)</f>
        <v>1</v>
      </c>
      <c r="D59" s="338" t="str">
        <f aca="false">HEX2BIN(D58,1)</f>
        <v>0</v>
      </c>
      <c r="E59" s="338" t="str">
        <f aca="false">HEX2BIN(E58,10)</f>
        <v>0000000000</v>
      </c>
      <c r="F59" s="338" t="str">
        <f aca="false">HEX2BIN(F58,10)</f>
        <v>0000000000</v>
      </c>
      <c r="G59" s="338" t="str">
        <f aca="false">HEX2BIN(G58,2)</f>
        <v>00</v>
      </c>
      <c r="H59" s="339" t="str">
        <f aca="false">HEX2BIN(H58,8)</f>
        <v>00000000</v>
      </c>
      <c r="R59" s="317" t="str">
        <f aca="false">BIN2HEX(RIGHT((LEFT(R53,24)),4))</f>
        <v>3</v>
      </c>
    </row>
    <row r="60" customFormat="false" ht="13" hidden="true" customHeight="false" outlineLevel="0" collapsed="false">
      <c r="B60" s="353" t="s">
        <v>270</v>
      </c>
      <c r="C60" s="342" t="str">
        <f aca="false">CONCATENATE(R87,R88,R89,R90,R91,R92,R93,R94)</f>
        <v>80000000</v>
      </c>
      <c r="R60" s="317" t="str">
        <f aca="false">BIN2HEX(RIGHT((LEFT(R53,28)),4))</f>
        <v>3</v>
      </c>
    </row>
    <row r="61" customFormat="false" ht="12.5" hidden="true" customHeight="false" outlineLevel="0" collapsed="false">
      <c r="R61" s="365" t="str">
        <f aca="false">BIN2HEX(RIGHT((LEFT(R53,33)),4))</f>
        <v>2</v>
      </c>
    </row>
    <row r="62" customFormat="false" ht="13" hidden="true" customHeight="false" outlineLevel="0" collapsed="false"/>
    <row r="63" customFormat="false" ht="13.5" hidden="false" customHeight="false" outlineLevel="0" collapsed="false">
      <c r="B63" s="324" t="s">
        <v>334</v>
      </c>
      <c r="C63" s="326"/>
      <c r="D63" s="326"/>
      <c r="E63" s="326"/>
      <c r="F63" s="326"/>
      <c r="G63" s="326"/>
      <c r="H63" s="326"/>
      <c r="I63" s="327"/>
      <c r="R63" s="317" t="s">
        <v>335</v>
      </c>
    </row>
    <row r="64" customFormat="false" ht="13.5" hidden="false" customHeight="false" outlineLevel="0" collapsed="false">
      <c r="B64" s="328"/>
      <c r="C64" s="347" t="s">
        <v>336</v>
      </c>
      <c r="D64" s="364" t="s">
        <v>337</v>
      </c>
      <c r="E64" s="364" t="s">
        <v>338</v>
      </c>
      <c r="F64" s="364" t="s">
        <v>339</v>
      </c>
      <c r="G64" s="348" t="s">
        <v>340</v>
      </c>
      <c r="H64" s="348" t="s">
        <v>341</v>
      </c>
      <c r="I64" s="349" t="s">
        <v>342</v>
      </c>
      <c r="R64" s="317" t="str">
        <f aca="false">CONCATENATE(C45,D45,E45,F45,G45,H45,I45,J45,K45,L45)</f>
        <v>00000000000000000000000000000000</v>
      </c>
    </row>
    <row r="65" customFormat="false" ht="12.5" hidden="false" customHeight="false" outlineLevel="0" collapsed="false">
      <c r="B65" s="332" t="s">
        <v>266</v>
      </c>
      <c r="C65" s="333" t="n">
        <v>0</v>
      </c>
      <c r="D65" s="334" t="n">
        <v>0</v>
      </c>
      <c r="E65" s="334" t="n">
        <v>0</v>
      </c>
      <c r="F65" s="334" t="str">
        <f aca="false">DEC2HEX(IF('Step1-System Details'!E65="Fastest: SR[4:3] = 0b00","0",IF('Step1-System Details'!E65="Fast: SR[4:3] = 0b10","2",IF('Step1-System Details'!E65="Slow: SR[4:3] = 0b01","1","3"))))</f>
        <v>0</v>
      </c>
      <c r="G65" s="334" t="str">
        <f aca="false">DEC2HEX(IF('Step1-System Details'!E67=80,"0",IF('Step1-System Details'!E67=67,"1",IF('Step1-System Details'!E67=57,"2",IF('Step1-System Details'!E67=50,"3",IF('Step1-System Details'!E67=44,"4",IF('Step1-System Details'!E67=40,"5",IF('Step1-System Details'!E67=36,"6","7"))))))))</f>
        <v>4</v>
      </c>
      <c r="H65" s="334" t="str">
        <f aca="false">DEC2HEX(IF('Step1-System Details'!E65="Fastest: SR[4:3] = 0b00","0",IF('Step1-System Details'!E65="Fast: SR[4:3] = 0b10","2",IF('Step1-System Details'!E65="Slow: SR[4:3] = 0b01","1","3"))))</f>
        <v>0</v>
      </c>
      <c r="I65" s="335" t="str">
        <f aca="false">DEC2HEX(IF('Step1-System Details'!E67=80,"0",IF('Step1-System Details'!E67=67,"1",IF('Step1-System Details'!E67=57,"2",IF('Step1-System Details'!E67=50,"3",IF('Step1-System Details'!E67=44,"4",IF('Step1-System Details'!E67=40,"5",IF('Step1-System Details'!E67=36,"6","7"))))))))</f>
        <v>4</v>
      </c>
      <c r="R65" s="317" t="str">
        <f aca="false">BIN2HEX(RIGHT((LEFT(R64,4)),4))</f>
        <v>0</v>
      </c>
    </row>
    <row r="66" customFormat="false" ht="13" hidden="false" customHeight="false" outlineLevel="0" collapsed="false">
      <c r="B66" s="357" t="s">
        <v>269</v>
      </c>
      <c r="C66" s="358" t="str">
        <f aca="false">HEX2BIN(C65,10)</f>
        <v>0000000000</v>
      </c>
      <c r="D66" s="338" t="str">
        <f aca="false">HEX2BIN(D65,10)</f>
        <v>0000000000</v>
      </c>
      <c r="E66" s="338" t="str">
        <f aca="false">HEX2BIN(E65,2)</f>
        <v>00</v>
      </c>
      <c r="F66" s="338" t="str">
        <f aca="false">HEX2BIN(F65,2)</f>
        <v>00</v>
      </c>
      <c r="G66" s="338" t="str">
        <f aca="false">HEX2BIN(G65,3)</f>
        <v>100</v>
      </c>
      <c r="H66" s="338" t="str">
        <f aca="false">HEX2BIN(H65,2)</f>
        <v>00</v>
      </c>
      <c r="I66" s="339" t="str">
        <f aca="false">HEX2BIN(I65,3)</f>
        <v>100</v>
      </c>
      <c r="R66" s="317" t="str">
        <f aca="false">BIN2HEX(RIGHT((LEFT(R64,8)),4))</f>
        <v>0</v>
      </c>
    </row>
    <row r="67" customFormat="false" ht="13" hidden="false" customHeight="false" outlineLevel="0" collapsed="false">
      <c r="B67" s="353" t="s">
        <v>270</v>
      </c>
      <c r="C67" s="342" t="str">
        <f aca="false">CONCATENATE(R98,R99,R100,R101,R102,R103,R104,R105)</f>
        <v>00000084</v>
      </c>
      <c r="R67" s="317" t="str">
        <f aca="false">BIN2HEX(RIGHT((LEFT(R64,12)),4))</f>
        <v>0</v>
      </c>
    </row>
    <row r="68" customFormat="false" ht="12.5" hidden="false" customHeight="false" outlineLevel="0" collapsed="false">
      <c r="R68" s="317" t="str">
        <f aca="false">BIN2HEX(RIGHT((LEFT(R64,16)),4))</f>
        <v>0</v>
      </c>
    </row>
    <row r="69" customFormat="false" ht="13" hidden="false" customHeight="false" outlineLevel="0" collapsed="false">
      <c r="R69" s="317" t="str">
        <f aca="false">BIN2HEX(RIGHT((LEFT(R64,20)),4))</f>
        <v>0</v>
      </c>
    </row>
    <row r="70" customFormat="false" ht="13.5" hidden="false" customHeight="false" outlineLevel="0" collapsed="false">
      <c r="B70" s="324" t="s">
        <v>343</v>
      </c>
      <c r="C70" s="326"/>
      <c r="D70" s="326"/>
      <c r="E70" s="326"/>
      <c r="F70" s="326"/>
      <c r="G70" s="326"/>
      <c r="H70" s="326"/>
      <c r="I70" s="326"/>
      <c r="J70" s="326"/>
      <c r="K70" s="326"/>
      <c r="L70" s="326"/>
      <c r="M70" s="327"/>
      <c r="R70" s="317" t="str">
        <f aca="false">BIN2HEX(RIGHT((LEFT(R64,24)),4))</f>
        <v>0</v>
      </c>
    </row>
    <row r="71" customFormat="false" ht="13.5" hidden="false" customHeight="false" outlineLevel="0" collapsed="false">
      <c r="B71" s="328"/>
      <c r="C71" s="359" t="s">
        <v>344</v>
      </c>
      <c r="D71" s="360" t="s">
        <v>345</v>
      </c>
      <c r="E71" s="360" t="s">
        <v>346</v>
      </c>
      <c r="F71" s="360" t="s">
        <v>347</v>
      </c>
      <c r="G71" s="360" t="s">
        <v>348</v>
      </c>
      <c r="H71" s="360" t="s">
        <v>349</v>
      </c>
      <c r="I71" s="360" t="s">
        <v>350</v>
      </c>
      <c r="J71" s="360" t="s">
        <v>351</v>
      </c>
      <c r="K71" s="361" t="s">
        <v>340</v>
      </c>
      <c r="L71" s="360" t="s">
        <v>352</v>
      </c>
      <c r="M71" s="349" t="s">
        <v>353</v>
      </c>
      <c r="R71" s="317" t="str">
        <f aca="false">BIN2HEX(RIGHT((LEFT(R64,28)),4))</f>
        <v>0</v>
      </c>
    </row>
    <row r="72" customFormat="false" ht="12.5" hidden="false" customHeight="false" outlineLevel="0" collapsed="false">
      <c r="B72" s="332" t="s">
        <v>266</v>
      </c>
      <c r="C72" s="362" t="n">
        <v>0</v>
      </c>
      <c r="D72" s="334" t="n">
        <f aca="false">IF('Step1-System Details'!E17="DDR3",0,1)</f>
        <v>0</v>
      </c>
      <c r="E72" s="334" t="n">
        <v>0</v>
      </c>
      <c r="F72" s="334" t="n">
        <v>0</v>
      </c>
      <c r="G72" s="334" t="n">
        <v>0</v>
      </c>
      <c r="H72" s="334" t="n">
        <v>0</v>
      </c>
      <c r="I72" s="334" t="n">
        <v>0</v>
      </c>
      <c r="J72" s="334" t="str">
        <f aca="false">DEC2HEX(IF('Step1-System Details'!E66="Fastest: SR[4:3] = 0b00","0",IF('Step1-System Details'!E66="Fast: SR[4:3] = 0b10","2",IF('Step1-System Details'!E66="Slow: SR[4:3] = 0b01","1","3"))))</f>
        <v>0</v>
      </c>
      <c r="K72" s="334" t="str">
        <f aca="false">DEC2HEX(IF('Step1-System Details'!E68=80,"0",IF('Step1-System Details'!E68=67,"1",IF('Step1-System Details'!E68=57,"2",IF('Step1-System Details'!E68=50,"3",IF('Step1-System Details'!E68=44,"4",IF('Step1-System Details'!E68=40,"5",IF('Step1-System Details'!E68=36,"6","7"))))))))</f>
        <v>4</v>
      </c>
      <c r="L72" s="334" t="str">
        <f aca="false">DEC2HEX(IF('Step1-System Details'!E66="Fastest: SR[4:3] = 0b00","0",IF('Step1-System Details'!E66="Fast: SR[4:3] = 0b10","2",IF('Step1-System Details'!E66="Slow: SR[4:3] = 0b01","1","3"))))</f>
        <v>0</v>
      </c>
      <c r="M72" s="335" t="str">
        <f aca="false">DEC2HEX(IF('Step1-System Details'!E68=80,"0",IF('Step1-System Details'!E68=67,"1",IF('Step1-System Details'!E68=57,"2",IF('Step1-System Details'!E68=50,"3",IF('Step1-System Details'!E68=44,"4",IF('Step1-System Details'!E68=40,"5",IF('Step1-System Details'!E68=36,"6","7"))))))))</f>
        <v>4</v>
      </c>
      <c r="R72" s="365" t="str">
        <f aca="false">BIN2HEX(RIGHT((LEFT(R64,33)),4))</f>
        <v>0</v>
      </c>
    </row>
    <row r="73" customFormat="false" ht="13" hidden="false" customHeight="false" outlineLevel="0" collapsed="false">
      <c r="B73" s="351" t="s">
        <v>269</v>
      </c>
      <c r="C73" s="358" t="str">
        <f aca="false">HEX2BIN(C72,2)</f>
        <v>00</v>
      </c>
      <c r="D73" s="358" t="str">
        <f aca="false">HEX2BIN(D72,1)</f>
        <v>0</v>
      </c>
      <c r="E73" s="338" t="str">
        <f aca="false">HEX2BIN(E72,1)</f>
        <v>0</v>
      </c>
      <c r="F73" s="338" t="str">
        <f aca="false">HEX2BIN(F72,8)</f>
        <v>00000000</v>
      </c>
      <c r="G73" s="338" t="str">
        <f aca="false">HEX2BIN(G72,1)</f>
        <v>0</v>
      </c>
      <c r="H73" s="338" t="str">
        <f aca="false">HEX2BIN(H72,1)</f>
        <v>0</v>
      </c>
      <c r="I73" s="338" t="str">
        <f aca="false">HEX2BIN(I72,8)</f>
        <v>00000000</v>
      </c>
      <c r="J73" s="338" t="str">
        <f aca="false">HEX2BIN(J72,2)</f>
        <v>00</v>
      </c>
      <c r="K73" s="338" t="str">
        <f aca="false">HEX2BIN(K72,3)</f>
        <v>100</v>
      </c>
      <c r="L73" s="338" t="str">
        <f aca="false">HEX2BIN(L72,2)</f>
        <v>00</v>
      </c>
      <c r="M73" s="339" t="str">
        <f aca="false">HEX2BIN(M72,3)</f>
        <v>100</v>
      </c>
    </row>
    <row r="74" customFormat="false" ht="13" hidden="false" customHeight="false" outlineLevel="0" collapsed="false">
      <c r="B74" s="353" t="s">
        <v>270</v>
      </c>
      <c r="C74" s="342" t="str">
        <f aca="false">CONCATENATE(R109,R110,R111,R112,R113,R114,R115,R116)</f>
        <v>00000084</v>
      </c>
      <c r="R74" s="317" t="s">
        <v>354</v>
      </c>
    </row>
    <row r="75" customFormat="false" ht="12.5" hidden="false" customHeight="false" outlineLevel="0" collapsed="false">
      <c r="R75" s="317" t="str">
        <f aca="false">CONCATENATE(C52,D52,E52,F52,G52,H52,I52,J52,K52)</f>
        <v>00000000000000000000110000110000</v>
      </c>
    </row>
    <row r="76" customFormat="false" ht="13" hidden="false" customHeight="false" outlineLevel="0" collapsed="false">
      <c r="R76" s="317" t="str">
        <f aca="false">BIN2HEX(RIGHT((LEFT(R75,4)),4))</f>
        <v>0</v>
      </c>
    </row>
    <row r="77" customFormat="false" ht="13.5" hidden="false" customHeight="false" outlineLevel="0" collapsed="false">
      <c r="B77" s="324" t="s">
        <v>355</v>
      </c>
      <c r="C77" s="326"/>
      <c r="D77" s="326"/>
      <c r="E77" s="326"/>
      <c r="F77" s="326"/>
      <c r="G77" s="326"/>
      <c r="H77" s="326"/>
      <c r="I77" s="326"/>
      <c r="J77" s="326"/>
      <c r="K77" s="326"/>
      <c r="L77" s="326"/>
      <c r="M77" s="326"/>
      <c r="N77" s="326"/>
      <c r="O77" s="327"/>
      <c r="R77" s="317" t="str">
        <f aca="false">BIN2HEX(RIGHT((LEFT(R75,8)),4))</f>
        <v>0</v>
      </c>
    </row>
    <row r="78" customFormat="false" ht="13.5" hidden="false" customHeight="false" outlineLevel="0" collapsed="false">
      <c r="B78" s="328"/>
      <c r="C78" s="359" t="s">
        <v>356</v>
      </c>
      <c r="D78" s="360" t="s">
        <v>357</v>
      </c>
      <c r="E78" s="360" t="s">
        <v>358</v>
      </c>
      <c r="F78" s="360" t="s">
        <v>359</v>
      </c>
      <c r="G78" s="360" t="s">
        <v>360</v>
      </c>
      <c r="H78" s="360" t="s">
        <v>361</v>
      </c>
      <c r="I78" s="360" t="s">
        <v>362</v>
      </c>
      <c r="J78" s="360" t="s">
        <v>363</v>
      </c>
      <c r="K78" s="361" t="s">
        <v>364</v>
      </c>
      <c r="L78" s="360" t="s">
        <v>365</v>
      </c>
      <c r="M78" s="360" t="s">
        <v>366</v>
      </c>
      <c r="N78" s="360" t="s">
        <v>367</v>
      </c>
      <c r="O78" s="366" t="s">
        <v>368</v>
      </c>
      <c r="R78" s="317" t="str">
        <f aca="false">BIN2HEX(RIGHT((LEFT(R75,12)),4))</f>
        <v>0</v>
      </c>
    </row>
    <row r="79" customFormat="false" ht="12.5" hidden="false" customHeight="false" outlineLevel="0" collapsed="false">
      <c r="B79" s="332" t="s">
        <v>266</v>
      </c>
      <c r="C79" s="362" t="n">
        <v>0</v>
      </c>
      <c r="D79" s="334" t="n">
        <f aca="false">IF('Step1-System Details'!E17="DDR3",0,1)</f>
        <v>0</v>
      </c>
      <c r="E79" s="334" t="n">
        <f aca="false">IF('Step1-System Details'!E17="DDR3",0,1)</f>
        <v>0</v>
      </c>
      <c r="F79" s="334" t="n">
        <f aca="false">IF('Step1-System Details'!E17="DDR3",0,1)</f>
        <v>0</v>
      </c>
      <c r="G79" s="334" t="n">
        <v>0</v>
      </c>
      <c r="H79" s="334" t="n">
        <f aca="false">IF('Step1-System Details'!E17="DDR3",0,1)</f>
        <v>0</v>
      </c>
      <c r="I79" s="334" t="n">
        <v>0</v>
      </c>
      <c r="J79" s="334" t="n">
        <f aca="false">IF('Step1-System Details'!E17="DDR3",0,1)</f>
        <v>0</v>
      </c>
      <c r="K79" s="334" t="str">
        <f aca="false">'Invert Clock'!E19</f>
        <v>1</v>
      </c>
      <c r="L79" s="334" t="n">
        <v>20</v>
      </c>
      <c r="M79" s="334" t="n">
        <v>0</v>
      </c>
      <c r="N79" s="334" t="n">
        <v>0</v>
      </c>
      <c r="O79" s="335" t="str">
        <f aca="false">DEC2HEX(IF(K79="1",'Step2-DDR Timings'!G27+3,'Step2-DDR Timings'!G27+2))</f>
        <v>9</v>
      </c>
      <c r="R79" s="317" t="str">
        <f aca="false">BIN2HEX(RIGHT((LEFT(R75,16)),4))</f>
        <v>0</v>
      </c>
    </row>
    <row r="80" customFormat="false" ht="13" hidden="false" customHeight="false" outlineLevel="0" collapsed="false">
      <c r="B80" s="351" t="s">
        <v>269</v>
      </c>
      <c r="C80" s="358" t="str">
        <f aca="false">HEX2BIN(C79,4)</f>
        <v>0000</v>
      </c>
      <c r="D80" s="358" t="str">
        <f aca="false">HEX2BIN(D79,1)</f>
        <v>0</v>
      </c>
      <c r="E80" s="338" t="str">
        <f aca="false">HEX2BIN(E79,1)</f>
        <v>0</v>
      </c>
      <c r="F80" s="338" t="str">
        <f aca="false">HEX2BIN(F79,1)</f>
        <v>0</v>
      </c>
      <c r="G80" s="338" t="str">
        <f aca="false">HEX2BIN(G79,3)</f>
        <v>000</v>
      </c>
      <c r="H80" s="338" t="str">
        <f aca="false">HEX2BIN(H79,1)</f>
        <v>0</v>
      </c>
      <c r="I80" s="338" t="str">
        <f aca="false">HEX2BIN(I79,1)</f>
        <v>0</v>
      </c>
      <c r="J80" s="338" t="str">
        <f aca="false">HEX2BIN(J79,1)</f>
        <v>0</v>
      </c>
      <c r="K80" s="338" t="str">
        <f aca="false">HEX2BIN(K79,1)</f>
        <v>1</v>
      </c>
      <c r="L80" s="338" t="str">
        <f aca="false">HEX2BIN(L79,8)</f>
        <v>00100000</v>
      </c>
      <c r="M80" s="338" t="str">
        <f aca="false">HEX2BIN(M79,1)</f>
        <v>0</v>
      </c>
      <c r="N80" s="338" t="str">
        <f aca="false">HEX2BIN(N79,4)</f>
        <v>0000</v>
      </c>
      <c r="O80" s="339" t="str">
        <f aca="false">HEX2BIN(O79,5)</f>
        <v>01001</v>
      </c>
      <c r="R80" s="317" t="str">
        <f aca="false">BIN2HEX(RIGHT((LEFT(R75,20)),4))</f>
        <v>0</v>
      </c>
    </row>
    <row r="81" customFormat="false" ht="13" hidden="false" customHeight="false" outlineLevel="0" collapsed="false">
      <c r="B81" s="353" t="s">
        <v>270</v>
      </c>
      <c r="C81" s="342" t="str">
        <f aca="false">CONCATENATE(R120,R121,R122,R123,R124,R125,R126,R127)</f>
        <v>00048009</v>
      </c>
      <c r="R81" s="317" t="str">
        <f aca="false">BIN2HEX(RIGHT((LEFT(R75,24)),4))</f>
        <v>C</v>
      </c>
    </row>
    <row r="82" customFormat="false" ht="12.5" hidden="false" customHeight="false" outlineLevel="0" collapsed="false">
      <c r="R82" s="317" t="str">
        <f aca="false">BIN2HEX(RIGHT((LEFT(R75,28)),4))</f>
        <v>3</v>
      </c>
    </row>
    <row r="83" customFormat="false" ht="13" hidden="false" customHeight="false" outlineLevel="0" collapsed="false">
      <c r="R83" s="365" t="str">
        <f aca="false">BIN2HEX(RIGHT((LEFT(R75,33)),4))</f>
        <v>0</v>
      </c>
    </row>
    <row r="84" customFormat="false" ht="13.5" hidden="false" customHeight="false" outlineLevel="0" collapsed="false">
      <c r="B84" s="324" t="s">
        <v>369</v>
      </c>
      <c r="C84" s="326"/>
      <c r="D84" s="326"/>
      <c r="E84" s="326"/>
      <c r="F84" s="326"/>
      <c r="G84" s="326"/>
      <c r="H84" s="326"/>
      <c r="I84" s="326"/>
      <c r="J84" s="326"/>
      <c r="K84" s="327"/>
    </row>
    <row r="85" customFormat="false" ht="13.5" hidden="false" customHeight="false" outlineLevel="0" collapsed="false">
      <c r="B85" s="328"/>
      <c r="C85" s="367" t="s">
        <v>370</v>
      </c>
      <c r="D85" s="368" t="s">
        <v>371</v>
      </c>
      <c r="E85" s="369" t="s">
        <v>372</v>
      </c>
      <c r="F85" s="364" t="s">
        <v>373</v>
      </c>
      <c r="G85" s="348" t="s">
        <v>374</v>
      </c>
      <c r="H85" s="348" t="s">
        <v>375</v>
      </c>
      <c r="I85" s="348" t="s">
        <v>376</v>
      </c>
      <c r="J85" s="370" t="s">
        <v>377</v>
      </c>
      <c r="K85" s="371" t="s">
        <v>378</v>
      </c>
      <c r="R85" s="317" t="s">
        <v>379</v>
      </c>
    </row>
    <row r="86" customFormat="false" ht="12.5" hidden="false" customHeight="false" outlineLevel="0" collapsed="false">
      <c r="B86" s="332" t="s">
        <v>266</v>
      </c>
      <c r="C86" s="362" t="n">
        <f aca="false">IF('Step1-System Details'!E21="Single Rank",0,1)</f>
        <v>0</v>
      </c>
      <c r="D86" s="334" t="n">
        <v>1</v>
      </c>
      <c r="E86" s="362" t="n">
        <v>0</v>
      </c>
      <c r="F86" s="334" t="n">
        <f aca="false">'Step1-System Details'!E53</f>
        <v>1</v>
      </c>
      <c r="G86" s="334" t="n">
        <v>0</v>
      </c>
      <c r="H86" s="334" t="n">
        <v>1</v>
      </c>
      <c r="I86" s="372" t="n">
        <v>3</v>
      </c>
      <c r="J86" s="334" t="str">
        <f aca="false">LEFT(DEC2HEX(ROUND(((0.5/(('Step1-System Details'!E54*'Step1-System Details'!E56)+('Step1-System Details'!E55*'Step1-System Details'!E57)))*1000)/('Step2-DDR Timings'!F51/1000000),0)),2)</f>
        <v>7D</v>
      </c>
      <c r="K86" s="373" t="str">
        <f aca="false">RIGHT(DEC2HEX(ROUND(((0.5/(('Step1-System Details'!E54*'Step1-System Details'!E56)+('Step1-System Details'!E55*'Step1-System Details'!E57)))*1000)/('Step2-DDR Timings'!F51/1000000),0)),2)</f>
        <v>33</v>
      </c>
      <c r="R86" s="317" t="str">
        <f aca="false">CONCATENATE(C59,D59,E59,F59,G59,H59)</f>
        <v>10000000000000000000000000000000</v>
      </c>
    </row>
    <row r="87" customFormat="false" ht="13" hidden="false" customHeight="false" outlineLevel="0" collapsed="false">
      <c r="B87" s="351" t="s">
        <v>269</v>
      </c>
      <c r="C87" s="358" t="str">
        <f aca="false">HEX2BIN(C86,1)</f>
        <v>0</v>
      </c>
      <c r="D87" s="338" t="str">
        <f aca="false">HEX2BIN(D86,1)</f>
        <v>1</v>
      </c>
      <c r="E87" s="338" t="str">
        <f aca="false">HEX2BIN(E86,1)</f>
        <v>0</v>
      </c>
      <c r="F87" s="338" t="str">
        <f aca="false">HEX2BIN(F86,1)</f>
        <v>1</v>
      </c>
      <c r="G87" s="338" t="str">
        <f aca="false">HEX2BIN(G86,8)</f>
        <v>00000000</v>
      </c>
      <c r="H87" s="338" t="str">
        <f aca="false">HEX2BIN(H86,2)</f>
        <v>01</v>
      </c>
      <c r="I87" s="374" t="str">
        <f aca="false">HEX2BIN(I86,2)</f>
        <v>11</v>
      </c>
      <c r="J87" s="338" t="str">
        <f aca="false">HEX2BIN(J86,8)</f>
        <v>01111101</v>
      </c>
      <c r="K87" s="375" t="str">
        <f aca="false">HEX2BIN(K86,8)</f>
        <v>00110011</v>
      </c>
      <c r="R87" s="317" t="str">
        <f aca="false">BIN2HEX(RIGHT((LEFT(R86,4)),4))</f>
        <v>8</v>
      </c>
    </row>
    <row r="88" customFormat="false" ht="13" hidden="false" customHeight="false" outlineLevel="0" collapsed="false">
      <c r="B88" s="376" t="s">
        <v>270</v>
      </c>
      <c r="C88" s="377" t="str">
        <f aca="false">CONCATENATE(R131,R132,R133,R134,R135,R136,R137,R138)</f>
        <v>50077D33</v>
      </c>
      <c r="R88" s="317" t="str">
        <f aca="false">BIN2HEX(RIGHT((LEFT(R86,8)),4))</f>
        <v>0</v>
      </c>
    </row>
    <row r="89" customFormat="false" ht="12.5" hidden="false" customHeight="false" outlineLevel="0" collapsed="false">
      <c r="R89" s="317" t="str">
        <f aca="false">BIN2HEX(RIGHT((LEFT(R86,12)),4))</f>
        <v>0</v>
      </c>
    </row>
    <row r="90" customFormat="false" ht="12.5" hidden="false" customHeight="false" outlineLevel="0" collapsed="false">
      <c r="R90" s="317" t="str">
        <f aca="false">BIN2HEX(RIGHT((LEFT(R86,16)),4))</f>
        <v>0</v>
      </c>
    </row>
    <row r="91" customFormat="false" ht="12.5" hidden="false" customHeight="false" outlineLevel="0" collapsed="false">
      <c r="R91" s="317" t="str">
        <f aca="false">BIN2HEX(RIGHT((LEFT(R86,20)),4))</f>
        <v>0</v>
      </c>
    </row>
    <row r="92" customFormat="false" ht="12.5" hidden="false" customHeight="false" outlineLevel="0" collapsed="false">
      <c r="R92" s="317" t="str">
        <f aca="false">BIN2HEX(RIGHT((LEFT(R86,24)),4))</f>
        <v>0</v>
      </c>
    </row>
    <row r="93" customFormat="false" ht="12.5" hidden="false" customHeight="false" outlineLevel="0" collapsed="false">
      <c r="R93" s="317" t="str">
        <f aca="false">BIN2HEX(RIGHT((LEFT(R86,28)),4))</f>
        <v>0</v>
      </c>
    </row>
    <row r="94" customFormat="false" ht="12.5" hidden="false" customHeight="false" outlineLevel="0" collapsed="false">
      <c r="R94" s="365" t="str">
        <f aca="false">BIN2HEX(RIGHT((LEFT(R86,33)),4))</f>
        <v>0</v>
      </c>
    </row>
    <row r="96" customFormat="false" ht="12.5" hidden="false" customHeight="false" outlineLevel="0" collapsed="false">
      <c r="R96" s="317" t="s">
        <v>380</v>
      </c>
    </row>
    <row r="97" customFormat="false" ht="12.5" hidden="false" customHeight="false" outlineLevel="0" collapsed="false">
      <c r="R97" s="317" t="str">
        <f aca="false">CONCATENATE(C66,D66,E66,F66,G66,H66,I66)</f>
        <v>00000000000000000000000010000100</v>
      </c>
    </row>
    <row r="98" customFormat="false" ht="12.5" hidden="false" customHeight="false" outlineLevel="0" collapsed="false">
      <c r="R98" s="317" t="str">
        <f aca="false">BIN2HEX(RIGHT((LEFT(R97,4)),4))</f>
        <v>0</v>
      </c>
    </row>
    <row r="99" customFormat="false" ht="12.5" hidden="false" customHeight="false" outlineLevel="0" collapsed="false">
      <c r="R99" s="317" t="str">
        <f aca="false">BIN2HEX(RIGHT((LEFT(R97,8)),4))</f>
        <v>0</v>
      </c>
    </row>
    <row r="100" customFormat="false" ht="12.5" hidden="false" customHeight="false" outlineLevel="0" collapsed="false">
      <c r="R100" s="317" t="str">
        <f aca="false">BIN2HEX(RIGHT((LEFT(R97,12)),4))</f>
        <v>0</v>
      </c>
    </row>
    <row r="101" customFormat="false" ht="12.5" hidden="false" customHeight="false" outlineLevel="0" collapsed="false">
      <c r="R101" s="317" t="str">
        <f aca="false">BIN2HEX(RIGHT((LEFT(R97,16)),4))</f>
        <v>0</v>
      </c>
    </row>
    <row r="102" customFormat="false" ht="12.5" hidden="false" customHeight="false" outlineLevel="0" collapsed="false">
      <c r="R102" s="317" t="str">
        <f aca="false">BIN2HEX(RIGHT((LEFT(R97,20)),4))</f>
        <v>0</v>
      </c>
    </row>
    <row r="103" customFormat="false" ht="12.5" hidden="false" customHeight="false" outlineLevel="0" collapsed="false">
      <c r="R103" s="317" t="str">
        <f aca="false">BIN2HEX(RIGHT((LEFT(R97,24)),4))</f>
        <v>0</v>
      </c>
    </row>
    <row r="104" customFormat="false" ht="12.5" hidden="false" customHeight="false" outlineLevel="0" collapsed="false">
      <c r="R104" s="317" t="str">
        <f aca="false">BIN2HEX(RIGHT((LEFT(R97,28)),4))</f>
        <v>8</v>
      </c>
    </row>
    <row r="105" customFormat="false" ht="12.5" hidden="false" customHeight="false" outlineLevel="0" collapsed="false">
      <c r="R105" s="317" t="str">
        <f aca="false">BIN2HEX(RIGHT((LEFT(R97,33)),4))</f>
        <v>4</v>
      </c>
    </row>
    <row r="107" customFormat="false" ht="12.5" hidden="false" customHeight="false" outlineLevel="0" collapsed="false">
      <c r="R107" s="317" t="s">
        <v>381</v>
      </c>
    </row>
    <row r="108" customFormat="false" ht="12.5" hidden="false" customHeight="false" outlineLevel="0" collapsed="false">
      <c r="R108" s="317" t="str">
        <f aca="false">CONCATENATE(C73,D73,E73,F73,G73,H73,I73,J73,K73,L73,M73)</f>
        <v>00000000000000000000000010000100</v>
      </c>
    </row>
    <row r="109" customFormat="false" ht="12.5" hidden="false" customHeight="false" outlineLevel="0" collapsed="false">
      <c r="R109" s="317" t="str">
        <f aca="false">BIN2HEX(RIGHT((LEFT(R108,4)),4))</f>
        <v>0</v>
      </c>
    </row>
    <row r="110" customFormat="false" ht="12.5" hidden="false" customHeight="false" outlineLevel="0" collapsed="false">
      <c r="R110" s="317" t="str">
        <f aca="false">BIN2HEX(RIGHT((LEFT(R108,8)),4))</f>
        <v>0</v>
      </c>
    </row>
    <row r="111" customFormat="false" ht="12.5" hidden="false" customHeight="false" outlineLevel="0" collapsed="false">
      <c r="R111" s="317" t="str">
        <f aca="false">BIN2HEX(RIGHT((LEFT(R108,12)),4))</f>
        <v>0</v>
      </c>
    </row>
    <row r="112" customFormat="false" ht="12.5" hidden="false" customHeight="false" outlineLevel="0" collapsed="false">
      <c r="R112" s="317" t="str">
        <f aca="false">BIN2HEX(RIGHT((LEFT(R108,16)),4))</f>
        <v>0</v>
      </c>
    </row>
    <row r="113" customFormat="false" ht="12.5" hidden="false" customHeight="false" outlineLevel="0" collapsed="false">
      <c r="R113" s="317" t="str">
        <f aca="false">BIN2HEX(RIGHT((LEFT(R108,20)),4))</f>
        <v>0</v>
      </c>
    </row>
    <row r="114" customFormat="false" ht="12.5" hidden="false" customHeight="false" outlineLevel="0" collapsed="false">
      <c r="R114" s="317" t="str">
        <f aca="false">BIN2HEX(RIGHT((LEFT(R108,24)),4))</f>
        <v>0</v>
      </c>
    </row>
    <row r="115" customFormat="false" ht="12.5" hidden="false" customHeight="false" outlineLevel="0" collapsed="false">
      <c r="R115" s="317" t="str">
        <f aca="false">BIN2HEX(RIGHT((LEFT(R108,28)),4))</f>
        <v>8</v>
      </c>
    </row>
    <row r="116" customFormat="false" ht="12.5" hidden="false" customHeight="false" outlineLevel="0" collapsed="false">
      <c r="R116" s="317" t="str">
        <f aca="false">BIN2HEX(RIGHT((LEFT(R108,33)),4))</f>
        <v>4</v>
      </c>
    </row>
    <row r="118" customFormat="false" ht="12.5" hidden="false" customHeight="false" outlineLevel="0" collapsed="false">
      <c r="R118" s="317" t="s">
        <v>382</v>
      </c>
    </row>
    <row r="119" customFormat="false" ht="12.5" hidden="false" customHeight="false" outlineLevel="0" collapsed="false">
      <c r="R119" s="317" t="str">
        <f aca="false">CONCATENATE(C80,D80,E80,F80,G80,H80,I80,J80,K80,L80,M80,N80,O80)</f>
        <v>00000000000001001000000000001001</v>
      </c>
    </row>
    <row r="120" customFormat="false" ht="12.5" hidden="false" customHeight="false" outlineLevel="0" collapsed="false">
      <c r="R120" s="317" t="str">
        <f aca="false">BIN2HEX(RIGHT((LEFT(R119,4)),4))</f>
        <v>0</v>
      </c>
    </row>
    <row r="121" customFormat="false" ht="12.5" hidden="false" customHeight="false" outlineLevel="0" collapsed="false">
      <c r="R121" s="317" t="str">
        <f aca="false">BIN2HEX(RIGHT((LEFT(R119,8)),4))</f>
        <v>0</v>
      </c>
    </row>
    <row r="122" customFormat="false" ht="12.5" hidden="false" customHeight="false" outlineLevel="0" collapsed="false">
      <c r="R122" s="317" t="str">
        <f aca="false">BIN2HEX(RIGHT((LEFT(R119,12)),4))</f>
        <v>0</v>
      </c>
    </row>
    <row r="123" customFormat="false" ht="12.5" hidden="false" customHeight="false" outlineLevel="0" collapsed="false">
      <c r="R123" s="317" t="str">
        <f aca="false">BIN2HEX(RIGHT((LEFT(R119,16)),4))</f>
        <v>4</v>
      </c>
    </row>
    <row r="124" customFormat="false" ht="12.5" hidden="false" customHeight="false" outlineLevel="0" collapsed="false">
      <c r="R124" s="317" t="str">
        <f aca="false">BIN2HEX(RIGHT((LEFT(R119,20)),4))</f>
        <v>8</v>
      </c>
    </row>
    <row r="125" customFormat="false" ht="12.5" hidden="false" customHeight="false" outlineLevel="0" collapsed="false">
      <c r="R125" s="317" t="str">
        <f aca="false">BIN2HEX(RIGHT((LEFT(R119,24)),4))</f>
        <v>0</v>
      </c>
    </row>
    <row r="126" customFormat="false" ht="12.5" hidden="false" customHeight="false" outlineLevel="0" collapsed="false">
      <c r="R126" s="317" t="str">
        <f aca="false">BIN2HEX(RIGHT((LEFT(R119,28)),4))</f>
        <v>0</v>
      </c>
    </row>
    <row r="127" customFormat="false" ht="12.5" hidden="false" customHeight="false" outlineLevel="0" collapsed="false">
      <c r="R127" s="317" t="str">
        <f aca="false">BIN2HEX(RIGHT((LEFT(R119,33)),4))</f>
        <v>9</v>
      </c>
    </row>
    <row r="129" customFormat="false" ht="12.5" hidden="false" customHeight="false" outlineLevel="0" collapsed="false">
      <c r="R129" s="317" t="s">
        <v>383</v>
      </c>
    </row>
    <row r="130" customFormat="false" ht="12.5" hidden="false" customHeight="false" outlineLevel="0" collapsed="false">
      <c r="R130" s="317" t="str">
        <f aca="false">CONCATENATE(C87,D87,E87,F87,G87,H87,I87,J87,K87)</f>
        <v>01010000000001110111110100110011</v>
      </c>
    </row>
    <row r="131" customFormat="false" ht="12.5" hidden="false" customHeight="false" outlineLevel="0" collapsed="false">
      <c r="R131" s="317" t="str">
        <f aca="false">BIN2HEX(RIGHT((LEFT(R130,4)),4))</f>
        <v>5</v>
      </c>
    </row>
    <row r="132" customFormat="false" ht="12.5" hidden="false" customHeight="false" outlineLevel="0" collapsed="false">
      <c r="R132" s="317" t="str">
        <f aca="false">BIN2HEX(RIGHT((LEFT(R130,8)),4))</f>
        <v>0</v>
      </c>
    </row>
    <row r="133" customFormat="false" ht="12.5" hidden="false" customHeight="false" outlineLevel="0" collapsed="false">
      <c r="R133" s="317" t="str">
        <f aca="false">BIN2HEX(RIGHT((LEFT(R130,12)),4))</f>
        <v>0</v>
      </c>
    </row>
    <row r="134" customFormat="false" ht="12.5" hidden="false" customHeight="false" outlineLevel="0" collapsed="false">
      <c r="R134" s="317" t="str">
        <f aca="false">BIN2HEX(RIGHT((LEFT(R130,16)),4))</f>
        <v>7</v>
      </c>
    </row>
    <row r="135" customFormat="false" ht="12.5" hidden="false" customHeight="false" outlineLevel="0" collapsed="false">
      <c r="R135" s="317" t="str">
        <f aca="false">BIN2HEX(RIGHT((LEFT(R130,20)),4))</f>
        <v>7</v>
      </c>
    </row>
    <row r="136" customFormat="false" ht="12.5" hidden="false" customHeight="false" outlineLevel="0" collapsed="false">
      <c r="R136" s="317" t="str">
        <f aca="false">BIN2HEX(RIGHT((LEFT(R130,24)),4))</f>
        <v>D</v>
      </c>
    </row>
    <row r="137" customFormat="false" ht="12.5" hidden="false" customHeight="false" outlineLevel="0" collapsed="false">
      <c r="R137" s="317" t="str">
        <f aca="false">BIN2HEX(RIGHT((LEFT(R130,28)),4))</f>
        <v>3</v>
      </c>
    </row>
    <row r="138" customFormat="false" ht="12.5" hidden="false" customHeight="false" outlineLevel="0" collapsed="false">
      <c r="R138" s="317" t="str">
        <f aca="false">BIN2HEX(RIGHT((LEFT(R130,33)),4))</f>
        <v>3</v>
      </c>
    </row>
  </sheetData>
  <sheetProtection sheet="true" password="df21" objects="true" scenarios="true"/>
  <mergeCells count="4">
    <mergeCell ref="B2:I2"/>
    <mergeCell ref="B3:I3"/>
    <mergeCell ref="B4:I6"/>
    <mergeCell ref="B7:I8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9.19140625" defaultRowHeight="12.5" zeroHeight="false" outlineLevelRow="0" outlineLevelCol="0"/>
  <cols>
    <col collapsed="false" customWidth="true" hidden="false" outlineLevel="0" max="1" min="1" style="378" width="3.18"/>
    <col collapsed="false" customWidth="true" hidden="false" outlineLevel="0" max="2" min="2" style="378" width="58.27"/>
    <col collapsed="false" customWidth="true" hidden="false" outlineLevel="0" max="3" min="3" style="378" width="15.81"/>
    <col collapsed="false" customWidth="true" hidden="false" outlineLevel="0" max="4" min="4" style="378" width="16"/>
    <col collapsed="false" customWidth="false" hidden="false" outlineLevel="0" max="9" min="5" style="378" width="9.18"/>
    <col collapsed="false" customWidth="true" hidden="false" outlineLevel="0" max="10" min="10" style="378" width="10"/>
    <col collapsed="false" customWidth="false" hidden="false" outlineLevel="0" max="1024" min="11" style="378" width="9.18"/>
  </cols>
  <sheetData>
    <row r="1" s="53" customFormat="true" ht="12.75" hidden="false" customHeight="true" outlineLevel="0" collapsed="false">
      <c r="A1" s="54"/>
      <c r="B1" s="55"/>
      <c r="C1" s="55"/>
      <c r="D1" s="55"/>
      <c r="E1" s="55"/>
      <c r="F1" s="55"/>
      <c r="G1" s="55"/>
      <c r="H1" s="56"/>
      <c r="I1" s="56"/>
      <c r="J1" s="55"/>
      <c r="K1" s="55"/>
    </row>
    <row r="2" s="53" customFormat="true" ht="12.75" hidden="false" customHeight="true" outlineLevel="0" collapsed="false">
      <c r="A2" s="54"/>
      <c r="B2" s="281"/>
      <c r="C2" s="281"/>
      <c r="D2" s="281"/>
      <c r="E2" s="281"/>
      <c r="F2" s="281"/>
      <c r="G2" s="281"/>
      <c r="H2" s="281"/>
      <c r="I2" s="281"/>
      <c r="J2" s="281"/>
      <c r="K2" s="281"/>
      <c r="L2" s="281"/>
      <c r="M2" s="281"/>
      <c r="N2" s="281"/>
      <c r="O2" s="281"/>
    </row>
    <row r="3" s="53" customFormat="true" ht="12.75" hidden="false" customHeight="true" outlineLevel="0" collapsed="false">
      <c r="A3" s="54"/>
      <c r="B3" s="281"/>
      <c r="C3" s="281"/>
      <c r="D3" s="281"/>
      <c r="E3" s="281"/>
      <c r="F3" s="281"/>
      <c r="G3" s="281"/>
      <c r="H3" s="281"/>
      <c r="I3" s="281"/>
      <c r="J3" s="281"/>
      <c r="K3" s="281"/>
      <c r="L3" s="281"/>
      <c r="M3" s="281"/>
      <c r="N3" s="281"/>
      <c r="O3" s="281"/>
    </row>
    <row r="4" s="53" customFormat="true" ht="12.75" hidden="false" customHeight="true" outlineLevel="0" collapsed="false">
      <c r="A4" s="54"/>
      <c r="B4" s="282" t="s">
        <v>384</v>
      </c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2"/>
      <c r="N4" s="282"/>
      <c r="O4" s="282"/>
    </row>
    <row r="5" s="53" customFormat="true" ht="12.75" hidden="false" customHeight="true" outlineLevel="0" collapsed="false">
      <c r="A5" s="54"/>
      <c r="B5" s="282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2"/>
      <c r="N5" s="282"/>
      <c r="O5" s="282"/>
    </row>
    <row r="6" s="53" customFormat="true" ht="12.75" hidden="false" customHeight="true" outlineLevel="0" collapsed="false">
      <c r="A6" s="54"/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</row>
    <row r="7" s="53" customFormat="true" ht="12.75" hidden="false" customHeight="true" outlineLevel="0" collapsed="false">
      <c r="A7" s="54"/>
      <c r="B7" s="283" t="s">
        <v>28</v>
      </c>
      <c r="C7" s="283"/>
      <c r="D7" s="283"/>
      <c r="E7" s="283"/>
      <c r="F7" s="283"/>
      <c r="G7" s="283"/>
      <c r="H7" s="283"/>
      <c r="I7" s="283"/>
      <c r="J7" s="283"/>
      <c r="K7" s="283"/>
      <c r="L7" s="283"/>
      <c r="M7" s="283"/>
      <c r="N7" s="283"/>
      <c r="O7" s="283"/>
    </row>
    <row r="8" s="53" customFormat="true" ht="12.75" hidden="false" customHeight="true" outlineLevel="0" collapsed="false">
      <c r="A8" s="54"/>
      <c r="B8" s="283"/>
      <c r="C8" s="283"/>
      <c r="D8" s="283"/>
      <c r="E8" s="283"/>
      <c r="F8" s="283"/>
      <c r="G8" s="283"/>
      <c r="H8" s="283"/>
      <c r="I8" s="283"/>
      <c r="J8" s="283"/>
      <c r="K8" s="283"/>
      <c r="L8" s="283"/>
      <c r="M8" s="283"/>
      <c r="N8" s="283"/>
      <c r="O8" s="283"/>
    </row>
    <row r="9" s="53" customFormat="true" ht="12.75" hidden="false" customHeight="true" outlineLevel="0" collapsed="false">
      <c r="A9" s="54"/>
      <c r="B9" s="62" t="s">
        <v>12</v>
      </c>
      <c r="C9" s="63" t="s">
        <v>385</v>
      </c>
      <c r="D9" s="63"/>
      <c r="E9" s="63"/>
      <c r="F9" s="64"/>
      <c r="G9" s="64"/>
      <c r="H9" s="65"/>
      <c r="I9" s="65"/>
      <c r="J9" s="65"/>
      <c r="K9" s="65"/>
      <c r="L9" s="65"/>
      <c r="M9" s="65"/>
      <c r="N9" s="65"/>
      <c r="O9" s="287"/>
    </row>
    <row r="10" s="53" customFormat="true" ht="12.75" hidden="false" customHeight="true" outlineLevel="0" collapsed="false">
      <c r="A10" s="68"/>
      <c r="B10" s="75"/>
      <c r="C10" s="379"/>
      <c r="D10" s="76"/>
      <c r="E10" s="77"/>
      <c r="F10" s="78"/>
      <c r="G10" s="78"/>
      <c r="H10" s="79"/>
      <c r="I10" s="79"/>
      <c r="J10" s="79"/>
      <c r="K10" s="79"/>
      <c r="L10" s="79"/>
      <c r="M10" s="79"/>
      <c r="N10" s="79"/>
      <c r="O10" s="290"/>
    </row>
    <row r="11" s="53" customFormat="true" ht="12.75" hidden="false" customHeight="true" outlineLevel="0" collapsed="false">
      <c r="A11" s="68"/>
      <c r="B11" s="81"/>
      <c r="C11" s="81"/>
      <c r="D11" s="81"/>
      <c r="E11" s="81"/>
      <c r="F11" s="81"/>
      <c r="G11" s="81"/>
      <c r="H11" s="82"/>
      <c r="I11" s="82"/>
      <c r="J11" s="81"/>
      <c r="K11" s="81"/>
    </row>
    <row r="12" customFormat="false" ht="13" hidden="false" customHeight="false" outlineLevel="0" collapsed="false"/>
    <row r="13" customFormat="false" ht="13" hidden="false" customHeight="false" outlineLevel="0" collapsed="false">
      <c r="B13" s="380" t="s">
        <v>386</v>
      </c>
      <c r="C13" s="380"/>
      <c r="D13" s="380"/>
    </row>
    <row r="14" customFormat="false" ht="13.5" hidden="false" customHeight="false" outlineLevel="0" collapsed="false">
      <c r="B14" s="381" t="s">
        <v>387</v>
      </c>
      <c r="C14" s="382" t="s">
        <v>388</v>
      </c>
      <c r="D14" s="383" t="s">
        <v>33</v>
      </c>
    </row>
    <row r="15" customFormat="false" ht="12.5" hidden="false" customHeight="false" outlineLevel="0" collapsed="false">
      <c r="B15" s="384" t="s">
        <v>257</v>
      </c>
      <c r="C15" s="385" t="s">
        <v>389</v>
      </c>
      <c r="D15" s="386" t="str">
        <f aca="false">CONCATENATE("0x",'EMIF Tool'!C18)</f>
        <v>0xEAAAE51B</v>
      </c>
    </row>
    <row r="16" customFormat="false" ht="12.5" hidden="false" customHeight="false" outlineLevel="0" collapsed="false">
      <c r="B16" s="387" t="s">
        <v>390</v>
      </c>
      <c r="C16" s="388" t="s">
        <v>391</v>
      </c>
      <c r="D16" s="389" t="str">
        <f aca="false">CONCATENATE("0x",'EMIF Tool'!C18)</f>
        <v>0xEAAAE51B</v>
      </c>
    </row>
    <row r="17" customFormat="false" ht="12.5" hidden="false" customHeight="false" outlineLevel="0" collapsed="false">
      <c r="B17" s="390" t="s">
        <v>271</v>
      </c>
      <c r="C17" s="388" t="s">
        <v>392</v>
      </c>
      <c r="D17" s="389" t="str">
        <f aca="false">CONCATENATE("0x",'EMIF Tool'!C25)</f>
        <v>0x266B7FDA</v>
      </c>
    </row>
    <row r="18" customFormat="false" ht="12.5" hidden="false" customHeight="false" outlineLevel="0" collapsed="false">
      <c r="B18" s="387" t="s">
        <v>393</v>
      </c>
      <c r="C18" s="388" t="s">
        <v>394</v>
      </c>
      <c r="D18" s="389" t="str">
        <f aca="false">CONCATENATE("0x",'EMIF Tool'!C25)</f>
        <v>0x266B7FDA</v>
      </c>
    </row>
    <row r="19" customFormat="false" ht="12.5" hidden="false" customHeight="false" outlineLevel="0" collapsed="false">
      <c r="B19" s="390" t="s">
        <v>281</v>
      </c>
      <c r="C19" s="388" t="s">
        <v>395</v>
      </c>
      <c r="D19" s="389" t="str">
        <f aca="false">CONCATENATE("0x",'EMIF Tool'!C32)</f>
        <v>0x5F7F867F</v>
      </c>
    </row>
    <row r="20" customFormat="false" ht="12.5" hidden="false" customHeight="false" outlineLevel="0" collapsed="false">
      <c r="B20" s="387" t="s">
        <v>396</v>
      </c>
      <c r="C20" s="388" t="s">
        <v>397</v>
      </c>
      <c r="D20" s="389" t="str">
        <f aca="false">CONCATENATE("0x",'EMIF Tool'!C32)</f>
        <v>0x5F7F867F</v>
      </c>
    </row>
    <row r="21" customFormat="false" ht="12.5" hidden="false" customHeight="false" outlineLevel="0" collapsed="false">
      <c r="B21" s="387" t="s">
        <v>288</v>
      </c>
      <c r="C21" s="388" t="s">
        <v>398</v>
      </c>
      <c r="D21" s="389" t="str">
        <f aca="false">CONCATENATE("0x",'EMIF Tool'!C39)</f>
        <v>0x61A05332</v>
      </c>
    </row>
    <row r="22" customFormat="false" ht="12.5" hidden="false" customHeight="false" outlineLevel="0" collapsed="false">
      <c r="B22" s="387" t="s">
        <v>305</v>
      </c>
      <c r="C22" s="388" t="s">
        <v>399</v>
      </c>
      <c r="D22" s="389" t="str">
        <f aca="false">CONCATENATE("0x",'EMIF Tool'!C46)</f>
        <v>0x00000000</v>
      </c>
    </row>
    <row r="23" customFormat="false" ht="12.5" hidden="false" customHeight="false" outlineLevel="0" collapsed="false">
      <c r="B23" s="387" t="s">
        <v>316</v>
      </c>
      <c r="C23" s="391" t="s">
        <v>400</v>
      </c>
      <c r="D23" s="389" t="str">
        <f aca="false">CONCATENATE("0x",'EMIF Tool'!C53)</f>
        <v>0x00000C30</v>
      </c>
    </row>
    <row r="24" customFormat="false" ht="12.5" hidden="false" customHeight="false" outlineLevel="0" collapsed="false">
      <c r="B24" s="387" t="s">
        <v>401</v>
      </c>
      <c r="C24" s="391" t="s">
        <v>402</v>
      </c>
      <c r="D24" s="389" t="str">
        <f aca="false">CONCATENATE("0x",'EMIF Tool'!C53)</f>
        <v>0x00000C30</v>
      </c>
    </row>
    <row r="25" customFormat="false" ht="12.5" hidden="false" customHeight="false" outlineLevel="0" collapsed="false">
      <c r="B25" s="387" t="s">
        <v>369</v>
      </c>
      <c r="C25" s="391" t="s">
        <v>403</v>
      </c>
      <c r="D25" s="392" t="str">
        <f aca="false">CONCATENATE("0x",'EMIF Tool'!C88)</f>
        <v>0x50077D33</v>
      </c>
    </row>
    <row r="26" customFormat="false" ht="12.5" hidden="true" customHeight="false" outlineLevel="0" collapsed="false">
      <c r="B26" s="387" t="s">
        <v>327</v>
      </c>
      <c r="C26" s="391" t="s">
        <v>404</v>
      </c>
      <c r="D26" s="392" t="str">
        <f aca="false">CONCATENATE("0x",'EMIF Tool'!C60)</f>
        <v>0x80000000</v>
      </c>
    </row>
    <row r="27" customFormat="false" ht="12.5" hidden="true" customHeight="false" outlineLevel="0" collapsed="false">
      <c r="B27" s="387" t="s">
        <v>405</v>
      </c>
      <c r="C27" s="391" t="s">
        <v>406</v>
      </c>
      <c r="D27" s="392" t="str">
        <f aca="false">CONCATENATE("0x",DEC2HEX(IF('Step1-System Details'!E24="NA",0,'Step1-System Details'!E24),8))</f>
        <v>0x00000000</v>
      </c>
    </row>
    <row r="28" customFormat="false" ht="12.5" hidden="false" customHeight="false" outlineLevel="0" collapsed="false">
      <c r="B28" s="390" t="s">
        <v>407</v>
      </c>
      <c r="C28" s="391" t="s">
        <v>408</v>
      </c>
      <c r="D28" s="389" t="s">
        <v>409</v>
      </c>
    </row>
    <row r="29" customFormat="false" ht="12.5" hidden="false" customHeight="false" outlineLevel="0" collapsed="false">
      <c r="B29" s="390" t="s">
        <v>410</v>
      </c>
      <c r="C29" s="391" t="s">
        <v>411</v>
      </c>
      <c r="D29" s="389" t="s">
        <v>409</v>
      </c>
    </row>
    <row r="30" customFormat="false" ht="12.5" hidden="false" customHeight="false" outlineLevel="0" collapsed="false">
      <c r="B30" s="390" t="s">
        <v>412</v>
      </c>
      <c r="C30" s="391" t="s">
        <v>413</v>
      </c>
      <c r="D30" s="389" t="str">
        <f aca="false">IF('Step1-System Details'!E17="DDR3","0x80000000","0x00000000")</f>
        <v>0x80000000</v>
      </c>
    </row>
    <row r="31" customFormat="false" ht="13" hidden="false" customHeight="false" outlineLevel="0" collapsed="false">
      <c r="B31" s="393" t="s">
        <v>414</v>
      </c>
      <c r="C31" s="394" t="s">
        <v>415</v>
      </c>
      <c r="D31" s="395" t="s">
        <v>409</v>
      </c>
    </row>
    <row r="33" customFormat="false" ht="12.5" hidden="false" customHeight="false" outlineLevel="0" collapsed="false">
      <c r="B33" s="396"/>
      <c r="C33" s="396"/>
      <c r="D33" s="397"/>
    </row>
    <row r="34" customFormat="false" ht="13" hidden="false" customHeight="false" outlineLevel="0" collapsed="false">
      <c r="D34" s="398"/>
    </row>
    <row r="35" customFormat="false" ht="13" hidden="false" customHeight="false" outlineLevel="0" collapsed="false">
      <c r="B35" s="380" t="s">
        <v>416</v>
      </c>
      <c r="C35" s="380"/>
      <c r="D35" s="380"/>
    </row>
    <row r="36" customFormat="false" ht="13.5" hidden="false" customHeight="false" outlineLevel="0" collapsed="false">
      <c r="B36" s="381" t="s">
        <v>387</v>
      </c>
      <c r="C36" s="382" t="s">
        <v>388</v>
      </c>
      <c r="D36" s="383" t="s">
        <v>33</v>
      </c>
    </row>
    <row r="37" customFormat="false" ht="12.5" hidden="false" customHeight="false" outlineLevel="0" collapsed="false">
      <c r="B37" s="399" t="s">
        <v>355</v>
      </c>
      <c r="C37" s="400" t="s">
        <v>417</v>
      </c>
      <c r="D37" s="386" t="str">
        <f aca="false">CONCATENATE("0x",'EMIF Tool'!C81)</f>
        <v>0x00048009</v>
      </c>
    </row>
    <row r="38" customFormat="false" ht="12.5" hidden="false" customHeight="false" outlineLevel="0" collapsed="false">
      <c r="B38" s="387" t="s">
        <v>418</v>
      </c>
      <c r="C38" s="391" t="s">
        <v>419</v>
      </c>
      <c r="D38" s="389" t="str">
        <f aca="false">CONCATENATE("0x",'EMIF Tool'!C81)</f>
        <v>0x00048009</v>
      </c>
    </row>
    <row r="39" customFormat="false" ht="12.5" hidden="false" customHeight="false" outlineLevel="0" collapsed="false">
      <c r="B39" s="390" t="s">
        <v>420</v>
      </c>
      <c r="C39" s="401" t="s">
        <v>421</v>
      </c>
      <c r="D39" s="389" t="str">
        <f aca="false">IF('Step1-System Details'!$E$17="DDR3",IF('Invert Clock'!$E$19="1","0x00040100","0x00020080"),"0x00000040")</f>
        <v>0x00040100</v>
      </c>
    </row>
    <row r="40" customFormat="false" ht="12.5" hidden="false" customHeight="false" outlineLevel="0" collapsed="false">
      <c r="B40" s="390" t="s">
        <v>422</v>
      </c>
      <c r="C40" s="401" t="s">
        <v>423</v>
      </c>
      <c r="D40" s="389" t="str">
        <f aca="false">IF('Step1-System Details'!$E$17="DDR3",IF('Invert Clock'!$E$19="1","0x00040100","0x00020080"),"0x00000040")</f>
        <v>0x00040100</v>
      </c>
    </row>
    <row r="41" customFormat="false" ht="12.5" hidden="false" customHeight="false" outlineLevel="0" collapsed="false">
      <c r="B41" s="390" t="s">
        <v>424</v>
      </c>
      <c r="C41" s="401" t="s">
        <v>425</v>
      </c>
      <c r="D41" s="389" t="str">
        <f aca="false">IF('Step1-System Details'!$E$17="DDR3","0x00000000","0x00000050")</f>
        <v>0x00000000</v>
      </c>
    </row>
    <row r="42" customFormat="false" ht="12.5" hidden="false" customHeight="false" outlineLevel="0" collapsed="false">
      <c r="B42" s="390" t="s">
        <v>426</v>
      </c>
      <c r="C42" s="401" t="s">
        <v>427</v>
      </c>
      <c r="D42" s="389" t="str">
        <f aca="false">IF('Step1-System Details'!$E$17="DDR3","0x00000000","0x00000050")</f>
        <v>0x00000000</v>
      </c>
    </row>
    <row r="43" customFormat="false" ht="12.5" hidden="false" customHeight="false" outlineLevel="0" collapsed="false">
      <c r="B43" s="390" t="s">
        <v>428</v>
      </c>
      <c r="C43" s="401" t="s">
        <v>429</v>
      </c>
      <c r="D43" s="389" t="str">
        <f aca="false">IF('Step1-System Details'!$E$17="DDR3","0x00000000","0x00000050")</f>
        <v>0x00000000</v>
      </c>
    </row>
    <row r="44" customFormat="false" ht="12.5" hidden="false" customHeight="false" outlineLevel="0" collapsed="false">
      <c r="B44" s="390" t="s">
        <v>430</v>
      </c>
      <c r="C44" s="401" t="s">
        <v>431</v>
      </c>
      <c r="D44" s="389" t="str">
        <f aca="false">IF('Step1-System Details'!$E$17="DDR3","0x00000000","0x00000050")</f>
        <v>0x00000000</v>
      </c>
    </row>
    <row r="45" customFormat="false" ht="12.5" hidden="false" customHeight="false" outlineLevel="0" collapsed="false">
      <c r="B45" s="390" t="s">
        <v>432</v>
      </c>
      <c r="C45" s="401" t="s">
        <v>433</v>
      </c>
      <c r="D45" s="389" t="str">
        <f aca="false">IF('Step1-System Details'!$E$17="DDR3","0x00000000","0x00000050")</f>
        <v>0x00000000</v>
      </c>
    </row>
    <row r="46" customFormat="false" ht="12.5" hidden="false" customHeight="false" outlineLevel="0" collapsed="false">
      <c r="B46" s="390" t="s">
        <v>434</v>
      </c>
      <c r="C46" s="401" t="s">
        <v>435</v>
      </c>
      <c r="D46" s="389" t="str">
        <f aca="false">IF('Step1-System Details'!$E$17="DDR3","0x00000000","0x00000050")</f>
        <v>0x00000000</v>
      </c>
    </row>
    <row r="47" customFormat="false" ht="12.5" hidden="false" customHeight="false" outlineLevel="0" collapsed="false">
      <c r="B47" s="390" t="s">
        <v>436</v>
      </c>
      <c r="C47" s="401" t="s">
        <v>437</v>
      </c>
      <c r="D47" s="389" t="str">
        <f aca="false">IF('Step1-System Details'!$E$17="DDR3","0x00000000","0x00000050")</f>
        <v>0x00000000</v>
      </c>
    </row>
    <row r="48" customFormat="false" ht="12.5" hidden="false" customHeight="false" outlineLevel="0" collapsed="false">
      <c r="B48" s="390" t="s">
        <v>438</v>
      </c>
      <c r="C48" s="401" t="s">
        <v>439</v>
      </c>
      <c r="D48" s="389" t="str">
        <f aca="false">IF('Step1-System Details'!$E$17="DDR3","0x00000000","0x00000050")</f>
        <v>0x00000000</v>
      </c>
    </row>
    <row r="49" customFormat="false" ht="12.5" hidden="false" customHeight="false" outlineLevel="0" collapsed="false">
      <c r="B49" s="390" t="s">
        <v>440</v>
      </c>
      <c r="C49" s="401" t="s">
        <v>441</v>
      </c>
      <c r="D49" s="389" t="str">
        <f aca="false">IF('Step1-System Details'!$E$17="DDR3","0x00000000","0x00000050")</f>
        <v>0x00000000</v>
      </c>
    </row>
    <row r="50" customFormat="false" ht="12.5" hidden="false" customHeight="false" outlineLevel="0" collapsed="false">
      <c r="B50" s="390" t="s">
        <v>442</v>
      </c>
      <c r="C50" s="401" t="s">
        <v>443</v>
      </c>
      <c r="D50" s="389" t="str">
        <f aca="false">IF('Step1-System Details'!$E$17="DDR3","0x00000000","0x00000050")</f>
        <v>0x00000000</v>
      </c>
    </row>
    <row r="51" customFormat="false" ht="12.5" hidden="false" customHeight="false" outlineLevel="0" collapsed="false">
      <c r="B51" s="390" t="s">
        <v>444</v>
      </c>
      <c r="C51" s="401" t="s">
        <v>445</v>
      </c>
      <c r="D51" s="389" t="str">
        <f aca="false">IF('Step1-System Details'!$E$17="DDR3","0x00400040","0x00000020")</f>
        <v>0x00400040</v>
      </c>
    </row>
    <row r="52" customFormat="false" ht="12.5" hidden="false" customHeight="false" outlineLevel="0" collapsed="false">
      <c r="B52" s="390" t="s">
        <v>446</v>
      </c>
      <c r="C52" s="401" t="s">
        <v>447</v>
      </c>
      <c r="D52" s="389" t="str">
        <f aca="false">IF('Step1-System Details'!$E$17="DDR3","0x00400040","0x00000020")</f>
        <v>0x00400040</v>
      </c>
    </row>
    <row r="53" customFormat="false" ht="12.5" hidden="false" customHeight="false" outlineLevel="0" collapsed="false">
      <c r="B53" s="390" t="s">
        <v>448</v>
      </c>
      <c r="C53" s="401" t="s">
        <v>449</v>
      </c>
      <c r="D53" s="389" t="str">
        <f aca="false">IF('Step1-System Details'!$E$17="DDR3","0x00400040","0x00000020")</f>
        <v>0x00400040</v>
      </c>
    </row>
    <row r="54" customFormat="false" ht="12.5" hidden="false" customHeight="false" outlineLevel="0" collapsed="false">
      <c r="B54" s="390" t="s">
        <v>450</v>
      </c>
      <c r="C54" s="401" t="s">
        <v>451</v>
      </c>
      <c r="D54" s="389" t="str">
        <f aca="false">IF('Step1-System Details'!$E$17="DDR3","0x00400040","0x00000020")</f>
        <v>0x00400040</v>
      </c>
    </row>
    <row r="55" customFormat="false" ht="12.5" hidden="false" customHeight="false" outlineLevel="0" collapsed="false">
      <c r="B55" s="390" t="s">
        <v>452</v>
      </c>
      <c r="C55" s="401" t="s">
        <v>453</v>
      </c>
      <c r="D55" s="389" t="str">
        <f aca="false">IF('Step1-System Details'!$E$17="DDR3","0x00400040","0x00000020")</f>
        <v>0x00400040</v>
      </c>
    </row>
    <row r="56" customFormat="false" ht="12.5" hidden="false" customHeight="false" outlineLevel="0" collapsed="false">
      <c r="B56" s="390" t="s">
        <v>454</v>
      </c>
      <c r="C56" s="401" t="s">
        <v>455</v>
      </c>
      <c r="D56" s="389" t="str">
        <f aca="false">IF('Step1-System Details'!$E$17="DDR3","0x00400040","0x00000020")</f>
        <v>0x00400040</v>
      </c>
    </row>
    <row r="57" customFormat="false" ht="12.5" hidden="false" customHeight="false" outlineLevel="0" collapsed="false">
      <c r="B57" s="390" t="s">
        <v>456</v>
      </c>
      <c r="C57" s="401" t="s">
        <v>457</v>
      </c>
      <c r="D57" s="389" t="str">
        <f aca="false">IF('Step1-System Details'!$E$17="DDR3","0x00400040","0x00000020")</f>
        <v>0x00400040</v>
      </c>
    </row>
    <row r="58" customFormat="false" ht="12.5" hidden="false" customHeight="false" outlineLevel="0" collapsed="false">
      <c r="B58" s="390" t="s">
        <v>458</v>
      </c>
      <c r="C58" s="401" t="s">
        <v>459</v>
      </c>
      <c r="D58" s="389" t="str">
        <f aca="false">IF('Step1-System Details'!$E$17="DDR3","0x00400040","0x00000020")</f>
        <v>0x00400040</v>
      </c>
    </row>
    <row r="59" customFormat="false" ht="12.5" hidden="false" customHeight="false" outlineLevel="0" collapsed="false">
      <c r="B59" s="390" t="s">
        <v>460</v>
      </c>
      <c r="C59" s="401" t="s">
        <v>461</v>
      </c>
      <c r="D59" s="389" t="str">
        <f aca="false">IF('Step1-System Details'!$E$17="DDR3","0x00400040","0x00000020")</f>
        <v>0x00400040</v>
      </c>
    </row>
    <row r="60" customFormat="false" ht="12.5" hidden="false" customHeight="false" outlineLevel="0" collapsed="false">
      <c r="B60" s="390" t="s">
        <v>462</v>
      </c>
      <c r="C60" s="401" t="s">
        <v>463</v>
      </c>
      <c r="D60" s="389" t="str">
        <f aca="false">IF('Step1-System Details'!$E$17="DDR3","0x00400040","0x00000020")</f>
        <v>0x00400040</v>
      </c>
    </row>
    <row r="61" customFormat="false" ht="12.5" hidden="false" customHeight="false" outlineLevel="0" collapsed="false">
      <c r="B61" s="390" t="s">
        <v>464</v>
      </c>
      <c r="C61" s="401" t="s">
        <v>465</v>
      </c>
      <c r="D61" s="389" t="str">
        <f aca="false">IF('Step1-System Details'!$E$17="DDR3","0x00400040","0x00000020")</f>
        <v>0x00400040</v>
      </c>
    </row>
    <row r="62" customFormat="false" ht="12.5" hidden="false" customHeight="false" outlineLevel="0" collapsed="false">
      <c r="B62" s="390" t="s">
        <v>466</v>
      </c>
      <c r="C62" s="401" t="s">
        <v>467</v>
      </c>
      <c r="D62" s="389" t="str">
        <f aca="false">IF('Step1-System Details'!$E$17="DDR3","0x00400040","0x00000020")</f>
        <v>0x00400040</v>
      </c>
    </row>
    <row r="63" customFormat="false" ht="12.5" hidden="false" customHeight="false" outlineLevel="0" collapsed="false">
      <c r="B63" s="390" t="s">
        <v>468</v>
      </c>
      <c r="C63" s="401" t="s">
        <v>469</v>
      </c>
      <c r="D63" s="389" t="str">
        <f aca="false">IF('Step1-System Details'!$E$17="DDR3","0x00400040","0x00000020")</f>
        <v>0x00400040</v>
      </c>
    </row>
    <row r="64" customFormat="false" ht="12.5" hidden="false" customHeight="false" outlineLevel="0" collapsed="false">
      <c r="B64" s="390" t="s">
        <v>470</v>
      </c>
      <c r="C64" s="401" t="s">
        <v>471</v>
      </c>
      <c r="D64" s="389" t="str">
        <f aca="false">IF('Step1-System Details'!$E$17="DDR3","0x00400040","0x00000020")</f>
        <v>0x00400040</v>
      </c>
    </row>
    <row r="65" customFormat="false" ht="12.5" hidden="false" customHeight="false" outlineLevel="0" collapsed="false">
      <c r="B65" s="390" t="s">
        <v>472</v>
      </c>
      <c r="C65" s="401" t="s">
        <v>473</v>
      </c>
      <c r="D65" s="389" t="str">
        <f aca="false">IF('Step1-System Details'!$E$17="DDR3","0x00400040","0x00000020")</f>
        <v>0x00400040</v>
      </c>
    </row>
    <row r="66" customFormat="false" ht="12.5" hidden="false" customHeight="false" outlineLevel="0" collapsed="false">
      <c r="B66" s="390" t="s">
        <v>474</v>
      </c>
      <c r="C66" s="401" t="s">
        <v>475</v>
      </c>
      <c r="D66" s="389" t="str">
        <f aca="false">IF('Step1-System Details'!$E$17="DDR3","0x00400040","0x00000020")</f>
        <v>0x00400040</v>
      </c>
    </row>
    <row r="67" customFormat="false" ht="12.5" hidden="false" customHeight="false" outlineLevel="0" collapsed="false">
      <c r="B67" s="390" t="s">
        <v>476</v>
      </c>
      <c r="C67" s="401" t="s">
        <v>477</v>
      </c>
      <c r="D67" s="389" t="str">
        <f aca="false">IF('Step1-System Details'!$E$17="DDR3","0x00400040","0x00000020")</f>
        <v>0x00400040</v>
      </c>
    </row>
    <row r="68" customFormat="false" ht="12.5" hidden="false" customHeight="false" outlineLevel="0" collapsed="false">
      <c r="B68" s="390" t="s">
        <v>478</v>
      </c>
      <c r="C68" s="401" t="s">
        <v>479</v>
      </c>
      <c r="D68" s="389" t="str">
        <f aca="false">IF('Step1-System Details'!$E$17="DDR3","0x00400040","0x00000020")</f>
        <v>0x00400040</v>
      </c>
    </row>
    <row r="69" customFormat="false" ht="12.5" hidden="false" customHeight="false" outlineLevel="0" collapsed="false">
      <c r="B69" s="390" t="s">
        <v>480</v>
      </c>
      <c r="C69" s="401" t="s">
        <v>481</v>
      </c>
      <c r="D69" s="389" t="str">
        <f aca="false">IF('Step1-System Details'!$E$17="DDR3","0x00400040","0x00000020")</f>
        <v>0x00400040</v>
      </c>
    </row>
    <row r="70" customFormat="false" ht="12.5" hidden="false" customHeight="false" outlineLevel="0" collapsed="false">
      <c r="B70" s="390" t="s">
        <v>482</v>
      </c>
      <c r="C70" s="401" t="s">
        <v>483</v>
      </c>
      <c r="D70" s="389" t="str">
        <f aca="false">IF('Step1-System Details'!$E$17="DDR3","0x00400040","0x00000020")</f>
        <v>0x00400040</v>
      </c>
    </row>
    <row r="71" customFormat="false" ht="12.5" hidden="false" customHeight="false" outlineLevel="0" collapsed="false">
      <c r="B71" s="390" t="s">
        <v>484</v>
      </c>
      <c r="C71" s="401" t="s">
        <v>485</v>
      </c>
      <c r="D71" s="389" t="str">
        <f aca="false">IF('Step1-System Details'!$E$17="DDR3","0x00000000","0x00000000")</f>
        <v>0x00000000</v>
      </c>
    </row>
    <row r="72" customFormat="false" ht="12.5" hidden="false" customHeight="false" outlineLevel="0" collapsed="false">
      <c r="B72" s="390" t="s">
        <v>486</v>
      </c>
      <c r="C72" s="401" t="s">
        <v>487</v>
      </c>
      <c r="D72" s="389" t="str">
        <f aca="false">IF('Step1-System Details'!$E$17="DDR3","0x00000000","0x00000000")</f>
        <v>0x00000000</v>
      </c>
    </row>
    <row r="73" customFormat="false" ht="12.5" hidden="false" customHeight="false" outlineLevel="0" collapsed="false">
      <c r="B73" s="390" t="s">
        <v>488</v>
      </c>
      <c r="C73" s="401" t="s">
        <v>489</v>
      </c>
      <c r="D73" s="389" t="str">
        <f aca="false">IF('Step1-System Details'!$E$17="DDR3","0x00000000","0x00000000")</f>
        <v>0x00000000</v>
      </c>
    </row>
    <row r="74" customFormat="false" ht="12.5" hidden="false" customHeight="false" outlineLevel="0" collapsed="false">
      <c r="B74" s="390" t="s">
        <v>490</v>
      </c>
      <c r="C74" s="401" t="s">
        <v>491</v>
      </c>
      <c r="D74" s="389" t="str">
        <f aca="false">IF('Step1-System Details'!$E$17="DDR3","0x00000000","0x00000000")</f>
        <v>0x00000000</v>
      </c>
    </row>
    <row r="75" customFormat="false" ht="12.5" hidden="false" customHeight="false" outlineLevel="0" collapsed="false">
      <c r="B75" s="390" t="s">
        <v>492</v>
      </c>
      <c r="C75" s="401" t="s">
        <v>493</v>
      </c>
      <c r="D75" s="389" t="str">
        <f aca="false">IF('Step1-System Details'!$E$17="DDR3","0x00000000","0x00000000")</f>
        <v>0x00000000</v>
      </c>
    </row>
    <row r="76" customFormat="false" ht="12.5" hidden="false" customHeight="false" outlineLevel="0" collapsed="false">
      <c r="B76" s="390" t="s">
        <v>494</v>
      </c>
      <c r="C76" s="401" t="s">
        <v>495</v>
      </c>
      <c r="D76" s="389" t="str">
        <f aca="false">IF('Step1-System Details'!$E$17="DDR3","0x00000000","0x00000000")</f>
        <v>0x00000000</v>
      </c>
    </row>
    <row r="77" customFormat="false" ht="12.5" hidden="false" customHeight="false" outlineLevel="0" collapsed="false">
      <c r="B77" s="390" t="s">
        <v>496</v>
      </c>
      <c r="C77" s="401" t="s">
        <v>497</v>
      </c>
      <c r="D77" s="389" t="str">
        <f aca="false">IF('Step1-System Details'!$E$17="DDR3","0x00000000","0x00000000")</f>
        <v>0x00000000</v>
      </c>
    </row>
    <row r="78" customFormat="false" ht="12.5" hidden="false" customHeight="false" outlineLevel="0" collapsed="false">
      <c r="B78" s="390" t="s">
        <v>498</v>
      </c>
      <c r="C78" s="401" t="s">
        <v>499</v>
      </c>
      <c r="D78" s="389" t="str">
        <f aca="false">IF('Step1-System Details'!$E$17="DDR3","0x00000000","0x00000000")</f>
        <v>0x00000000</v>
      </c>
    </row>
    <row r="79" customFormat="false" ht="12.5" hidden="false" customHeight="false" outlineLevel="0" collapsed="false">
      <c r="B79" s="390" t="s">
        <v>500</v>
      </c>
      <c r="C79" s="401" t="s">
        <v>501</v>
      </c>
      <c r="D79" s="389" t="str">
        <f aca="false">IF('Step1-System Details'!$E$17="DDR3","0x00000000","0x00000000")</f>
        <v>0x00000000</v>
      </c>
    </row>
    <row r="80" customFormat="false" ht="12.5" hidden="false" customHeight="false" outlineLevel="0" collapsed="false">
      <c r="B80" s="390" t="s">
        <v>502</v>
      </c>
      <c r="C80" s="401" t="s">
        <v>503</v>
      </c>
      <c r="D80" s="389" t="str">
        <f aca="false">IF('Step1-System Details'!$E$17="DDR3","0x00000000","0x00000000")</f>
        <v>0x00000000</v>
      </c>
    </row>
    <row r="81" customFormat="false" ht="12.5" hidden="false" customHeight="false" outlineLevel="0" collapsed="false">
      <c r="B81" s="390" t="s">
        <v>504</v>
      </c>
      <c r="C81" s="401" t="s">
        <v>505</v>
      </c>
      <c r="D81" s="389" t="str">
        <f aca="false">IF('Step1-System Details'!$E$17="DDR3","0x00000000","0x00000000")</f>
        <v>0x00000000</v>
      </c>
    </row>
    <row r="82" customFormat="false" ht="12.5" hidden="false" customHeight="false" outlineLevel="0" collapsed="false">
      <c r="B82" s="390" t="s">
        <v>506</v>
      </c>
      <c r="C82" s="401" t="s">
        <v>507</v>
      </c>
      <c r="D82" s="389" t="str">
        <f aca="false">IF('Step1-System Details'!$E$17="DDR3","0x00000000","0x00000000")</f>
        <v>0x00000000</v>
      </c>
    </row>
    <row r="83" customFormat="false" ht="12.5" hidden="false" customHeight="false" outlineLevel="0" collapsed="false">
      <c r="B83" s="390" t="s">
        <v>508</v>
      </c>
      <c r="C83" s="401" t="s">
        <v>509</v>
      </c>
      <c r="D83" s="389" t="str">
        <f aca="false">IF('Step1-System Details'!$E$17="DDR3","0x00600020","0x00000000")</f>
        <v>0x00600020</v>
      </c>
    </row>
    <row r="84" customFormat="false" ht="12.5" hidden="false" customHeight="false" outlineLevel="0" collapsed="false">
      <c r="B84" s="390" t="s">
        <v>510</v>
      </c>
      <c r="C84" s="401" t="s">
        <v>511</v>
      </c>
      <c r="D84" s="389" t="str">
        <f aca="false">IF('Step1-System Details'!$E$17="DDR3","0x00600020","0x00000000")</f>
        <v>0x00600020</v>
      </c>
    </row>
    <row r="85" customFormat="false" ht="12.5" hidden="false" customHeight="false" outlineLevel="0" collapsed="false">
      <c r="B85" s="390" t="s">
        <v>512</v>
      </c>
      <c r="C85" s="401" t="s">
        <v>513</v>
      </c>
      <c r="D85" s="389" t="str">
        <f aca="false">IF('Step1-System Details'!$E$17="DDR3","0x40010080","0x40001000")</f>
        <v>0x40010080</v>
      </c>
    </row>
    <row r="86" customFormat="false" ht="12.5" hidden="false" customHeight="false" outlineLevel="0" collapsed="false">
      <c r="B86" s="390" t="s">
        <v>514</v>
      </c>
      <c r="C86" s="401" t="s">
        <v>515</v>
      </c>
      <c r="D86" s="389" t="str">
        <f aca="false">IF('Step1-System Details'!$E$17="DDR3","0x40010080","0x40001000")</f>
        <v>0x40010080</v>
      </c>
    </row>
    <row r="87" customFormat="false" ht="12.5" hidden="false" customHeight="false" outlineLevel="0" collapsed="false">
      <c r="B87" s="390" t="s">
        <v>516</v>
      </c>
      <c r="C87" s="401" t="s">
        <v>517</v>
      </c>
      <c r="D87" s="389" t="str">
        <f aca="false">IF('Step1-System Details'!$E$17="DDR3","0x08102040","0x08102040")</f>
        <v>0x08102040</v>
      </c>
    </row>
    <row r="88" customFormat="false" ht="12.5" hidden="false" customHeight="false" outlineLevel="0" collapsed="false">
      <c r="B88" s="390" t="s">
        <v>518</v>
      </c>
      <c r="C88" s="401" t="s">
        <v>519</v>
      </c>
      <c r="D88" s="389" t="str">
        <f aca="false">IF('Step1-System Details'!$E$17="DDR3","0x08102040","0x08102040")</f>
        <v>0x08102040</v>
      </c>
    </row>
    <row r="89" customFormat="false" ht="12.5" hidden="false" customHeight="false" outlineLevel="0" collapsed="false">
      <c r="B89" s="390" t="s">
        <v>520</v>
      </c>
      <c r="C89" s="401" t="s">
        <v>521</v>
      </c>
      <c r="D89" s="389" t="str">
        <f aca="false">IF('Step1-System Details'!$E$17="DDR3","0x00200020","0x00000000")</f>
        <v>0x00200020</v>
      </c>
    </row>
    <row r="90" customFormat="false" ht="12.5" hidden="false" customHeight="false" outlineLevel="0" collapsed="false">
      <c r="B90" s="390" t="s">
        <v>522</v>
      </c>
      <c r="C90" s="401" t="s">
        <v>523</v>
      </c>
      <c r="D90" s="389" t="str">
        <f aca="false">IF('Step1-System Details'!$E$17="DDR3","0x00200020","0x00000000")</f>
        <v>0x00200020</v>
      </c>
    </row>
    <row r="91" customFormat="false" ht="12.5" hidden="false" customHeight="false" outlineLevel="0" collapsed="false">
      <c r="B91" s="390" t="s">
        <v>524</v>
      </c>
      <c r="C91" s="401" t="s">
        <v>525</v>
      </c>
      <c r="D91" s="389" t="str">
        <f aca="false">IF('Step1-System Details'!$E$17="DDR3","0x00200020","0x00000000")</f>
        <v>0x00200020</v>
      </c>
    </row>
    <row r="92" customFormat="false" ht="12.5" hidden="false" customHeight="false" outlineLevel="0" collapsed="false">
      <c r="B92" s="390" t="s">
        <v>526</v>
      </c>
      <c r="C92" s="401" t="s">
        <v>527</v>
      </c>
      <c r="D92" s="389" t="str">
        <f aca="false">IF('Step1-System Details'!$E$17="DDR3","0x00200020","0x00000000")</f>
        <v>0x00200020</v>
      </c>
    </row>
    <row r="93" customFormat="false" ht="12.5" hidden="false" customHeight="false" outlineLevel="0" collapsed="false">
      <c r="B93" s="390" t="s">
        <v>528</v>
      </c>
      <c r="C93" s="401" t="s">
        <v>529</v>
      </c>
      <c r="D93" s="389" t="str">
        <f aca="false">IF('Step1-System Details'!$E$17="DDR3","0x00200020","0x00000000")</f>
        <v>0x00200020</v>
      </c>
    </row>
    <row r="94" customFormat="false" ht="12.5" hidden="false" customHeight="false" outlineLevel="0" collapsed="false">
      <c r="B94" s="390" t="s">
        <v>530</v>
      </c>
      <c r="C94" s="401" t="s">
        <v>531</v>
      </c>
      <c r="D94" s="389" t="str">
        <f aca="false">IF('Step1-System Details'!$E$17="DDR3","0x00200020","0x00000000")</f>
        <v>0x00200020</v>
      </c>
    </row>
    <row r="95" customFormat="false" ht="12.5" hidden="false" customHeight="false" outlineLevel="0" collapsed="false">
      <c r="B95" s="390" t="s">
        <v>532</v>
      </c>
      <c r="C95" s="401" t="s">
        <v>533</v>
      </c>
      <c r="D95" s="389" t="str">
        <f aca="false">IF('Step1-System Details'!$E$17="DDR3","0x00200020","0x00000000")</f>
        <v>0x00200020</v>
      </c>
    </row>
    <row r="96" customFormat="false" ht="12.5" hidden="false" customHeight="false" outlineLevel="0" collapsed="false">
      <c r="B96" s="390" t="s">
        <v>534</v>
      </c>
      <c r="C96" s="401" t="s">
        <v>535</v>
      </c>
      <c r="D96" s="389" t="str">
        <f aca="false">IF('Step1-System Details'!$E$17="DDR3","0x00200020","0x00000000")</f>
        <v>0x00200020</v>
      </c>
    </row>
    <row r="97" customFormat="false" ht="12.5" hidden="false" customHeight="false" outlineLevel="0" collapsed="false">
      <c r="B97" s="390" t="s">
        <v>536</v>
      </c>
      <c r="C97" s="401" t="s">
        <v>537</v>
      </c>
      <c r="D97" s="389" t="str">
        <f aca="false">IF('Step1-System Details'!$E$17="DDR3","0x00200020","0x00000000")</f>
        <v>0x00200020</v>
      </c>
    </row>
    <row r="98" customFormat="false" ht="12.5" hidden="false" customHeight="false" outlineLevel="0" collapsed="false">
      <c r="B98" s="390" t="s">
        <v>538</v>
      </c>
      <c r="C98" s="401" t="s">
        <v>539</v>
      </c>
      <c r="D98" s="389" t="str">
        <f aca="false">IF('Step1-System Details'!$E$17="DDR3","0x00200020","0x00000000")</f>
        <v>0x00200020</v>
      </c>
    </row>
    <row r="99" customFormat="false" ht="12.5" hidden="false" customHeight="false" outlineLevel="0" collapsed="false">
      <c r="B99" s="390" t="s">
        <v>540</v>
      </c>
      <c r="C99" s="401" t="s">
        <v>541</v>
      </c>
      <c r="D99" s="389" t="str">
        <f aca="false">IF('Step1-System Details'!$E$17="DDR3","0x00000000","0x00000000")</f>
        <v>0x00000000</v>
      </c>
    </row>
    <row r="100" customFormat="false" ht="12.5" hidden="false" customHeight="false" outlineLevel="0" collapsed="false">
      <c r="B100" s="390" t="s">
        <v>542</v>
      </c>
      <c r="C100" s="401" t="s">
        <v>543</v>
      </c>
      <c r="D100" s="389" t="str">
        <f aca="false">IF('Step1-System Details'!$E$17="DDR3","0x00000000","0x00000000")</f>
        <v>0x00000000</v>
      </c>
    </row>
    <row r="101" customFormat="false" ht="12.5" hidden="false" customHeight="false" outlineLevel="0" collapsed="false">
      <c r="B101" s="390" t="s">
        <v>544</v>
      </c>
      <c r="C101" s="401" t="s">
        <v>545</v>
      </c>
      <c r="D101" s="389" t="str">
        <f aca="false">IF('Step1-System Details'!$E$17="DDR3","0x00000000","0x00000000")</f>
        <v>0x00000000</v>
      </c>
    </row>
    <row r="102" customFormat="false" ht="12.5" hidden="false" customHeight="false" outlineLevel="0" collapsed="false">
      <c r="B102" s="390" t="s">
        <v>546</v>
      </c>
      <c r="C102" s="401" t="s">
        <v>547</v>
      </c>
      <c r="D102" s="389" t="str">
        <f aca="false">IF('Step1-System Details'!$E$17="DDR3","0x00000000","0x00000000")</f>
        <v>0x00000000</v>
      </c>
    </row>
    <row r="103" customFormat="false" ht="12.5" hidden="false" customHeight="false" outlineLevel="0" collapsed="false">
      <c r="B103" s="390" t="s">
        <v>548</v>
      </c>
      <c r="C103" s="401" t="s">
        <v>549</v>
      </c>
      <c r="D103" s="389" t="str">
        <f aca="false">IF('Step1-System Details'!$E$17="DDR3","0x00000000","0x00000000")</f>
        <v>0x00000000</v>
      </c>
    </row>
    <row r="104" customFormat="false" ht="12.5" hidden="false" customHeight="false" outlineLevel="0" collapsed="false">
      <c r="B104" s="390" t="s">
        <v>550</v>
      </c>
      <c r="C104" s="401" t="s">
        <v>551</v>
      </c>
      <c r="D104" s="389" t="str">
        <f aca="false">IF('Step1-System Details'!$E$17="DDR3","0x00000000","0x00000000")</f>
        <v>0x00000000</v>
      </c>
    </row>
    <row r="105" customFormat="false" ht="12.5" hidden="false" customHeight="false" outlineLevel="0" collapsed="false">
      <c r="B105" s="390" t="s">
        <v>552</v>
      </c>
      <c r="C105" s="401" t="s">
        <v>553</v>
      </c>
      <c r="D105" s="389" t="str">
        <f aca="false">IF('Step1-System Details'!$E$17="DDR3","0x00000000","0x00000000")</f>
        <v>0x00000000</v>
      </c>
    </row>
    <row r="106" customFormat="false" ht="12.5" hidden="false" customHeight="false" outlineLevel="0" collapsed="false">
      <c r="B106" s="390" t="s">
        <v>554</v>
      </c>
      <c r="C106" s="401" t="s">
        <v>555</v>
      </c>
      <c r="D106" s="389" t="str">
        <f aca="false">IF('Step1-System Details'!$E$17="DDR3","0x00000000","0x00000000")</f>
        <v>0x00000000</v>
      </c>
    </row>
    <row r="107" customFormat="false" ht="12.5" hidden="false" customHeight="false" outlineLevel="0" collapsed="false">
      <c r="B107" s="390" t="s">
        <v>556</v>
      </c>
      <c r="C107" s="401" t="s">
        <v>557</v>
      </c>
      <c r="D107" s="389" t="str">
        <f aca="false">IF('Step1-System Details'!$E$17="DDR3","0x00000000","0x00000000")</f>
        <v>0x00000000</v>
      </c>
    </row>
    <row r="108" customFormat="false" ht="12.5" hidden="false" customHeight="false" outlineLevel="0" collapsed="false">
      <c r="B108" s="390" t="s">
        <v>558</v>
      </c>
      <c r="C108" s="401" t="s">
        <v>559</v>
      </c>
      <c r="D108" s="389" t="str">
        <f aca="false">IF('Step1-System Details'!$E$17="DDR3","0x00000000","0x00000000")</f>
        <v>0x00000000</v>
      </c>
    </row>
    <row r="109" customFormat="false" ht="12.5" hidden="false" customHeight="false" outlineLevel="0" collapsed="false">
      <c r="B109" s="390" t="s">
        <v>560</v>
      </c>
      <c r="C109" s="401" t="s">
        <v>561</v>
      </c>
      <c r="D109" s="389" t="str">
        <f aca="false">IF('Step1-System Details'!$E$17="DDR3","0x00000077","0x00000000")</f>
        <v>0x00000077</v>
      </c>
    </row>
    <row r="110" customFormat="false" ht="13" hidden="false" customHeight="false" outlineLevel="0" collapsed="false">
      <c r="B110" s="393" t="s">
        <v>562</v>
      </c>
      <c r="C110" s="402" t="s">
        <v>563</v>
      </c>
      <c r="D110" s="395" t="str">
        <f aca="false">IF('Step1-System Details'!$E$17="DDR3","0x00000077","0x00000000")</f>
        <v>0x00000077</v>
      </c>
    </row>
    <row r="111" customFormat="false" ht="12.5" hidden="false" customHeight="false" outlineLevel="0" collapsed="false">
      <c r="D111" s="398"/>
    </row>
    <row r="112" customFormat="false" ht="13" hidden="false" customHeight="false" outlineLevel="0" collapsed="false"/>
    <row r="113" customFormat="false" ht="13" hidden="false" customHeight="false" outlineLevel="0" collapsed="false">
      <c r="B113" s="380" t="s">
        <v>564</v>
      </c>
      <c r="C113" s="380"/>
      <c r="D113" s="380"/>
    </row>
    <row r="114" customFormat="false" ht="13.5" hidden="false" customHeight="false" outlineLevel="0" collapsed="false">
      <c r="B114" s="403" t="s">
        <v>387</v>
      </c>
      <c r="C114" s="382" t="s">
        <v>388</v>
      </c>
      <c r="D114" s="404" t="s">
        <v>33</v>
      </c>
    </row>
    <row r="115" customFormat="false" ht="12.5" hidden="false" customHeight="false" outlineLevel="0" collapsed="false">
      <c r="B115" s="384" t="s">
        <v>565</v>
      </c>
      <c r="C115" s="400" t="s">
        <v>566</v>
      </c>
      <c r="D115" s="386" t="s">
        <v>567</v>
      </c>
    </row>
    <row r="116" customFormat="false" ht="12.5" hidden="false" customHeight="false" outlineLevel="0" collapsed="false">
      <c r="B116" s="390" t="s">
        <v>334</v>
      </c>
      <c r="C116" s="401" t="s">
        <v>568</v>
      </c>
      <c r="D116" s="389" t="str">
        <f aca="false">CONCATENATE("0x",'EMIF Tool'!C67)</f>
        <v>0x00000084</v>
      </c>
    </row>
    <row r="117" customFormat="false" ht="12.5" hidden="false" customHeight="false" outlineLevel="0" collapsed="false">
      <c r="B117" s="387" t="s">
        <v>569</v>
      </c>
      <c r="C117" s="401" t="s">
        <v>570</v>
      </c>
      <c r="D117" s="389" t="str">
        <f aca="false">CONCATENATE("0x",0,0,0,0,0,0,0,0)</f>
        <v>0x00000000</v>
      </c>
    </row>
    <row r="118" customFormat="false" ht="12.5" hidden="false" customHeight="false" outlineLevel="0" collapsed="false">
      <c r="B118" s="387" t="s">
        <v>571</v>
      </c>
      <c r="C118" s="401" t="s">
        <v>572</v>
      </c>
      <c r="D118" s="389" t="str">
        <f aca="false">CONCATENATE("0x",0,0,0,0,0,0,0,0)</f>
        <v>0x00000000</v>
      </c>
    </row>
    <row r="119" customFormat="false" ht="12.5" hidden="false" customHeight="false" outlineLevel="0" collapsed="false">
      <c r="B119" s="387" t="s">
        <v>573</v>
      </c>
      <c r="C119" s="401" t="s">
        <v>574</v>
      </c>
      <c r="D119" s="389" t="str">
        <f aca="false">CONCATENATE("0x",'EMIF Tool'!C74)</f>
        <v>0x00000084</v>
      </c>
    </row>
    <row r="120" customFormat="false" ht="12.5" hidden="false" customHeight="false" outlineLevel="0" collapsed="false">
      <c r="B120" s="387" t="s">
        <v>575</v>
      </c>
      <c r="C120" s="401" t="s">
        <v>576</v>
      </c>
      <c r="D120" s="389" t="str">
        <f aca="false">CONCATENATE("0x",'EMIF Tool'!C74)</f>
        <v>0x00000084</v>
      </c>
    </row>
    <row r="121" customFormat="false" ht="12.5" hidden="false" customHeight="false" outlineLevel="0" collapsed="false">
      <c r="B121" s="387" t="s">
        <v>577</v>
      </c>
      <c r="C121" s="401" t="s">
        <v>578</v>
      </c>
      <c r="D121" s="389" t="str">
        <f aca="false">CONCATENATE("0x",'EMIF Tool'!C74)</f>
        <v>0x00000084</v>
      </c>
    </row>
    <row r="122" customFormat="false" ht="12.5" hidden="false" customHeight="false" outlineLevel="0" collapsed="false">
      <c r="B122" s="387" t="s">
        <v>579</v>
      </c>
      <c r="C122" s="401" t="s">
        <v>580</v>
      </c>
      <c r="D122" s="389" t="str">
        <f aca="false">CONCATENATE("0x",'EMIF Tool'!C74)</f>
        <v>0x00000084</v>
      </c>
    </row>
    <row r="123" customFormat="false" ht="13" hidden="false" customHeight="false" outlineLevel="0" collapsed="false">
      <c r="B123" s="405" t="s">
        <v>581</v>
      </c>
      <c r="C123" s="406" t="s">
        <v>582</v>
      </c>
      <c r="D123" s="407" t="str">
        <f aca="false">IF('Step1-System Details'!E17="DDR3",IF('Step1-System Details'!E19=32,"0x0000C163","0x0002C163"),IF('Step1-System Details'!E19=32,"0x00000101","0x00020101"))</f>
        <v>0x0002C163</v>
      </c>
    </row>
    <row r="124" customFormat="false" ht="12.5" hidden="false" customHeight="false" outlineLevel="0" collapsed="false">
      <c r="B124" s="396"/>
      <c r="C124" s="396"/>
      <c r="D124" s="408"/>
    </row>
    <row r="125" customFormat="false" ht="13" hidden="false" customHeight="false" outlineLevel="0" collapsed="false"/>
    <row r="126" customFormat="false" ht="13" hidden="false" customHeight="false" outlineLevel="0" collapsed="false">
      <c r="B126" s="380" t="s">
        <v>583</v>
      </c>
      <c r="C126" s="380"/>
      <c r="D126" s="380"/>
    </row>
    <row r="127" customFormat="false" ht="13.5" hidden="false" customHeight="false" outlineLevel="0" collapsed="false">
      <c r="B127" s="403" t="s">
        <v>387</v>
      </c>
      <c r="C127" s="382" t="s">
        <v>388</v>
      </c>
      <c r="D127" s="404" t="s">
        <v>33</v>
      </c>
    </row>
    <row r="128" customFormat="false" ht="12.5" hidden="false" customHeight="true" outlineLevel="0" collapsed="false">
      <c r="B128" s="384" t="s">
        <v>327</v>
      </c>
      <c r="C128" s="409" t="s">
        <v>404</v>
      </c>
      <c r="D128" s="410" t="s">
        <v>584</v>
      </c>
      <c r="F128" s="411" t="s">
        <v>585</v>
      </c>
      <c r="G128" s="411"/>
      <c r="H128" s="411"/>
      <c r="I128" s="411"/>
      <c r="J128" s="411"/>
      <c r="K128" s="411"/>
    </row>
    <row r="129" customFormat="false" ht="12.5" hidden="false" customHeight="false" outlineLevel="0" collapsed="false">
      <c r="B129" s="390" t="s">
        <v>405</v>
      </c>
      <c r="C129" s="391" t="s">
        <v>406</v>
      </c>
      <c r="D129" s="392" t="s">
        <v>586</v>
      </c>
      <c r="F129" s="412" t="s">
        <v>587</v>
      </c>
      <c r="G129" s="412"/>
      <c r="H129" s="412"/>
      <c r="I129" s="412"/>
      <c r="J129" s="412"/>
      <c r="K129" s="412"/>
    </row>
    <row r="130" customFormat="false" ht="12.5" hidden="false" customHeight="false" outlineLevel="0" collapsed="false">
      <c r="B130" s="390" t="s">
        <v>327</v>
      </c>
      <c r="C130" s="391" t="s">
        <v>404</v>
      </c>
      <c r="D130" s="389" t="str">
        <f aca="false">IF('Step1-System Details'!E21="Single Rank","Not Required","0x8000000A")</f>
        <v>Not Required</v>
      </c>
      <c r="F130" s="413" t="s">
        <v>588</v>
      </c>
      <c r="G130" s="413"/>
      <c r="H130" s="413"/>
      <c r="I130" s="413"/>
      <c r="J130" s="413"/>
      <c r="K130" s="413"/>
    </row>
    <row r="131" customFormat="false" ht="12.5" hidden="false" customHeight="false" outlineLevel="0" collapsed="false">
      <c r="B131" s="390" t="s">
        <v>405</v>
      </c>
      <c r="C131" s="391" t="s">
        <v>406</v>
      </c>
      <c r="D131" s="392" t="str">
        <f aca="false">IF('Step1-System Details'!E21="Single Rank","Not Required","0x00000056")</f>
        <v>Not Required</v>
      </c>
    </row>
    <row r="132" customFormat="false" ht="12.5" hidden="false" customHeight="false" outlineLevel="0" collapsed="false">
      <c r="B132" s="390" t="s">
        <v>327</v>
      </c>
      <c r="C132" s="391" t="s">
        <v>404</v>
      </c>
      <c r="D132" s="389" t="s">
        <v>589</v>
      </c>
    </row>
    <row r="133" customFormat="false" ht="12.5" hidden="false" customHeight="false" outlineLevel="0" collapsed="false">
      <c r="B133" s="390" t="s">
        <v>405</v>
      </c>
      <c r="C133" s="391" t="s">
        <v>406</v>
      </c>
      <c r="D133" s="392" t="s">
        <v>590</v>
      </c>
    </row>
    <row r="134" customFormat="false" ht="12.5" hidden="false" customHeight="false" outlineLevel="0" collapsed="false">
      <c r="B134" s="390" t="s">
        <v>327</v>
      </c>
      <c r="C134" s="391" t="s">
        <v>404</v>
      </c>
      <c r="D134" s="389" t="str">
        <f aca="false">IF('Step1-System Details'!E21="Single Rank","Not Required","0x80000001")</f>
        <v>Not Required</v>
      </c>
    </row>
    <row r="135" customFormat="false" ht="12.5" hidden="false" customHeight="false" outlineLevel="0" collapsed="false">
      <c r="B135" s="390" t="s">
        <v>405</v>
      </c>
      <c r="C135" s="391" t="s">
        <v>406</v>
      </c>
      <c r="D135" s="392" t="str">
        <f aca="false">IF('Step1-System Details'!E21="Single Rank","Not Required","0x00000043")</f>
        <v>Not Required</v>
      </c>
    </row>
    <row r="136" customFormat="false" ht="12.5" hidden="false" customHeight="false" outlineLevel="0" collapsed="false">
      <c r="B136" s="390" t="s">
        <v>327</v>
      </c>
      <c r="C136" s="391" t="s">
        <v>404</v>
      </c>
      <c r="D136" s="392" t="s">
        <v>591</v>
      </c>
    </row>
    <row r="137" customFormat="false" ht="12.5" hidden="false" customHeight="false" outlineLevel="0" collapsed="false">
      <c r="B137" s="390" t="s">
        <v>405</v>
      </c>
      <c r="C137" s="391" t="s">
        <v>406</v>
      </c>
      <c r="D137" s="392" t="s">
        <v>591</v>
      </c>
    </row>
    <row r="138" customFormat="false" ht="12.5" hidden="false" customHeight="false" outlineLevel="0" collapsed="false">
      <c r="B138" s="390" t="s">
        <v>327</v>
      </c>
      <c r="C138" s="391" t="s">
        <v>404</v>
      </c>
      <c r="D138" s="389" t="str">
        <f aca="false">IF('Step1-System Details'!E21="Single Rank","Not Required","0x80000002")</f>
        <v>Not Required</v>
      </c>
    </row>
    <row r="139" customFormat="false" ht="12.5" hidden="false" customHeight="false" outlineLevel="0" collapsed="false">
      <c r="B139" s="390" t="s">
        <v>405</v>
      </c>
      <c r="C139" s="391" t="s">
        <v>406</v>
      </c>
      <c r="D139" s="392" t="str">
        <f aca="false">IF('Step1-System Details'!E21="Single Rank","Not Required","0x00000002")</f>
        <v>Not Required</v>
      </c>
    </row>
    <row r="140" customFormat="false" ht="12.5" hidden="false" customHeight="false" outlineLevel="0" collapsed="false">
      <c r="B140" s="390" t="s">
        <v>327</v>
      </c>
      <c r="C140" s="391" t="s">
        <v>404</v>
      </c>
      <c r="D140" s="389" t="s">
        <v>592</v>
      </c>
    </row>
    <row r="141" customFormat="false" ht="12.5" hidden="false" customHeight="false" outlineLevel="0" collapsed="false">
      <c r="B141" s="390" t="s">
        <v>405</v>
      </c>
      <c r="C141" s="391" t="s">
        <v>406</v>
      </c>
      <c r="D141" s="392" t="s">
        <v>591</v>
      </c>
    </row>
    <row r="142" customFormat="false" ht="12.5" hidden="false" customHeight="false" outlineLevel="0" collapsed="false">
      <c r="B142" s="390" t="s">
        <v>327</v>
      </c>
      <c r="C142" s="391" t="s">
        <v>404</v>
      </c>
      <c r="D142" s="389" t="str">
        <f aca="false">IF('Step1-System Details'!E21="Single Rank","Not Required","0xC0000002")</f>
        <v>Not Required</v>
      </c>
    </row>
    <row r="143" customFormat="false" ht="13" hidden="false" customHeight="false" outlineLevel="0" collapsed="false">
      <c r="B143" s="393" t="s">
        <v>405</v>
      </c>
      <c r="C143" s="394" t="s">
        <v>406</v>
      </c>
      <c r="D143" s="407" t="str">
        <f aca="false">IF('Step1-System Details'!E21="Single Rank","Not Required","0x00000002")</f>
        <v>Not Required</v>
      </c>
    </row>
  </sheetData>
  <sheetProtection sheet="true" password="df21" objects="true" scenarios="true"/>
  <mergeCells count="11">
    <mergeCell ref="B2:O2"/>
    <mergeCell ref="B3:O3"/>
    <mergeCell ref="B4:O6"/>
    <mergeCell ref="B7:O8"/>
    <mergeCell ref="B13:D13"/>
    <mergeCell ref="B35:D35"/>
    <mergeCell ref="B113:D113"/>
    <mergeCell ref="B126:D126"/>
    <mergeCell ref="F128:K128"/>
    <mergeCell ref="F129:K129"/>
    <mergeCell ref="F130:K13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442</TotalTime>
  <Application>LibreOffice/6.4.7.2$Linux_X86_64 LibreOffice_project/40$Build-2</Application>
  <Company>Texas Instruments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2009-01-21T14:50:02Z</dcterms:created>
  <dc:creator>Eric Hansen</dc:creator>
  <dc:description/>
  <dc:language>en-IN</dc:language>
  <cp:lastModifiedBy/>
  <cp:lastPrinted>2009-09-15T15:48:00Z</cp:lastPrinted>
  <dcterms:modified xsi:type="dcterms:W3CDTF">2025-01-08T20:03:16Z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Texas Instruments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